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9  CEREJ - Érika\"/>
    </mc:Choice>
  </mc:AlternateContent>
  <xr:revisionPtr revIDLastSave="0" documentId="8_{7E6C0ABE-1263-4B73-B8F8-3C58C683BAA2}" xr6:coauthVersionLast="47" xr6:coauthVersionMax="47" xr10:uidLastSave="{00000000-0000-0000-0000-000000000000}"/>
  <bookViews>
    <workbookView xWindow="-120" yWindow="-120" windowWidth="24240" windowHeight="13140" tabRatio="725" firstSheet="1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CUSD" sheetId="61" r:id="rId13"/>
    <sheet name="Rede Básica + Ajuste" sheetId="82" r:id="rId14"/>
    <sheet name="Conexão " sheetId="87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2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Faturas!$AB$1:$AE$3812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CDEuso">'Tabelas e Gráficos'!$AW$223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2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2" hidden="1">CUSD!$M$13</definedName>
    <definedName name="solver_lhs10" localSheetId="12" hidden="1">CUSD!$M$13</definedName>
    <definedName name="solver_lhs11" localSheetId="12" hidden="1">CUSD!$M$15</definedName>
    <definedName name="solver_lhs12" localSheetId="12" hidden="1">CUSD!$M$13</definedName>
    <definedName name="solver_lhs13" localSheetId="12" hidden="1">CUSD!$M$13</definedName>
    <definedName name="solver_lhs14" localSheetId="12" hidden="1">CUSD!$M$15</definedName>
    <definedName name="solver_lhs15" localSheetId="12" hidden="1">CUSD!$M$13</definedName>
    <definedName name="solver_lhs2" localSheetId="12" hidden="1">CUSD!$M$15</definedName>
    <definedName name="solver_lhs3" localSheetId="12" hidden="1">CUSD!$M$13</definedName>
    <definedName name="solver_lhs4" localSheetId="12" hidden="1">CUSD!$M$13</definedName>
    <definedName name="solver_lhs5" localSheetId="12" hidden="1">CUSD!$M$15</definedName>
    <definedName name="solver_lhs6" localSheetId="12" hidden="1">CUSD!$M$13</definedName>
    <definedName name="solver_lhs7" localSheetId="12" hidden="1">CUSD!$M$13</definedName>
    <definedName name="solver_lhs8" localSheetId="12" hidden="1">CUSD!$M$15</definedName>
    <definedName name="solver_lhs9" localSheetId="12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2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2" r:id="rId49"/>
    <pivotCache cacheId="23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6" i="89" l="1"/>
  <c r="AN205" i="89"/>
  <c r="L15" i="58"/>
  <c r="L14" i="58"/>
  <c r="L13" i="58"/>
  <c r="K44" i="50" l="1"/>
  <c r="AU248" i="89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205" i="89"/>
  <c r="AO206" i="89"/>
  <c r="AM186" i="89"/>
  <c r="AS262" i="89" s="1"/>
  <c r="AN186" i="89"/>
  <c r="C64" i="64" s="1"/>
  <c r="AM187" i="89"/>
  <c r="AS263" i="89" s="1"/>
  <c r="AS264" i="89"/>
  <c r="AS265" i="89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7" i="89" l="1"/>
  <c r="AU262" i="89"/>
  <c r="AU260" i="89"/>
  <c r="AU259" i="89"/>
  <c r="AU251" i="89"/>
  <c r="AU250" i="89"/>
  <c r="AU268" i="89"/>
  <c r="AU269" i="89"/>
  <c r="AU261" i="89"/>
  <c r="AU252" i="89"/>
  <c r="AU256" i="89"/>
  <c r="B62" i="64"/>
  <c r="B73" i="64"/>
  <c r="B61" i="64"/>
  <c r="B70" i="64"/>
  <c r="B58" i="64"/>
  <c r="B69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L44" i="50"/>
  <c r="M44" i="50"/>
  <c r="H45" i="50"/>
  <c r="F183" i="49" s="1"/>
  <c r="I45" i="50"/>
  <c r="G183" i="49" s="1"/>
  <c r="J45" i="50"/>
  <c r="H183" i="49" s="1"/>
  <c r="K45" i="50"/>
  <c r="I183" i="49" s="1"/>
  <c r="L45" i="50"/>
  <c r="J183" i="49" s="1"/>
  <c r="M45" i="50"/>
  <c r="K183" i="49" s="1"/>
  <c r="H46" i="50"/>
  <c r="F184" i="49" s="1"/>
  <c r="I46" i="50"/>
  <c r="G184" i="49" s="1"/>
  <c r="J46" i="50"/>
  <c r="H184" i="49" s="1"/>
  <c r="K46" i="50"/>
  <c r="I184" i="49" s="1"/>
  <c r="L46" i="50"/>
  <c r="J184" i="49" s="1"/>
  <c r="M46" i="50"/>
  <c r="K184" i="49" s="1"/>
  <c r="H47" i="50"/>
  <c r="F185" i="49" s="1"/>
  <c r="I47" i="50"/>
  <c r="G185" i="49" s="1"/>
  <c r="J47" i="50"/>
  <c r="H185" i="49" s="1"/>
  <c r="K47" i="50"/>
  <c r="I185" i="49" s="1"/>
  <c r="L47" i="50"/>
  <c r="J185" i="49" s="1"/>
  <c r="M47" i="50"/>
  <c r="K185" i="49" s="1"/>
  <c r="H48" i="50"/>
  <c r="F186" i="49" s="1"/>
  <c r="I48" i="50"/>
  <c r="G186" i="49" s="1"/>
  <c r="J48" i="50"/>
  <c r="H186" i="49" s="1"/>
  <c r="K48" i="50"/>
  <c r="I186" i="49" s="1"/>
  <c r="L48" i="50"/>
  <c r="J186" i="49" s="1"/>
  <c r="M48" i="50"/>
  <c r="K186" i="49" s="1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F235" i="49" s="1"/>
  <c r="I97" i="50"/>
  <c r="G235" i="49" s="1"/>
  <c r="J97" i="50"/>
  <c r="H235" i="49" s="1"/>
  <c r="K97" i="50"/>
  <c r="I235" i="49" s="1"/>
  <c r="L97" i="50"/>
  <c r="J235" i="49" s="1"/>
  <c r="M97" i="50"/>
  <c r="K235" i="49" s="1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2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2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2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2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2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2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N200" i="89"/>
  <c r="AU276" i="89" s="1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4" i="78"/>
  <c r="C115" i="78"/>
  <c r="D115" i="78"/>
  <c r="C117" i="78"/>
  <c r="C119" i="78"/>
  <c r="D116" i="78"/>
  <c r="C116" i="78"/>
  <c r="D119" i="78"/>
  <c r="D114" i="78"/>
  <c r="D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06" i="49"/>
  <c r="Q113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20" i="78"/>
  <c r="C11" i="78"/>
  <c r="D11" i="78"/>
  <c r="D17" i="78"/>
  <c r="C87" i="78"/>
  <c r="G9" i="78"/>
  <c r="C88" i="78"/>
  <c r="D10" i="78"/>
  <c r="C89" i="78"/>
  <c r="C95" i="78"/>
  <c r="C81" i="78"/>
  <c r="C19" i="78"/>
  <c r="D14" i="78"/>
  <c r="C80" i="78"/>
  <c r="C83" i="78"/>
  <c r="D16" i="78"/>
  <c r="G10" i="78"/>
  <c r="C93" i="78"/>
  <c r="D21" i="78"/>
  <c r="C20" i="78"/>
  <c r="D15" i="78"/>
  <c r="C14" i="78"/>
  <c r="C17" i="78"/>
  <c r="C92" i="78"/>
  <c r="C13" i="78"/>
  <c r="D19" i="78"/>
  <c r="C16" i="78"/>
  <c r="C90" i="78"/>
  <c r="D13" i="78"/>
  <c r="C84" i="78"/>
  <c r="C15" i="78"/>
  <c r="G8" i="78"/>
  <c r="C82" i="78"/>
  <c r="D12" i="78"/>
  <c r="D18" i="78"/>
  <c r="C94" i="78"/>
  <c r="C91" i="78"/>
  <c r="C97" i="78"/>
  <c r="G14" i="78"/>
  <c r="C79" i="78"/>
  <c r="G13" i="78"/>
  <c r="G12" i="78"/>
  <c r="G11" i="78"/>
  <c r="C18" i="78"/>
  <c r="D9" i="78"/>
  <c r="C12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59" i="85"/>
  <c r="C97" i="85"/>
  <c r="C90" i="85"/>
  <c r="C145" i="85"/>
  <c r="C15" i="85"/>
  <c r="C131" i="85"/>
  <c r="C161" i="85"/>
  <c r="C166" i="85"/>
  <c r="C3" i="85"/>
  <c r="C107" i="85"/>
  <c r="C39" i="85"/>
  <c r="C23" i="85"/>
  <c r="C125" i="85"/>
  <c r="C57" i="85"/>
  <c r="C110" i="85"/>
  <c r="C98" i="85"/>
  <c r="C10" i="85"/>
  <c r="C4" i="85"/>
  <c r="C114" i="85"/>
  <c r="C151" i="85"/>
  <c r="C37" i="85"/>
  <c r="C6" i="85"/>
  <c r="C152" i="85"/>
  <c r="C5" i="85"/>
  <c r="C148" i="85"/>
  <c r="C95" i="85"/>
  <c r="C38" i="85"/>
  <c r="C14" i="85"/>
  <c r="C113" i="85"/>
  <c r="C102" i="85"/>
  <c r="C130" i="85"/>
  <c r="C17" i="85"/>
  <c r="C45" i="85"/>
  <c r="C108" i="85"/>
  <c r="C132" i="85"/>
  <c r="C24" i="85"/>
  <c r="C115" i="85"/>
  <c r="C44" i="85"/>
  <c r="C155" i="85"/>
  <c r="C87" i="85"/>
  <c r="C129" i="85"/>
  <c r="C134" i="85"/>
  <c r="C60" i="85"/>
  <c r="C141" i="85"/>
  <c r="C21" i="85"/>
  <c r="C147" i="85"/>
  <c r="C71" i="85"/>
  <c r="C137" i="85"/>
  <c r="C104" i="85"/>
  <c r="C105" i="85"/>
  <c r="C167" i="85"/>
  <c r="C8" i="85"/>
  <c r="C19" i="85"/>
  <c r="C16" i="85"/>
  <c r="C7" i="85"/>
  <c r="C73" i="85"/>
  <c r="C77" i="85"/>
  <c r="C99" i="85"/>
  <c r="C153" i="85"/>
  <c r="C121" i="85"/>
  <c r="C154" i="85"/>
  <c r="C111" i="85"/>
  <c r="C133" i="85"/>
  <c r="C20" i="85"/>
  <c r="C12" i="85"/>
  <c r="C163" i="85"/>
  <c r="C157" i="85"/>
  <c r="C144" i="85"/>
  <c r="C162" i="85"/>
  <c r="C106" i="85"/>
  <c r="C150" i="85"/>
  <c r="C9" i="85"/>
  <c r="C109" i="85"/>
  <c r="C117" i="85"/>
  <c r="C119" i="85"/>
  <c r="C164" i="85"/>
  <c r="C26" i="85"/>
  <c r="C25" i="85"/>
  <c r="C146" i="85"/>
  <c r="C138" i="85"/>
  <c r="C140" i="85"/>
  <c r="C165" i="85"/>
  <c r="C100" i="85"/>
  <c r="C32" i="85"/>
  <c r="C127" i="85"/>
  <c r="C112" i="85"/>
  <c r="C160" i="85"/>
  <c r="C96" i="85"/>
  <c r="C11" i="85"/>
  <c r="C103" i="85"/>
  <c r="C13" i="85"/>
  <c r="C46" i="85"/>
  <c r="C143" i="85"/>
  <c r="C139" i="85"/>
  <c r="C101" i="85"/>
  <c r="C156" i="85"/>
  <c r="C36" i="85"/>
  <c r="C18" i="85"/>
  <c r="C149" i="85"/>
  <c r="C158" i="85"/>
  <c r="C123" i="85"/>
  <c r="C142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31" i="85"/>
  <c r="C135" i="85"/>
  <c r="C82" i="85"/>
  <c r="C136" i="85"/>
  <c r="C88" i="85"/>
  <c r="C22" i="85"/>
  <c r="F31" i="58" l="1"/>
  <c r="F30" i="58"/>
  <c r="F32" i="58"/>
  <c r="F29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7" i="50" s="1"/>
  <c r="H13" i="25"/>
  <c r="Q74" i="78"/>
  <c r="R74" i="78"/>
  <c r="C72" i="85"/>
  <c r="H74" i="78"/>
  <c r="N74" i="78"/>
  <c r="P74" i="78"/>
  <c r="E74" i="78"/>
  <c r="S74" i="78"/>
  <c r="M74" i="78"/>
  <c r="F74" i="78"/>
  <c r="U74" i="78"/>
  <c r="L74" i="78"/>
  <c r="J74" i="78"/>
  <c r="C30" i="85"/>
  <c r="G74" i="78"/>
  <c r="D74" i="78"/>
  <c r="O74" i="78"/>
  <c r="T74" i="78"/>
  <c r="K74" i="78"/>
  <c r="I74" i="78"/>
  <c r="K30" i="39" l="1" a="1"/>
  <c r="K30" i="39" s="1"/>
  <c r="D39" i="64" s="1"/>
  <c r="BA239" i="89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D48" i="50" s="1"/>
  <c r="AN195" i="89" s="1"/>
  <c r="B46" i="25"/>
  <c r="Q73" i="78"/>
  <c r="M73" i="78"/>
  <c r="U73" i="78"/>
  <c r="G73" i="78"/>
  <c r="T73" i="78"/>
  <c r="R73" i="78"/>
  <c r="N73" i="78"/>
  <c r="J73" i="78"/>
  <c r="K73" i="78"/>
  <c r="E73" i="78"/>
  <c r="L73" i="78"/>
  <c r="I73" i="78"/>
  <c r="D73" i="78"/>
  <c r="P73" i="78"/>
  <c r="F73" i="78"/>
  <c r="H73" i="78"/>
  <c r="S73" i="78"/>
  <c r="O73" i="78"/>
  <c r="Q186" i="49" l="1"/>
  <c r="P186" i="49" s="1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O72" i="78"/>
  <c r="L72" i="78"/>
  <c r="E72" i="78"/>
  <c r="K72" i="78"/>
  <c r="J72" i="78"/>
  <c r="M72" i="78"/>
  <c r="I72" i="78"/>
  <c r="F72" i="78"/>
  <c r="H72" i="78"/>
  <c r="R72" i="78"/>
  <c r="Q72" i="78"/>
  <c r="P72" i="78"/>
  <c r="T72" i="78"/>
  <c r="U72" i="78"/>
  <c r="G72" i="78"/>
  <c r="S72" i="78"/>
  <c r="N72" i="78"/>
  <c r="D72" i="78"/>
  <c r="AO196" i="89" l="1"/>
  <c r="AU272" i="89"/>
  <c r="C74" i="64"/>
  <c r="C67" i="64"/>
  <c r="AU265" i="89"/>
  <c r="AO189" i="89"/>
  <c r="L16" i="58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G71" i="78"/>
  <c r="P71" i="78"/>
  <c r="L71" i="78"/>
  <c r="S71" i="78"/>
  <c r="O71" i="78"/>
  <c r="J71" i="78"/>
  <c r="C55" i="85"/>
  <c r="R71" i="78"/>
  <c r="I71" i="78"/>
  <c r="F71" i="78"/>
  <c r="E71" i="78"/>
  <c r="K71" i="78"/>
  <c r="M71" i="78"/>
  <c r="D71" i="78"/>
  <c r="Q71" i="78"/>
  <c r="T71" i="78"/>
  <c r="U71" i="78"/>
  <c r="N71" i="78"/>
  <c r="H71" i="78"/>
  <c r="C10" i="58" l="1"/>
  <c r="L19" i="58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S70" i="78"/>
  <c r="P70" i="78"/>
  <c r="L70" i="78"/>
  <c r="G70" i="78"/>
  <c r="I70" i="78"/>
  <c r="J70" i="78"/>
  <c r="R70" i="78"/>
  <c r="O70" i="78"/>
  <c r="H70" i="78"/>
  <c r="N70" i="78"/>
  <c r="D70" i="78"/>
  <c r="T70" i="78"/>
  <c r="Q70" i="78"/>
  <c r="F70" i="78"/>
  <c r="E70" i="78"/>
  <c r="U70" i="78"/>
  <c r="M70" i="78"/>
  <c r="K70" i="78"/>
  <c r="L18" i="58" l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E97" i="50" s="1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K69" i="78"/>
  <c r="M69" i="78"/>
  <c r="H69" i="78"/>
  <c r="Q69" i="78"/>
  <c r="G69" i="78"/>
  <c r="N69" i="78"/>
  <c r="T69" i="78"/>
  <c r="L69" i="78"/>
  <c r="I69" i="78"/>
  <c r="E69" i="78"/>
  <c r="U69" i="78"/>
  <c r="J69" i="78"/>
  <c r="P69" i="78"/>
  <c r="D69" i="78"/>
  <c r="O69" i="78"/>
  <c r="S69" i="78"/>
  <c r="R69" i="78"/>
  <c r="F69" i="78"/>
  <c r="E26" i="50" l="1"/>
  <c r="E42" i="50"/>
  <c r="E50" i="50"/>
  <c r="E98" i="50"/>
  <c r="E43" i="50"/>
  <c r="E44" i="50"/>
  <c r="E92" i="50"/>
  <c r="E37" i="50"/>
  <c r="E45" i="50"/>
  <c r="E93" i="50"/>
  <c r="E71" i="50"/>
  <c r="E95" i="50"/>
  <c r="E57" i="50"/>
  <c r="E99" i="50"/>
  <c r="E28" i="50"/>
  <c r="E100" i="50"/>
  <c r="E38" i="50"/>
  <c r="E94" i="50"/>
  <c r="E36" i="50"/>
  <c r="E39" i="50"/>
  <c r="E63" i="50"/>
  <c r="E49" i="50"/>
  <c r="E35" i="50"/>
  <c r="E32" i="50"/>
  <c r="E48" i="50"/>
  <c r="E64" i="50"/>
  <c r="E96" i="50"/>
  <c r="E17" i="50"/>
  <c r="E65" i="50"/>
  <c r="E27" i="50"/>
  <c r="E51" i="50"/>
  <c r="E30" i="50"/>
  <c r="C13" i="58"/>
  <c r="L35" i="58"/>
  <c r="C12" i="58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U68" i="78"/>
  <c r="M68" i="78"/>
  <c r="H68" i="78"/>
  <c r="K68" i="78"/>
  <c r="O68" i="78"/>
  <c r="Q68" i="78"/>
  <c r="G68" i="78"/>
  <c r="J68" i="78"/>
  <c r="N68" i="78"/>
  <c r="I68" i="78"/>
  <c r="T68" i="78"/>
  <c r="F68" i="78"/>
  <c r="P68" i="78"/>
  <c r="S68" i="78"/>
  <c r="L68" i="78"/>
  <c r="D68" i="78"/>
  <c r="R68" i="78"/>
  <c r="E68" i="78"/>
  <c r="C9" i="58" l="1"/>
  <c r="C5" i="58" s="1"/>
  <c r="C15" i="58" s="1"/>
  <c r="H67" i="5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E67" i="78"/>
  <c r="U67" i="78"/>
  <c r="F67" i="78"/>
  <c r="G67" i="78"/>
  <c r="D67" i="78"/>
  <c r="H67" i="78"/>
  <c r="K67" i="78"/>
  <c r="R67" i="78"/>
  <c r="O67" i="78"/>
  <c r="N67" i="78"/>
  <c r="Q67" i="78"/>
  <c r="S67" i="78"/>
  <c r="T67" i="78"/>
  <c r="L67" i="78"/>
  <c r="P67" i="78"/>
  <c r="M67" i="78"/>
  <c r="J67" i="78"/>
  <c r="I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U66" i="78"/>
  <c r="Q66" i="78"/>
  <c r="D66" i="78"/>
  <c r="O66" i="78"/>
  <c r="K66" i="78"/>
  <c r="J66" i="78"/>
  <c r="R66" i="78"/>
  <c r="I66" i="78"/>
  <c r="S66" i="78"/>
  <c r="L66" i="78"/>
  <c r="T66" i="78"/>
  <c r="M66" i="78"/>
  <c r="P66" i="78"/>
  <c r="F66" i="78"/>
  <c r="G66" i="78"/>
  <c r="N66" i="78"/>
  <c r="E66" i="78"/>
  <c r="H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T65" i="78"/>
  <c r="H65" i="78"/>
  <c r="J65" i="78"/>
  <c r="G65" i="78"/>
  <c r="R65" i="78"/>
  <c r="F65" i="78"/>
  <c r="E65" i="78"/>
  <c r="P65" i="78"/>
  <c r="K65" i="78"/>
  <c r="S65" i="78"/>
  <c r="D65" i="78"/>
  <c r="L65" i="78"/>
  <c r="I65" i="78"/>
  <c r="U65" i="78"/>
  <c r="N65" i="78"/>
  <c r="Q65" i="78"/>
  <c r="O65" i="78"/>
  <c r="M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T64" i="78"/>
  <c r="E64" i="78"/>
  <c r="R64" i="78"/>
  <c r="I64" i="78"/>
  <c r="H64" i="78"/>
  <c r="U64" i="78"/>
  <c r="F64" i="78"/>
  <c r="Q64" i="78"/>
  <c r="D64" i="78"/>
  <c r="J64" i="78"/>
  <c r="O64" i="78"/>
  <c r="N64" i="78"/>
  <c r="L64" i="78"/>
  <c r="M64" i="78"/>
  <c r="S64" i="78"/>
  <c r="P64" i="78"/>
  <c r="G64" i="78"/>
  <c r="K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C78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K63" i="78"/>
  <c r="I63" i="78"/>
  <c r="E63" i="78"/>
  <c r="T63" i="78"/>
  <c r="S63" i="78"/>
  <c r="G63" i="78"/>
  <c r="O63" i="78"/>
  <c r="D63" i="78"/>
  <c r="H63" i="78"/>
  <c r="M63" i="78"/>
  <c r="Q63" i="78"/>
  <c r="U63" i="78"/>
  <c r="J63" i="78"/>
  <c r="N63" i="78"/>
  <c r="P63" i="78"/>
  <c r="R63" i="78"/>
  <c r="L63" i="78"/>
  <c r="F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V226" i="89" l="1"/>
  <c r="AW226" i="89"/>
  <c r="AY226" i="89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Q34" i="25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D40" i="50" s="1"/>
  <c r="H25" i="25"/>
  <c r="H49" i="25" s="1"/>
  <c r="D29" i="50" s="1"/>
  <c r="Q178" i="49" l="1"/>
  <c r="P178" i="49" s="1"/>
  <c r="E40" i="50"/>
  <c r="E9" i="50"/>
  <c r="AN177" i="89"/>
  <c r="C55" i="64" s="1"/>
  <c r="E29" i="50"/>
  <c r="AN179" i="89"/>
  <c r="C57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N194" i="89" l="1"/>
  <c r="Q184" i="49"/>
  <c r="P184" i="49" s="1"/>
  <c r="E46" i="50"/>
  <c r="AU253" i="89"/>
  <c r="AU255" i="89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C72" i="64" l="1"/>
  <c r="AU270" i="89"/>
  <c r="F39" i="143"/>
  <c r="E18" i="50"/>
  <c r="F16" i="143"/>
  <c r="E19" i="50"/>
  <c r="AN170" i="89"/>
  <c r="AO170" i="89" s="1"/>
  <c r="E23" i="50"/>
  <c r="AN169" i="89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AU246" i="89" l="1"/>
  <c r="C48" i="64"/>
  <c r="F15" i="143"/>
  <c r="E16" i="50"/>
  <c r="C47" i="64"/>
  <c r="AU245" i="89"/>
  <c r="AN168" i="89"/>
  <c r="Q158" i="49"/>
  <c r="P158" i="49" s="1"/>
  <c r="F10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l="1"/>
  <c r="BF239" i="89"/>
  <c r="AV239" i="89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Q146" i="49" l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E34" i="50" l="1"/>
  <c r="AN181" i="89"/>
  <c r="AU258" i="89"/>
  <c r="Q172" i="49"/>
  <c r="P172" i="49" s="1"/>
  <c r="F7" i="123"/>
  <c r="Q11" i="58"/>
  <c r="Q13" i="58" s="1"/>
  <c r="N13" i="58"/>
  <c r="Q37" i="49" s="1"/>
  <c r="P37" i="49" s="1"/>
  <c r="C59" i="64" l="1"/>
  <c r="AU257" i="89"/>
  <c r="AO182" i="89"/>
  <c r="C60" i="64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D90" i="50"/>
  <c r="E90" i="50" s="1"/>
  <c r="D12" i="50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77" i="50" l="1"/>
  <c r="AN202" i="89"/>
  <c r="D41" i="50"/>
  <c r="AN188" i="89" s="1"/>
  <c r="F27" i="143"/>
  <c r="F28" i="143" s="1"/>
  <c r="E10" i="50"/>
  <c r="E66" i="50"/>
  <c r="AN199" i="89"/>
  <c r="AU275" i="89" s="1"/>
  <c r="Q150" i="49"/>
  <c r="P150" i="49" s="1"/>
  <c r="E12" i="50"/>
  <c r="Q151" i="49"/>
  <c r="P151" i="49" s="1"/>
  <c r="E13" i="50"/>
  <c r="Q215" i="49"/>
  <c r="P215" i="49" s="1"/>
  <c r="Q217" i="49"/>
  <c r="P217" i="49" s="1"/>
  <c r="Q219" i="49"/>
  <c r="P219" i="49" s="1"/>
  <c r="Q218" i="49"/>
  <c r="P218" i="49" s="1"/>
  <c r="Q226" i="49"/>
  <c r="P226" i="49" s="1"/>
  <c r="Q216" i="49"/>
  <c r="P216" i="49" s="1"/>
  <c r="Q205" i="49"/>
  <c r="P205" i="49" s="1"/>
  <c r="AN204" i="89"/>
  <c r="AU280" i="89" s="1"/>
  <c r="Q220" i="49"/>
  <c r="P220" i="49" s="1"/>
  <c r="AN203" i="89"/>
  <c r="AU279" i="89" s="1"/>
  <c r="AN201" i="89"/>
  <c r="AU277" i="89" s="1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Q179" i="49" l="1"/>
  <c r="P179" i="49" s="1"/>
  <c r="AU278" i="89"/>
  <c r="AW278" i="89" s="1"/>
  <c r="AY278" i="89" s="1"/>
  <c r="AO202" i="89"/>
  <c r="C80" i="64"/>
  <c r="D80" i="64" s="1"/>
  <c r="E80" i="64" s="1"/>
  <c r="E41" i="50"/>
  <c r="C66" i="64"/>
  <c r="D66" i="64" s="1"/>
  <c r="E66" i="64" s="1"/>
  <c r="AU264" i="89"/>
  <c r="AW264" i="89" s="1"/>
  <c r="AY264" i="89" s="1"/>
  <c r="AO188" i="89"/>
  <c r="D7" i="50"/>
  <c r="AN208" i="89"/>
  <c r="Q185" i="49"/>
  <c r="P185" i="49" s="1"/>
  <c r="E47" i="50"/>
  <c r="C24" i="58"/>
  <c r="F6" i="58" s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AA141" i="89"/>
  <c r="N53" i="58"/>
  <c r="N60" i="58" s="1"/>
  <c r="K60" i="58"/>
  <c r="E23" i="58" s="1"/>
  <c r="F23" i="58" s="1"/>
  <c r="Q43" i="49" s="1"/>
  <c r="P43" i="49" s="1"/>
  <c r="M60" i="58"/>
  <c r="D5" i="50" l="1"/>
  <c r="AU294" i="89"/>
  <c r="C73" i="64"/>
  <c r="D73" i="64" s="1"/>
  <c r="E73" i="64" s="1"/>
  <c r="AU271" i="89"/>
  <c r="AW271" i="89" s="1"/>
  <c r="AY271" i="89" s="1"/>
  <c r="AO195" i="89"/>
  <c r="D45" i="64"/>
  <c r="E45" i="64" s="1"/>
  <c r="AW243" i="89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L12" i="89"/>
  <c r="AW284" i="89" l="1"/>
  <c r="C44" i="64"/>
  <c r="D44" i="64" s="1"/>
  <c r="AU284" i="89"/>
  <c r="AU295" i="89" s="1"/>
  <c r="AY243" i="89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BA238" i="89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BF238" i="89" s="1"/>
  <c r="U11" i="89"/>
  <c r="AX219" i="89" l="1"/>
  <c r="AX225" i="89"/>
  <c r="AX226" i="89"/>
  <c r="T29" i="89" s="1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AW294" i="89" s="1"/>
  <c r="AW295" i="89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1536" i="85"/>
  <c r="C444" i="85"/>
  <c r="C1588" i="85"/>
  <c r="C1627" i="85"/>
  <c r="C1633" i="85"/>
  <c r="C1047" i="85"/>
  <c r="C677" i="85"/>
  <c r="C423" i="85"/>
  <c r="C499" i="85"/>
  <c r="C1456" i="85"/>
  <c r="C1785" i="85"/>
  <c r="C1391" i="85"/>
  <c r="C1273" i="85"/>
  <c r="C436" i="85"/>
  <c r="C430" i="85"/>
  <c r="C1358" i="85"/>
  <c r="C1702" i="85"/>
  <c r="C756" i="85"/>
  <c r="C1257" i="85"/>
  <c r="C1331" i="85"/>
  <c r="C716" i="85"/>
  <c r="C396" i="85"/>
  <c r="C1634" i="85"/>
  <c r="C1834" i="85"/>
  <c r="C52" i="85"/>
  <c r="C528" i="85"/>
  <c r="C188" i="85"/>
  <c r="C1586" i="85"/>
  <c r="C1642" i="85"/>
  <c r="C1593" i="85"/>
  <c r="C639" i="85"/>
  <c r="C342" i="85"/>
  <c r="C233" i="85"/>
  <c r="C1511" i="85"/>
  <c r="C1333" i="85"/>
  <c r="C365" i="85"/>
  <c r="C1246" i="85"/>
  <c r="C1825" i="85"/>
  <c r="C62" i="85"/>
  <c r="C273" i="85"/>
  <c r="C1406" i="85"/>
  <c r="C1123" i="85"/>
  <c r="C1044" i="85"/>
  <c r="C1879" i="85"/>
  <c r="C1463" i="85"/>
  <c r="C322" i="85"/>
  <c r="C1357" i="85"/>
  <c r="C1491" i="85"/>
  <c r="C1649" i="85"/>
  <c r="C1762" i="85"/>
  <c r="C1041" i="85"/>
  <c r="C573" i="85"/>
  <c r="C536" i="85"/>
  <c r="C1059" i="85"/>
  <c r="C1620" i="85"/>
  <c r="C254" i="85"/>
  <c r="C276" i="85"/>
  <c r="C1994" i="85"/>
  <c r="C404" i="85"/>
  <c r="C1499" i="85"/>
  <c r="C220" i="85"/>
  <c r="C575" i="85"/>
  <c r="C1657" i="85"/>
  <c r="C1840" i="85"/>
  <c r="C1475" i="85"/>
  <c r="C1468" i="85"/>
  <c r="C803" i="85"/>
  <c r="C337" i="85"/>
  <c r="C746" i="85"/>
  <c r="C508" i="85"/>
  <c r="C251" i="85"/>
  <c r="C910" i="85"/>
  <c r="C868" i="85"/>
  <c r="C1419" i="85"/>
  <c r="C628" i="85"/>
  <c r="C402" i="85"/>
  <c r="C1325" i="85"/>
  <c r="C1302" i="85"/>
  <c r="C1843" i="85"/>
  <c r="C1651" i="85"/>
  <c r="C1806" i="85"/>
  <c r="C679" i="85"/>
  <c r="C1618" i="85"/>
  <c r="C1182" i="85"/>
  <c r="C1495" i="85"/>
  <c r="C1305" i="85"/>
  <c r="C816" i="85"/>
  <c r="C66" i="85"/>
  <c r="C658" i="85"/>
  <c r="C313" i="85"/>
  <c r="C309" i="85"/>
  <c r="C450" i="85"/>
  <c r="C53" i="85"/>
  <c r="C1016" i="85"/>
  <c r="C398" i="85"/>
  <c r="C806" i="85"/>
  <c r="C1268" i="85"/>
  <c r="C267" i="85"/>
  <c r="C643" i="85"/>
  <c r="C1233" i="85"/>
  <c r="C1327" i="85"/>
  <c r="C1160" i="85"/>
  <c r="C1224" i="85"/>
  <c r="C623" i="85"/>
  <c r="C798" i="85"/>
  <c r="C641" i="85"/>
  <c r="C209" i="85"/>
  <c r="C393" i="85"/>
  <c r="C1221" i="85"/>
  <c r="C1969" i="85"/>
  <c r="C538" i="85"/>
  <c r="C1029" i="85"/>
  <c r="C1745" i="85"/>
  <c r="C51" i="85"/>
  <c r="C69" i="85"/>
  <c r="C118" i="85"/>
  <c r="C249" i="85"/>
  <c r="C958" i="85"/>
  <c r="C1252" i="85"/>
  <c r="C521" i="85"/>
  <c r="C710" i="85"/>
  <c r="C296" i="85"/>
  <c r="C1319" i="85"/>
  <c r="C1107" i="85"/>
  <c r="C1739" i="85"/>
  <c r="C284" i="85"/>
  <c r="C1729" i="85"/>
  <c r="C1858" i="85"/>
  <c r="C747" i="85"/>
  <c r="C1814" i="85"/>
  <c r="C1362" i="85"/>
  <c r="C1790" i="85"/>
  <c r="C1802" i="85"/>
  <c r="C1882" i="85"/>
  <c r="C221" i="85"/>
  <c r="C659" i="85"/>
  <c r="C736" i="85"/>
  <c r="C1341" i="85"/>
  <c r="C1283" i="85"/>
  <c r="C328" i="85"/>
  <c r="C260" i="85"/>
  <c r="C783" i="85"/>
  <c r="C550" i="85"/>
  <c r="C1827" i="85"/>
  <c r="C1803" i="85"/>
  <c r="C1037" i="85"/>
  <c r="C327" i="85"/>
  <c r="C1876" i="85"/>
  <c r="C1421" i="85"/>
  <c r="C1368" i="85"/>
  <c r="C1387" i="85"/>
  <c r="C1161" i="85"/>
  <c r="C559" i="85"/>
  <c r="C547" i="85"/>
  <c r="C318" i="85"/>
  <c r="C1454" i="85"/>
  <c r="C792" i="85"/>
  <c r="C791" i="85"/>
  <c r="C1897" i="85"/>
  <c r="C1509" i="85"/>
  <c r="C719" i="85"/>
  <c r="C1329" i="85"/>
  <c r="C567" i="85"/>
  <c r="C1548" i="85"/>
  <c r="C903" i="85"/>
  <c r="C1891" i="85"/>
  <c r="C1322" i="85"/>
  <c r="C76" i="85"/>
  <c r="C1787" i="85"/>
  <c r="C200" i="85"/>
  <c r="C989" i="85"/>
  <c r="C1673" i="85"/>
  <c r="C1541" i="85"/>
  <c r="C374" i="85"/>
  <c r="C1776" i="85"/>
  <c r="C1056" i="85"/>
  <c r="C43" i="85"/>
  <c r="C1352" i="85"/>
  <c r="C389" i="85"/>
  <c r="C1516" i="85"/>
  <c r="C1839" i="85"/>
  <c r="C761" i="85"/>
  <c r="C1097" i="85"/>
  <c r="C1338" i="85"/>
  <c r="C598" i="85"/>
  <c r="C1768" i="85"/>
  <c r="C1451" i="85"/>
  <c r="C917" i="85"/>
  <c r="C808" i="85"/>
  <c r="C818" i="85"/>
  <c r="C1647" i="85"/>
  <c r="C539" i="85"/>
  <c r="C1572" i="85"/>
  <c r="C1489" i="85"/>
  <c r="C1307" i="85"/>
  <c r="C1500" i="85"/>
  <c r="C993" i="85"/>
  <c r="C387" i="85"/>
  <c r="C787" i="85"/>
  <c r="C408" i="85"/>
  <c r="C1819" i="85"/>
  <c r="C923" i="85"/>
  <c r="C541" i="85"/>
  <c r="C566" i="85"/>
  <c r="C1015" i="85"/>
  <c r="C526" i="85"/>
  <c r="C1441" i="85"/>
  <c r="C1398" i="85"/>
  <c r="C1741" i="85"/>
  <c r="C1479" i="85"/>
  <c r="C900" i="85"/>
  <c r="C520" i="85"/>
  <c r="C1411" i="85"/>
  <c r="C1279" i="85"/>
  <c r="C1961" i="85"/>
  <c r="C1779" i="85"/>
  <c r="C1883" i="85"/>
  <c r="C831" i="85"/>
  <c r="C242" i="85"/>
  <c r="C1617" i="85"/>
  <c r="C341" i="85"/>
  <c r="C914" i="85"/>
  <c r="C687" i="85"/>
  <c r="C636" i="85"/>
  <c r="C1027" i="85"/>
  <c r="C1028" i="85"/>
  <c r="C854" i="85"/>
  <c r="C1004" i="85"/>
  <c r="C1755" i="85"/>
  <c r="C776" i="85"/>
  <c r="C771" i="85"/>
  <c r="C1020" i="85"/>
  <c r="C47" i="85"/>
  <c r="C1462" i="85"/>
  <c r="C770" i="85"/>
  <c r="C1555" i="85"/>
  <c r="C856" i="85"/>
  <c r="C498" i="85"/>
  <c r="C277" i="85"/>
  <c r="C1009" i="85"/>
  <c r="C307" i="85"/>
  <c r="C1264" i="85"/>
  <c r="C1152" i="85"/>
  <c r="C1507" i="85"/>
  <c r="C943" i="85"/>
  <c r="C942" i="85"/>
  <c r="C1450" i="85"/>
  <c r="C612" i="85"/>
  <c r="C1820" i="85"/>
  <c r="C542" i="85"/>
  <c r="C1765" i="85"/>
  <c r="C347" i="85"/>
  <c r="C1256" i="85"/>
  <c r="C1095" i="85"/>
  <c r="C1616" i="85"/>
  <c r="C1954" i="85"/>
  <c r="C1022" i="85"/>
  <c r="C42" i="85"/>
  <c r="C1417" i="85"/>
  <c r="C1576" i="85"/>
  <c r="C1082" i="85"/>
  <c r="C764" i="85"/>
  <c r="C1143" i="85"/>
  <c r="C600" i="85"/>
  <c r="C820" i="85"/>
  <c r="C1611" i="85"/>
  <c r="C713" i="85"/>
  <c r="C378" i="85"/>
  <c r="C1119" i="85"/>
  <c r="C1452" i="85"/>
  <c r="C1614" i="85"/>
  <c r="C1177" i="85"/>
  <c r="C871" i="85"/>
  <c r="C987" i="85"/>
  <c r="C701" i="85"/>
  <c r="C1635" i="85"/>
  <c r="C1145" i="85"/>
  <c r="C1873" i="85"/>
  <c r="C1737" i="85"/>
  <c r="C1251" i="85"/>
  <c r="C1983" i="85"/>
  <c r="C1972" i="85"/>
  <c r="C353" i="85"/>
  <c r="C544" i="85"/>
  <c r="C1036" i="85"/>
  <c r="C1860" i="85"/>
  <c r="C591" i="85"/>
  <c r="C203" i="85"/>
  <c r="C1875" i="85"/>
  <c r="C654" i="85"/>
  <c r="C1601" i="85"/>
  <c r="C1916" i="85"/>
  <c r="C1280" i="85"/>
  <c r="C345" i="85"/>
  <c r="C1438" i="85"/>
  <c r="C878" i="85"/>
  <c r="C665" i="85"/>
  <c r="C781" i="85"/>
  <c r="C601" i="85"/>
  <c r="C1816" i="85"/>
  <c r="C469" i="85"/>
  <c r="C1968" i="85"/>
  <c r="C1698" i="85"/>
  <c r="C1948" i="85"/>
  <c r="C329" i="85"/>
  <c r="C685" i="85"/>
  <c r="C395" i="85"/>
  <c r="C1114" i="85"/>
  <c r="C372" i="85"/>
  <c r="C1532" i="85"/>
  <c r="C1830" i="85"/>
  <c r="C58" i="85"/>
  <c r="C832" i="85"/>
  <c r="C1212" i="85"/>
  <c r="C1200" i="85"/>
  <c r="C927" i="85"/>
  <c r="C1892" i="85"/>
  <c r="C1415" i="85"/>
  <c r="C1911" i="85"/>
  <c r="C850" i="85"/>
  <c r="C1966" i="85"/>
  <c r="C1529" i="85"/>
  <c r="C568" i="85"/>
  <c r="C1457" i="85"/>
  <c r="C303" i="85"/>
  <c r="C376" i="85"/>
  <c r="C714" i="85"/>
  <c r="C1412" i="85"/>
  <c r="C1638" i="85"/>
  <c r="C1402" i="85"/>
  <c r="C1213" i="85"/>
  <c r="C1675" i="85"/>
  <c r="C1674" i="85"/>
  <c r="C93" i="85"/>
  <c r="C896" i="85"/>
  <c r="C1060" i="85"/>
  <c r="C1010" i="85"/>
  <c r="C1348" i="85"/>
  <c r="C453" i="85"/>
  <c r="C1587" i="85"/>
  <c r="C1900" i="85"/>
  <c r="C335" i="85"/>
  <c r="C721" i="85"/>
  <c r="C703" i="85"/>
  <c r="C1232" i="85"/>
  <c r="C1497" i="85"/>
  <c r="C1266" i="85"/>
  <c r="C1615" i="85"/>
  <c r="C593" i="85"/>
  <c r="C1578" i="85"/>
  <c r="C905" i="85"/>
  <c r="C354" i="85"/>
  <c r="C1523" i="85"/>
  <c r="C1261" i="85"/>
  <c r="C1026" i="85"/>
  <c r="C302" i="85"/>
  <c r="C722" i="85"/>
  <c r="C1600" i="85"/>
  <c r="C1076" i="85"/>
  <c r="C1912" i="85"/>
  <c r="C364" i="85"/>
  <c r="C1328" i="85"/>
  <c r="C814" i="85"/>
  <c r="C432" i="85"/>
  <c r="C1895" i="85"/>
  <c r="C1153" i="85"/>
  <c r="C1748" i="85"/>
  <c r="C933" i="85"/>
  <c r="C315" i="85"/>
  <c r="C788" i="85"/>
  <c r="C718" i="85"/>
  <c r="C855" i="85"/>
  <c r="C743" i="85"/>
  <c r="C1811" i="85"/>
  <c r="C248" i="85"/>
  <c r="C784" i="85"/>
  <c r="C192" i="85"/>
  <c r="C1567" i="85"/>
  <c r="C390" i="85"/>
  <c r="C1192" i="85"/>
  <c r="C1024" i="85"/>
  <c r="C1356" i="85"/>
  <c r="C785" i="85"/>
  <c r="C1821" i="85"/>
  <c r="C1176" i="85"/>
  <c r="C1508" i="85"/>
  <c r="C1984" i="85"/>
  <c r="C909" i="85"/>
  <c r="C1239" i="85"/>
  <c r="C49" i="85"/>
  <c r="C667" i="85"/>
  <c r="C886" i="85"/>
  <c r="C1481" i="85"/>
  <c r="C1483" i="85"/>
  <c r="C310" i="85"/>
  <c r="C281" i="85"/>
  <c r="C1394" i="85"/>
  <c r="C34" i="85"/>
  <c r="C1670" i="85"/>
  <c r="C1886" i="85"/>
  <c r="C1021" i="85"/>
  <c r="C211" i="85"/>
  <c r="C889" i="85"/>
  <c r="C1120" i="85"/>
  <c r="C1648" i="85"/>
  <c r="C1141" i="85"/>
  <c r="C1142" i="85"/>
  <c r="C1786" i="85"/>
  <c r="C1310" i="85"/>
  <c r="C439" i="85"/>
  <c r="C418" i="85"/>
  <c r="C311" i="85"/>
  <c r="C1893" i="85"/>
  <c r="C1005" i="85"/>
  <c r="C479" i="85"/>
  <c r="C1144" i="85"/>
  <c r="C1287" i="85"/>
  <c r="C1864" i="85"/>
  <c r="C474" i="85"/>
  <c r="C1594" i="85"/>
  <c r="C1828" i="85"/>
  <c r="C682" i="85"/>
  <c r="C1754" i="85"/>
  <c r="C253" i="85"/>
  <c r="C216" i="85"/>
  <c r="C1645" i="85"/>
  <c r="C977" i="85"/>
  <c r="C564" i="85"/>
  <c r="C1668" i="85"/>
  <c r="C1062" i="85"/>
  <c r="C692" i="85"/>
  <c r="C624" i="85"/>
  <c r="C596" i="85"/>
  <c r="C1137" i="85"/>
  <c r="C1351" i="85"/>
  <c r="C625" i="85"/>
  <c r="C1125" i="85"/>
  <c r="C861" i="85"/>
  <c r="C867" i="85"/>
  <c r="C1465" i="85"/>
  <c r="C1230" i="85"/>
  <c r="C1030" i="85"/>
  <c r="C1318" i="85"/>
  <c r="C229" i="85"/>
  <c r="C875" i="85"/>
  <c r="C847" i="85"/>
  <c r="C1116" i="85"/>
  <c r="C1740" i="85"/>
  <c r="C835" i="85"/>
  <c r="C583" i="85"/>
  <c r="C348" i="85"/>
  <c r="C1952" i="85"/>
  <c r="C680" i="85"/>
  <c r="C1203" i="85"/>
  <c r="C998" i="85"/>
  <c r="C988" i="85"/>
  <c r="C1240" i="85"/>
  <c r="C807" i="85"/>
  <c r="C379" i="85"/>
  <c r="C1255" i="85"/>
  <c r="C737" i="85"/>
  <c r="C931" i="85"/>
  <c r="C1706" i="85"/>
  <c r="C1379" i="85"/>
  <c r="C1397" i="85"/>
  <c r="C606" i="85"/>
  <c r="C1869" i="85"/>
  <c r="C795" i="85"/>
  <c r="C1339" i="85"/>
  <c r="C1962" i="85"/>
  <c r="C1921" i="85"/>
  <c r="C833" i="85"/>
  <c r="C1147" i="85"/>
  <c r="C454" i="85"/>
  <c r="C1231" i="85"/>
  <c r="C877" i="85"/>
  <c r="C660" i="85"/>
  <c r="C352" i="85"/>
  <c r="C631" i="85"/>
  <c r="C1777" i="85"/>
  <c r="C638" i="85"/>
  <c r="C912" i="85"/>
  <c r="C1133" i="85"/>
  <c r="C1960" i="85"/>
  <c r="C862" i="85"/>
  <c r="C1430" i="85"/>
  <c r="C1662" i="85"/>
  <c r="C1990" i="85"/>
  <c r="C467" i="85"/>
  <c r="C522" i="85"/>
  <c r="C246" i="85"/>
  <c r="C1730" i="85"/>
  <c r="C1628" i="85"/>
  <c r="C930" i="85"/>
  <c r="C1506" i="85"/>
  <c r="C1735" i="85"/>
  <c r="C1715" i="85"/>
  <c r="C225" i="85"/>
  <c r="C1380" i="85"/>
  <c r="C361" i="85"/>
  <c r="C1844" i="85"/>
  <c r="C373" i="85"/>
  <c r="C588" i="85"/>
  <c r="C1335" i="85"/>
  <c r="C1560" i="85"/>
  <c r="C1168" i="85"/>
  <c r="C1098" i="85"/>
  <c r="C1471" i="85"/>
  <c r="C674" i="85"/>
  <c r="C1581" i="85"/>
  <c r="C627" i="85"/>
  <c r="C75" i="85"/>
  <c r="C723" i="85"/>
  <c r="C1190" i="85"/>
  <c r="C1525" i="85"/>
  <c r="C793" i="85"/>
  <c r="C1537" i="85"/>
  <c r="C1913" i="85"/>
  <c r="C897" i="85"/>
  <c r="C657" i="85"/>
  <c r="C999" i="85"/>
  <c r="C377" i="85"/>
  <c r="C1622" i="85"/>
  <c r="C205" i="85"/>
  <c r="C1493" i="85"/>
  <c r="C1099" i="85"/>
  <c r="C1756" i="85"/>
  <c r="C1332" i="85"/>
  <c r="C424" i="85"/>
  <c r="C1215" i="85"/>
  <c r="C1180" i="85"/>
  <c r="C1771" i="85"/>
  <c r="C1958" i="85"/>
  <c r="C1241" i="85"/>
  <c r="C1852" i="85"/>
  <c r="C1575" i="85"/>
  <c r="C960" i="85"/>
  <c r="C663" i="85"/>
  <c r="C1693" i="85"/>
  <c r="C1938" i="85"/>
  <c r="C1174" i="85"/>
  <c r="C1195" i="85"/>
  <c r="C797" i="85"/>
  <c r="C1859" i="85"/>
  <c r="C359" i="85"/>
  <c r="C879" i="85"/>
  <c r="C608" i="85"/>
  <c r="C846" i="85"/>
  <c r="C319" i="85"/>
  <c r="C1957" i="85"/>
  <c r="C881" i="85"/>
  <c r="C670" i="85"/>
  <c r="C1568" i="85"/>
  <c r="C1442" i="85"/>
  <c r="C468" i="85"/>
  <c r="C168" i="85"/>
  <c r="C489" i="85"/>
  <c r="C275" i="85"/>
  <c r="C1365" i="85"/>
  <c r="C1760" i="85"/>
  <c r="C504" i="85"/>
  <c r="C555" i="85"/>
  <c r="C1630" i="85"/>
  <c r="C994" i="85"/>
  <c r="C385" i="85"/>
  <c r="C702" i="85"/>
  <c r="C888" i="85"/>
  <c r="C1374" i="85"/>
  <c r="C1073" i="85"/>
  <c r="C666" i="85"/>
  <c r="C1884" i="85"/>
  <c r="C1514" i="85"/>
  <c r="C1285" i="85"/>
  <c r="C1714" i="85"/>
  <c r="C668" i="85"/>
  <c r="C492" i="85"/>
  <c r="C1355" i="85"/>
  <c r="C1815" i="85"/>
  <c r="C1931" i="85"/>
  <c r="C1964" i="85"/>
  <c r="C1359" i="85"/>
  <c r="C1267" i="85"/>
  <c r="C717" i="85"/>
  <c r="C1057" i="85"/>
  <c r="C655" i="85"/>
  <c r="C605" i="85"/>
  <c r="C1845" i="85"/>
  <c r="C780" i="85"/>
  <c r="C972" i="85"/>
  <c r="C1112" i="85"/>
  <c r="C1023" i="85"/>
  <c r="C812" i="85"/>
  <c r="C843" i="85"/>
  <c r="C1054" i="85"/>
  <c r="C1558" i="85"/>
  <c r="C1607" i="85"/>
  <c r="C779" i="85"/>
  <c r="C844" i="85"/>
  <c r="C1562" i="85"/>
  <c r="C472" i="85"/>
  <c r="C525" i="85"/>
  <c r="C204" i="85"/>
  <c r="C1075" i="85"/>
  <c r="C1734" i="85"/>
  <c r="C906" i="85"/>
  <c r="C1579" i="85"/>
  <c r="C301" i="85"/>
  <c r="C1042" i="85"/>
  <c r="C512" i="85"/>
  <c r="C1178" i="85"/>
  <c r="C366" i="85"/>
  <c r="C1570" i="85"/>
  <c r="C1323" i="85"/>
  <c r="C400" i="85"/>
  <c r="C1901" i="85"/>
  <c r="C1679" i="85"/>
  <c r="C1093" i="85"/>
  <c r="C589" i="85"/>
  <c r="C706" i="85"/>
  <c r="C848" i="85"/>
  <c r="C1643" i="85"/>
  <c r="C241" i="85"/>
  <c r="C976" i="85"/>
  <c r="C1766" i="85"/>
  <c r="C1654" i="85"/>
  <c r="C1644" i="85"/>
  <c r="C434" i="85"/>
  <c r="C1868" i="85"/>
  <c r="C985" i="85"/>
  <c r="C709" i="85"/>
  <c r="C1728" i="85"/>
  <c r="C533" i="85"/>
  <c r="C959" i="85"/>
  <c r="C979" i="85"/>
  <c r="C1091" i="85"/>
  <c r="C973" i="85"/>
  <c r="C553" i="85"/>
  <c r="C662" i="85"/>
  <c r="C1218" i="85"/>
  <c r="C653" i="85"/>
  <c r="C446" i="85"/>
  <c r="C1420" i="85"/>
  <c r="C1018" i="85"/>
  <c r="C857" i="85"/>
  <c r="C932" i="85"/>
  <c r="C1979" i="85"/>
  <c r="C700" i="85"/>
  <c r="C926" i="85"/>
  <c r="C749" i="85"/>
  <c r="C1423" i="85"/>
  <c r="C1088" i="85"/>
  <c r="C497" i="85"/>
  <c r="C969" i="85"/>
  <c r="C1880" i="85"/>
  <c r="C252" i="85"/>
  <c r="C1640" i="85"/>
  <c r="C1950" i="85"/>
  <c r="C420" i="85"/>
  <c r="C1774" i="85"/>
  <c r="C1437" i="85"/>
  <c r="C278" i="85"/>
  <c r="C388" i="85"/>
  <c r="C683" i="85"/>
  <c r="C1055" i="85"/>
  <c r="C965" i="85"/>
  <c r="C1727" i="85"/>
  <c r="C222" i="85"/>
  <c r="C1722" i="85"/>
  <c r="C1515" i="85"/>
  <c r="C1767" i="85"/>
  <c r="C1210" i="85"/>
  <c r="C1136" i="85"/>
  <c r="C817" i="85"/>
  <c r="C834" i="85"/>
  <c r="C463" i="85"/>
  <c r="C1996" i="85"/>
  <c r="C1393" i="85"/>
  <c r="C1742" i="85"/>
  <c r="C1473" i="85"/>
  <c r="C1443" i="85"/>
  <c r="C1094" i="85"/>
  <c r="C1117" i="85"/>
  <c r="C1378" i="85"/>
  <c r="C510" i="85"/>
  <c r="C1426" i="85"/>
  <c r="C1396" i="85"/>
  <c r="C1610" i="85"/>
  <c r="C872" i="85"/>
  <c r="C451" i="85"/>
  <c r="C1710" i="85"/>
  <c r="C590" i="85"/>
  <c r="C1598" i="85"/>
  <c r="C1286" i="85"/>
  <c r="C561" i="85"/>
  <c r="C751" i="85"/>
  <c r="C1297" i="85"/>
  <c r="C323" i="85"/>
  <c r="C765" i="85"/>
  <c r="C501" i="85"/>
  <c r="C1498" i="85"/>
  <c r="C1701" i="85"/>
  <c r="C1444" i="85"/>
  <c r="C206" i="85"/>
  <c r="C1418" i="85"/>
  <c r="C1151" i="85"/>
  <c r="C1970" i="85"/>
  <c r="C1087" i="85"/>
  <c r="C1513" i="85"/>
  <c r="C595" i="85"/>
  <c r="C1308" i="85"/>
  <c r="C1831" i="85"/>
  <c r="C560" i="85"/>
  <c r="C1226" i="85"/>
  <c r="C487" i="85"/>
  <c r="C661" i="85"/>
  <c r="C1899" i="85"/>
  <c r="C935" i="85"/>
  <c r="C697" i="85"/>
  <c r="C496" i="85"/>
  <c r="C1533" i="85"/>
  <c r="C1945" i="85"/>
  <c r="C809" i="85"/>
  <c r="C742" i="85"/>
  <c r="C1605" i="85"/>
  <c r="C464" i="85"/>
  <c r="C1934" i="85"/>
  <c r="C360" i="85"/>
  <c r="C223" i="85"/>
  <c r="C604" i="85"/>
  <c r="C645" i="85"/>
  <c r="C61" i="85"/>
  <c r="C368" i="85"/>
  <c r="C948" i="85"/>
  <c r="C954" i="85"/>
  <c r="C1071" i="85"/>
  <c r="C1235" i="85"/>
  <c r="C1321" i="85"/>
  <c r="C585" i="85"/>
  <c r="C336" i="85"/>
  <c r="C964" i="85"/>
  <c r="C1254" i="85"/>
  <c r="C1704" i="85"/>
  <c r="C1603" i="85"/>
  <c r="C1052" i="85"/>
  <c r="C1978" i="85"/>
  <c r="C287" i="85"/>
  <c r="C991" i="85"/>
  <c r="C650" i="85"/>
  <c r="C1429" i="85"/>
  <c r="C1792" i="85"/>
  <c r="C1193" i="85"/>
  <c r="C443" i="85"/>
  <c r="C397" i="85"/>
  <c r="C551" i="85"/>
  <c r="C873" i="85"/>
  <c r="C766" i="85"/>
  <c r="C320" i="85"/>
  <c r="C357" i="85"/>
  <c r="C1449" i="85"/>
  <c r="C836" i="85"/>
  <c r="C195" i="85"/>
  <c r="C370" i="85"/>
  <c r="C827" i="85"/>
  <c r="C887" i="85"/>
  <c r="C407" i="85"/>
  <c r="C1591" i="85"/>
  <c r="C226" i="85"/>
  <c r="C1367" i="85"/>
  <c r="C1068" i="85"/>
  <c r="C1953" i="85"/>
  <c r="C1288" i="85"/>
  <c r="C1403" i="85"/>
  <c r="C1382" i="85"/>
  <c r="C371" i="85"/>
  <c r="C984" i="85"/>
  <c r="C198" i="85"/>
  <c r="C1470" i="85"/>
  <c r="C1505" i="85"/>
  <c r="C351" i="85"/>
  <c r="C1476" i="85"/>
  <c r="C728" i="85"/>
  <c r="C1682" i="85"/>
  <c r="C417" i="85"/>
  <c r="C447" i="85"/>
  <c r="C471" i="85"/>
  <c r="C1102" i="85"/>
  <c r="C518" i="85"/>
  <c r="C565" i="85"/>
  <c r="C1105" i="85"/>
  <c r="C1492" i="85"/>
  <c r="C429" i="85"/>
  <c r="C1522" i="85"/>
  <c r="C1104" i="85"/>
  <c r="C805" i="85"/>
  <c r="C1103" i="85"/>
  <c r="C1131" i="85"/>
  <c r="C1552" i="85"/>
  <c r="C1937" i="85"/>
  <c r="C678" i="85"/>
  <c r="C493" i="85"/>
  <c r="C1395" i="85"/>
  <c r="C1284" i="85"/>
  <c r="C1613" i="85"/>
  <c r="C1694" i="85"/>
  <c r="C529" i="85"/>
  <c r="C1850" i="85"/>
  <c r="C295" i="85"/>
  <c r="C1326" i="85"/>
  <c r="C696" i="85"/>
  <c r="C738" i="85"/>
  <c r="C1716" i="85"/>
  <c r="C50" i="85"/>
  <c r="C671" i="85"/>
  <c r="C725" i="85"/>
  <c r="C755" i="85"/>
  <c r="C367" i="85"/>
  <c r="C405" i="85"/>
  <c r="C1188" i="85"/>
  <c r="C621" i="85"/>
  <c r="C1480" i="85"/>
  <c r="C517" i="85"/>
  <c r="C330" i="85"/>
  <c r="C1955" i="85"/>
  <c r="C1163" i="85"/>
  <c r="C460" i="85"/>
  <c r="C1664" i="85"/>
  <c r="C507" i="85"/>
  <c r="C326" i="85"/>
  <c r="C929" i="85"/>
  <c r="C974" i="85"/>
  <c r="C963" i="85"/>
  <c r="C1626" i="85"/>
  <c r="C549" i="85"/>
  <c r="C1697" i="85"/>
  <c r="C769" i="85"/>
  <c r="C85" i="85"/>
  <c r="C265" i="85"/>
  <c r="C1445" i="85"/>
  <c r="C581" i="85"/>
  <c r="C978" i="85"/>
  <c r="C202" i="85"/>
  <c r="C406" i="85"/>
  <c r="C274" i="85"/>
  <c r="C1501" i="85"/>
  <c r="C1269" i="85"/>
  <c r="C990" i="85"/>
  <c r="C1910" i="85"/>
  <c r="C280" i="85"/>
  <c r="C1135" i="85"/>
  <c r="C1410" i="85"/>
  <c r="C1636" i="85"/>
  <c r="C1874" i="85"/>
  <c r="C704" i="85"/>
  <c r="C540" i="85"/>
  <c r="C1564" i="85"/>
  <c r="C1549" i="85"/>
  <c r="C632" i="85"/>
  <c r="C1904" i="85"/>
  <c r="C1157" i="85"/>
  <c r="C1574" i="85"/>
  <c r="C210" i="85"/>
  <c r="C734" i="85"/>
  <c r="C1031" i="85"/>
  <c r="C546" i="85"/>
  <c r="C898" i="85"/>
  <c r="C1364" i="85"/>
  <c r="C238" i="85"/>
  <c r="C1381" i="85"/>
  <c r="C1169" i="85"/>
  <c r="C1907" i="85"/>
  <c r="C449" i="85"/>
  <c r="C617" i="85"/>
  <c r="C727" i="85"/>
  <c r="C815" i="85"/>
  <c r="C1466" i="85"/>
  <c r="C29" i="85"/>
  <c r="C851" i="85"/>
  <c r="C876" i="85"/>
  <c r="C928" i="85"/>
  <c r="C358" i="85"/>
  <c r="C1243" i="85"/>
  <c r="C1432" i="85"/>
  <c r="C259" i="85"/>
  <c r="C684" i="85"/>
  <c r="C1655" i="85"/>
  <c r="C934" i="85"/>
  <c r="C712" i="85"/>
  <c r="C403" i="85"/>
  <c r="C1317" i="85"/>
  <c r="C644" i="85"/>
  <c r="C1263" i="85"/>
  <c r="C182" i="85"/>
  <c r="C1316" i="85"/>
  <c r="C1528" i="85"/>
  <c r="C822" i="85"/>
  <c r="C908" i="85"/>
  <c r="C1173" i="85"/>
  <c r="C355" i="85"/>
  <c r="C495" i="85"/>
  <c r="C1608" i="85"/>
  <c r="C1277" i="85"/>
  <c r="C1795" i="85"/>
  <c r="C509" i="85"/>
  <c r="C78" i="85"/>
  <c r="C1040" i="85"/>
  <c r="C172" i="85"/>
  <c r="C1944" i="85"/>
  <c r="C729" i="85"/>
  <c r="C338" i="85"/>
  <c r="C1718" i="85"/>
  <c r="C1700" i="85"/>
  <c r="C1198" i="85"/>
  <c r="C752" i="85"/>
  <c r="C74" i="85"/>
  <c r="C773" i="85"/>
  <c r="C582" i="85"/>
  <c r="C1035" i="85"/>
  <c r="C382" i="85"/>
  <c r="C1590" i="85"/>
  <c r="C1959" i="85"/>
  <c r="C1890" i="85"/>
  <c r="C1836" i="85"/>
  <c r="C179" i="85"/>
  <c r="C178" i="85"/>
  <c r="C1038" i="85"/>
  <c r="C207" i="85"/>
  <c r="C691" i="85"/>
  <c r="C1612" i="85"/>
  <c r="C1922" i="85"/>
  <c r="C579" i="85"/>
  <c r="C1862" i="85"/>
  <c r="C1208" i="85"/>
  <c r="C1810" i="85"/>
  <c r="C349" i="85"/>
  <c r="C1692" i="85"/>
  <c r="C1804" i="85"/>
  <c r="C1271" i="85"/>
  <c r="C1158" i="85"/>
  <c r="C1496" i="85"/>
  <c r="C1672" i="85"/>
  <c r="C811" i="85"/>
  <c r="C314" i="85"/>
  <c r="C1249" i="85"/>
  <c r="C1234" i="85"/>
  <c r="C1927" i="85"/>
  <c r="C1817" i="85"/>
  <c r="C894" i="85"/>
  <c r="C1127" i="85"/>
  <c r="C317" i="85"/>
  <c r="C1433" i="85"/>
  <c r="C920" i="85"/>
  <c r="C1725" i="85"/>
  <c r="C1677" i="85"/>
  <c r="C213" i="85"/>
  <c r="C777" i="85"/>
  <c r="C1159" i="85"/>
  <c r="C339" i="85"/>
  <c r="C629" i="85"/>
  <c r="C1671" i="85"/>
  <c r="C485" i="85"/>
  <c r="C1829" i="85"/>
  <c r="C1101" i="85"/>
  <c r="C1401" i="85"/>
  <c r="C1439" i="85"/>
  <c r="C124" i="85"/>
  <c r="C332" i="85"/>
  <c r="C321" i="85"/>
  <c r="C1857" i="85"/>
  <c r="C1118" i="85"/>
  <c r="C531" i="85"/>
  <c r="C1908" i="85"/>
  <c r="C183" i="85"/>
  <c r="C799" i="85"/>
  <c r="C527" i="85"/>
  <c r="C1780" i="85"/>
  <c r="C1941" i="85"/>
  <c r="C1641" i="85"/>
  <c r="C556" i="85"/>
  <c r="C83" i="85"/>
  <c r="C1353" i="85"/>
  <c r="C1822" i="85"/>
  <c r="C1559" i="85"/>
  <c r="C611" i="85"/>
  <c r="C966" i="85"/>
  <c r="C1947" i="85"/>
  <c r="C1547" i="85"/>
  <c r="C1747" i="85"/>
  <c r="C266" i="85"/>
  <c r="C1081" i="85"/>
  <c r="C1427" i="85"/>
  <c r="C1211" i="85"/>
  <c r="C1072" i="85"/>
  <c r="C824" i="85"/>
  <c r="C980" i="85"/>
  <c r="C648" i="85"/>
  <c r="C381" i="85"/>
  <c r="C1281" i="85"/>
  <c r="C1988" i="85"/>
  <c r="C291" i="85"/>
  <c r="C218" i="85"/>
  <c r="C1383" i="85"/>
  <c r="C1306" i="85"/>
  <c r="C1963" i="85"/>
  <c r="C1416" i="85"/>
  <c r="C1291" i="85"/>
  <c r="C234" i="85"/>
  <c r="C1106" i="85"/>
  <c r="C1992" i="85"/>
  <c r="C869" i="85"/>
  <c r="C334" i="85"/>
  <c r="C821" i="85"/>
  <c r="C193" i="85"/>
  <c r="C1196" i="85"/>
  <c r="C462" i="85"/>
  <c r="C1214" i="85"/>
  <c r="C1542" i="85"/>
  <c r="C1238" i="85"/>
  <c r="C1531" i="85"/>
  <c r="C1478" i="85"/>
  <c r="C1917" i="85"/>
  <c r="C1258" i="85"/>
  <c r="C884" i="85"/>
  <c r="C1863" i="85"/>
  <c r="C530" i="85"/>
  <c r="C1691" i="85"/>
  <c r="C552" i="85"/>
  <c r="C1282" i="85"/>
  <c r="C971" i="85"/>
  <c r="C224" i="85"/>
  <c r="C1920" i="85"/>
  <c r="C413" i="85"/>
  <c r="C1296" i="85"/>
  <c r="C1632" i="85"/>
  <c r="C699" i="85"/>
  <c r="C1708" i="85"/>
  <c r="C1646" i="85"/>
  <c r="C1837" i="85"/>
  <c r="C698" i="85"/>
  <c r="C297" i="85"/>
  <c r="C1998" i="85"/>
  <c r="C892" i="85"/>
  <c r="C689" i="85"/>
  <c r="C904" i="85"/>
  <c r="C554" i="85"/>
  <c r="C316" i="85"/>
  <c r="C615" i="85"/>
  <c r="C458" i="85"/>
  <c r="C922" i="85"/>
  <c r="C514" i="85"/>
  <c r="C1749" i="85"/>
  <c r="C1434" i="85"/>
  <c r="C488" i="85"/>
  <c r="C941" i="85"/>
  <c r="C428" i="85"/>
  <c r="C1997" i="85"/>
  <c r="C1956" i="85"/>
  <c r="C214" i="85"/>
  <c r="C953" i="85"/>
  <c r="C576" i="85"/>
  <c r="C1526" i="85"/>
  <c r="C1609" i="85"/>
  <c r="C1935" i="85"/>
  <c r="C1841" i="85"/>
  <c r="C194" i="85"/>
  <c r="C1126" i="85"/>
  <c r="C461" i="85"/>
  <c r="C1761" i="85"/>
  <c r="C858" i="85"/>
  <c r="C1294" i="85"/>
  <c r="C116" i="85"/>
  <c r="C380" i="85"/>
  <c r="C1660" i="85"/>
  <c r="C754" i="85"/>
  <c r="C1375" i="85"/>
  <c r="C1557" i="85"/>
  <c r="C796" i="85"/>
  <c r="C1918" i="85"/>
  <c r="C1482" i="85"/>
  <c r="C237" i="85"/>
  <c r="C1681" i="85"/>
  <c r="C199" i="85"/>
  <c r="C1703" i="85"/>
  <c r="C1270" i="85"/>
  <c r="C1376" i="85"/>
  <c r="C285" i="85"/>
  <c r="C1111" i="85"/>
  <c r="C574" i="85"/>
  <c r="C924" i="85"/>
  <c r="C1278" i="85"/>
  <c r="C863" i="85"/>
  <c r="C609" i="85"/>
  <c r="C1553" i="85"/>
  <c r="C569" i="85"/>
  <c r="C79" i="85"/>
  <c r="C619" i="85"/>
  <c r="C1705" i="85"/>
  <c r="C1744" i="85"/>
  <c r="C513" i="85"/>
  <c r="C1889" i="85"/>
  <c r="C255" i="85"/>
  <c r="C899" i="85"/>
  <c r="C782" i="85"/>
  <c r="C1392" i="85"/>
  <c r="C726" i="85"/>
  <c r="C951" i="85"/>
  <c r="C1045" i="85"/>
  <c r="C1914" i="85"/>
  <c r="C1156" i="85"/>
  <c r="C247" i="85"/>
  <c r="C673" i="85"/>
  <c r="C957" i="85"/>
  <c r="C860" i="85"/>
  <c r="C1435" i="85"/>
  <c r="C1372" i="85"/>
  <c r="C483" i="85"/>
  <c r="C1340" i="85"/>
  <c r="C490" i="85"/>
  <c r="C775" i="85"/>
  <c r="C997" i="85"/>
  <c r="C415" i="85"/>
  <c r="C412" i="85"/>
  <c r="C1865" i="85"/>
  <c r="C1503" i="85"/>
  <c r="C1051" i="85"/>
  <c r="C272" i="85"/>
  <c r="C1930" i="85"/>
  <c r="C748" i="85"/>
  <c r="C1469" i="85"/>
  <c r="C1573" i="85"/>
  <c r="C128" i="85"/>
  <c r="C849" i="85"/>
  <c r="C853" i="85"/>
  <c r="C1530" i="85"/>
  <c r="C1783" i="85"/>
  <c r="C1139" i="85"/>
  <c r="C28" i="85"/>
  <c r="C1183" i="85"/>
  <c r="C1975" i="85"/>
  <c r="C1474" i="85"/>
  <c r="C1823" i="85"/>
  <c r="C968" i="85"/>
  <c r="C1577" i="85"/>
  <c r="C1518" i="85"/>
  <c r="C176" i="85"/>
  <c r="C1046" i="85"/>
  <c r="C1236" i="85"/>
  <c r="C753" i="85"/>
  <c r="C826" i="85"/>
  <c r="C790" i="85"/>
  <c r="C652" i="85"/>
  <c r="C312" i="85"/>
  <c r="C1878" i="85"/>
  <c r="C562" i="85"/>
  <c r="C1846" i="85"/>
  <c r="C610" i="85"/>
  <c r="C919" i="85"/>
  <c r="C772" i="85"/>
  <c r="C949" i="85"/>
  <c r="C694" i="85"/>
  <c r="C1464" i="85"/>
  <c r="C1181" i="85"/>
  <c r="C970" i="85"/>
  <c r="C1237" i="85"/>
  <c r="C1595" i="85"/>
  <c r="C1720" i="85"/>
  <c r="C614" i="85"/>
  <c r="C419" i="85"/>
  <c r="C1928" i="85"/>
  <c r="C1013" i="85"/>
  <c r="C1797" i="85"/>
  <c r="C1977" i="85"/>
  <c r="C695" i="85"/>
  <c r="C1738" i="85"/>
  <c r="C243" i="85"/>
  <c r="C1502" i="85"/>
  <c r="C895" i="85"/>
  <c r="C865" i="85"/>
  <c r="C230" i="85"/>
  <c r="C1129" i="85"/>
  <c r="C1347" i="85"/>
  <c r="C981" i="85"/>
  <c r="C1171" i="85"/>
  <c r="C1384" i="85"/>
  <c r="C1048" i="85"/>
  <c r="C1092" i="85"/>
  <c r="C1602" i="85"/>
  <c r="C289" i="85"/>
  <c r="C1707" i="85"/>
  <c r="C1665" i="85"/>
  <c r="C1546" i="85"/>
  <c r="C1096" i="85"/>
  <c r="C1877" i="85"/>
  <c r="C741" i="85"/>
  <c r="C478" i="85"/>
  <c r="C745" i="85"/>
  <c r="C584" i="85"/>
  <c r="C1272" i="85"/>
  <c r="C1275" i="85"/>
  <c r="C1006" i="85"/>
  <c r="C633" i="85"/>
  <c r="C537" i="85"/>
  <c r="C686" i="85"/>
  <c r="C410" i="85"/>
  <c r="C1824" i="85"/>
  <c r="C480" i="85"/>
  <c r="C1782" i="85"/>
  <c r="C1888" i="85"/>
  <c r="C1067" i="85"/>
  <c r="C440" i="85"/>
  <c r="C258" i="85"/>
  <c r="C711" i="85"/>
  <c r="C1545" i="85"/>
  <c r="C235" i="85"/>
  <c r="C778" i="85"/>
  <c r="C1140" i="85"/>
  <c r="C1684" i="85"/>
  <c r="C907" i="85"/>
  <c r="C340" i="85"/>
  <c r="C1448" i="85"/>
  <c r="C1244" i="85"/>
  <c r="C739" i="85"/>
  <c r="C885" i="85"/>
  <c r="C1346" i="85"/>
  <c r="C1639" i="85"/>
  <c r="C516" i="85"/>
  <c r="C891" i="85"/>
  <c r="C915" i="85"/>
  <c r="C1300" i="85"/>
  <c r="C1404" i="85"/>
  <c r="C1781" i="85"/>
  <c r="C744" i="85"/>
  <c r="C1696" i="85"/>
  <c r="C455" i="85"/>
  <c r="C476" i="85"/>
  <c r="C1064" i="85"/>
  <c r="C482" i="85"/>
  <c r="C1295" i="85"/>
  <c r="C599" i="85"/>
  <c r="C1519" i="85"/>
  <c r="C1377" i="85"/>
  <c r="C1320" i="85"/>
  <c r="C1818" i="85"/>
  <c r="C1847" i="85"/>
  <c r="C383" i="85"/>
  <c r="C292" i="85"/>
  <c r="C911" i="85"/>
  <c r="C759" i="85"/>
  <c r="C1207" i="85"/>
  <c r="C369" i="85"/>
  <c r="C735" i="85"/>
  <c r="C1220" i="85"/>
  <c r="C1039" i="85"/>
  <c r="C1324" i="85"/>
  <c r="C1164" i="85"/>
  <c r="C1543" i="85"/>
  <c r="C1304" i="85"/>
  <c r="C1229" i="85"/>
  <c r="C1856" i="85"/>
  <c r="C955" i="85"/>
  <c r="C1712" i="85"/>
  <c r="C534" i="85"/>
  <c r="C304" i="85"/>
  <c r="C1002" i="85"/>
  <c r="C1494" i="85"/>
  <c r="C597" i="85"/>
  <c r="C1808" i="85"/>
  <c r="C819" i="85"/>
  <c r="C299" i="85"/>
  <c r="C1985" i="85"/>
  <c r="C457" i="85"/>
  <c r="C1090" i="85"/>
  <c r="C1606" i="85"/>
  <c r="C1461" i="85"/>
  <c r="C1061" i="85"/>
  <c r="C1389" i="85"/>
  <c r="C760" i="85"/>
  <c r="C801" i="85"/>
  <c r="C587" i="85"/>
  <c r="C1629" i="85"/>
  <c r="C866" i="85"/>
  <c r="C1999" i="85"/>
  <c r="C263" i="85"/>
  <c r="C1309" i="85"/>
  <c r="C1663" i="85"/>
  <c r="C1219" i="85"/>
  <c r="C740" i="85"/>
  <c r="C1699" i="85"/>
  <c r="C1245" i="85"/>
  <c r="C350" i="85"/>
  <c r="C56" i="85"/>
  <c r="C1487" i="85"/>
  <c r="C1447" i="85"/>
  <c r="C177" i="85"/>
  <c r="C1826" i="85"/>
  <c r="C1315" i="85"/>
  <c r="C1932" i="85"/>
  <c r="C1065" i="85"/>
  <c r="C1909" i="85"/>
  <c r="C1584" i="85"/>
  <c r="C602" i="85"/>
  <c r="C1778" i="85"/>
  <c r="C1554" i="85"/>
  <c r="C1871" i="85"/>
  <c r="C1388" i="85"/>
  <c r="C1431" i="85"/>
  <c r="C375" i="85"/>
  <c r="C84" i="85"/>
  <c r="C437" i="85"/>
  <c r="C1788" i="85"/>
  <c r="C1915" i="85"/>
  <c r="C68" i="85"/>
  <c r="C1206" i="85"/>
  <c r="C1490" i="85"/>
  <c r="C580" i="85"/>
  <c r="C1342" i="85"/>
  <c r="C1058" i="85"/>
  <c r="C426" i="85"/>
  <c r="C1565" i="85"/>
  <c r="C839" i="85"/>
  <c r="C1832" i="85"/>
  <c r="C1835" i="85"/>
  <c r="C1033" i="85"/>
  <c r="C1683" i="85"/>
  <c r="C1050" i="85"/>
  <c r="C646" i="85"/>
  <c r="C1726" i="85"/>
  <c r="C356" i="85"/>
  <c r="C362" i="85"/>
  <c r="C189" i="85"/>
  <c r="C459" i="85"/>
  <c r="C416" i="85"/>
  <c r="C1000" i="85"/>
  <c r="C445" i="85"/>
  <c r="C1669" i="85"/>
  <c r="C1253" i="85"/>
  <c r="C1867" i="85"/>
  <c r="C1363" i="85"/>
  <c r="C515" i="85"/>
  <c r="C1043" i="85"/>
  <c r="C578" i="85"/>
  <c r="C1925" i="85"/>
  <c r="C1069" i="85"/>
  <c r="C333" i="85"/>
  <c r="C724" i="85"/>
  <c r="C401" i="85"/>
  <c r="C1189" i="85"/>
  <c r="C829" i="85"/>
  <c r="C59" i="85"/>
  <c r="C67" i="85"/>
  <c r="C1690" i="85"/>
  <c r="C227" i="85"/>
  <c r="C1007" i="85"/>
  <c r="C937" i="85"/>
  <c r="C613" i="85"/>
  <c r="C1170" i="85"/>
  <c r="C1259" i="85"/>
  <c r="C1034" i="85"/>
  <c r="C1134" i="85"/>
  <c r="C995" i="85"/>
  <c r="C1209" i="85"/>
  <c r="C2000" i="85"/>
  <c r="C1942" i="85"/>
  <c r="C1313" i="85"/>
  <c r="C486" i="85"/>
  <c r="C1589" i="85"/>
  <c r="C1539" i="85"/>
  <c r="C1687" i="85"/>
  <c r="C1311" i="85"/>
  <c r="C1085" i="85"/>
  <c r="C768" i="85"/>
  <c r="C1185" i="85"/>
  <c r="C325" i="85"/>
  <c r="C1108" i="85"/>
  <c r="C982" i="85"/>
  <c r="C1721" i="85"/>
  <c r="C171" i="85"/>
  <c r="C505" i="85"/>
  <c r="C664" i="85"/>
  <c r="C1228" i="85"/>
  <c r="C1736" i="85"/>
  <c r="C477" i="85"/>
  <c r="C1903" i="85"/>
  <c r="C363" i="85"/>
  <c r="C1870" i="85"/>
  <c r="C1976" i="85"/>
  <c r="C1724" i="85"/>
  <c r="C1467" i="85"/>
  <c r="C264" i="85"/>
  <c r="C491" i="85"/>
  <c r="C494" i="85"/>
  <c r="C120" i="85"/>
  <c r="C1063" i="85"/>
  <c r="C1079" i="85"/>
  <c r="C1148" i="85"/>
  <c r="C1580" i="85"/>
  <c r="C1386" i="85"/>
  <c r="C1424" i="85"/>
  <c r="C577" i="85"/>
  <c r="C902" i="85"/>
  <c r="C1408" i="85"/>
  <c r="C800" i="85"/>
  <c r="C63" i="85"/>
  <c r="C558" i="85"/>
  <c r="C173" i="85"/>
  <c r="C938" i="85"/>
  <c r="C1709" i="85"/>
  <c r="C1100" i="85"/>
  <c r="C732" i="85"/>
  <c r="C1881" i="85"/>
  <c r="C511" i="85"/>
  <c r="C1798" i="85"/>
  <c r="C240" i="85"/>
  <c r="C532" i="85"/>
  <c r="C825" i="85"/>
  <c r="C945" i="85"/>
  <c r="C996" i="85"/>
  <c r="C384" i="85"/>
  <c r="C1772" i="85"/>
  <c r="C1070" i="85"/>
  <c r="C411" i="85"/>
  <c r="C1109" i="85"/>
  <c r="C1770" i="85"/>
  <c r="C1162" i="85"/>
  <c r="C1520" i="85"/>
  <c r="C1991" i="85"/>
  <c r="C1667" i="85"/>
  <c r="C1197" i="85"/>
  <c r="C901" i="85"/>
  <c r="C688" i="85"/>
  <c r="C1361" i="85"/>
  <c r="C1661" i="85"/>
  <c r="C1973" i="85"/>
  <c r="C1676" i="85"/>
  <c r="C986" i="85"/>
  <c r="C767" i="85"/>
  <c r="C433" i="85"/>
  <c r="C1175" i="85"/>
  <c r="C940" i="85"/>
  <c r="C187" i="85"/>
  <c r="C1561" i="85"/>
  <c r="C1524" i="85"/>
  <c r="C305" i="85"/>
  <c r="C1110" i="85"/>
  <c r="C197" i="85"/>
  <c r="C1370" i="85"/>
  <c r="C545" i="85"/>
  <c r="C1459" i="85"/>
  <c r="C1225" i="85"/>
  <c r="C1204" i="85"/>
  <c r="C80" i="85"/>
  <c r="C1599" i="85"/>
  <c r="C1334" i="85"/>
  <c r="C733" i="85"/>
  <c r="C1298" i="85"/>
  <c r="C92" i="85"/>
  <c r="C1446" i="85"/>
  <c r="C1799" i="85"/>
  <c r="C519" i="85"/>
  <c r="C883" i="85"/>
  <c r="C1486" i="85"/>
  <c r="C448" i="85"/>
  <c r="C1757" i="85"/>
  <c r="C186" i="85"/>
  <c r="C1187" i="85"/>
  <c r="C946" i="85"/>
  <c r="C414" i="85"/>
  <c r="C1012" i="85"/>
  <c r="C1172" i="85"/>
  <c r="C1165" i="85"/>
  <c r="C239" i="85"/>
  <c r="C1751" i="85"/>
  <c r="C813" i="85"/>
  <c r="C1695" i="85"/>
  <c r="C620" i="85"/>
  <c r="C823" i="85"/>
  <c r="C557" i="85"/>
  <c r="C523" i="85"/>
  <c r="C1202" i="85"/>
  <c r="C1089" i="85"/>
  <c r="C1853" i="85"/>
  <c r="C1488" i="85"/>
  <c r="C1167" i="85"/>
  <c r="C1312" i="85"/>
  <c r="C1077" i="85"/>
  <c r="C65" i="85"/>
  <c r="C1926" i="85"/>
  <c r="C1250" i="85"/>
  <c r="C893" i="85"/>
  <c r="C1293" i="85"/>
  <c r="C391" i="85"/>
  <c r="C647" i="85"/>
  <c r="C1995" i="85"/>
  <c r="C1477" i="85"/>
  <c r="C1083" i="85"/>
  <c r="C1115" i="85"/>
  <c r="C201" i="85"/>
  <c r="C232" i="85"/>
  <c r="C967" i="85"/>
  <c r="C1409" i="85"/>
  <c r="C802" i="85"/>
  <c r="C618" i="85"/>
  <c r="C343" i="85"/>
  <c r="C936" i="85"/>
  <c r="C1080" i="85"/>
  <c r="C500" i="85"/>
  <c r="C762" i="85"/>
  <c r="C290" i="85"/>
  <c r="C1784" i="85"/>
  <c r="C1534" i="85"/>
  <c r="C1658" i="85"/>
  <c r="C1946" i="85"/>
  <c r="C331" i="85"/>
  <c r="C1743" i="85"/>
  <c r="C1898" i="85"/>
  <c r="C1625" i="85"/>
  <c r="C1001" i="85"/>
  <c r="C475" i="85"/>
  <c r="C1003" i="85"/>
  <c r="C1371" i="85"/>
  <c r="C1458" i="85"/>
  <c r="C1440" i="85"/>
  <c r="C594" i="85"/>
  <c r="C1569" i="85"/>
  <c r="C438" i="85"/>
  <c r="C1929" i="85"/>
  <c r="C690" i="85"/>
  <c r="C399" i="85"/>
  <c r="C845" i="85"/>
  <c r="C586" i="85"/>
  <c r="C86" i="85"/>
  <c r="C635" i="85"/>
  <c r="C270" i="85"/>
  <c r="C1854" i="85"/>
  <c r="C1521" i="85"/>
  <c r="C1905" i="85"/>
  <c r="C1400" i="85"/>
  <c r="C1336" i="85"/>
  <c r="C950" i="85"/>
  <c r="C1260" i="85"/>
  <c r="C1216" i="85"/>
  <c r="C975" i="85"/>
  <c r="C1989" i="85"/>
  <c r="C1154" i="85"/>
  <c r="C344" i="85"/>
  <c r="C1731" i="85"/>
  <c r="C1186" i="85"/>
  <c r="C1773" i="85"/>
  <c r="C1223" i="85"/>
  <c r="C386" i="85"/>
  <c r="C1049" i="85"/>
  <c r="C1759" i="85"/>
  <c r="C1566" i="85"/>
  <c r="C245" i="85"/>
  <c r="C298" i="85"/>
  <c r="C1711" i="85"/>
  <c r="C852" i="85"/>
  <c r="C175" i="85"/>
  <c r="C283" i="85"/>
  <c r="C1967" i="85"/>
  <c r="C81" i="85"/>
  <c r="C1981" i="85"/>
  <c r="C1550" i="85"/>
  <c r="C215" i="85"/>
  <c r="C1982" i="85"/>
  <c r="C1504" i="85"/>
  <c r="C503" i="85"/>
  <c r="C1366" i="85"/>
  <c r="C1746" i="85"/>
  <c r="C1349" i="85"/>
  <c r="C571" i="85"/>
  <c r="C466" i="85"/>
  <c r="C983" i="85"/>
  <c r="C1849" i="85"/>
  <c r="C219" i="85"/>
  <c r="C346" i="85"/>
  <c r="C435" i="85"/>
  <c r="C54" i="85"/>
  <c r="C1812" i="85"/>
  <c r="C1399" i="85"/>
  <c r="C874" i="85"/>
  <c r="C184" i="85"/>
  <c r="C1242" i="85"/>
  <c r="C859" i="85"/>
  <c r="C1866" i="85"/>
  <c r="C431" i="85"/>
  <c r="C1621" i="85"/>
  <c r="C442" i="85"/>
  <c r="C1217" i="85"/>
  <c r="C1713" i="85"/>
  <c r="C750" i="85"/>
  <c r="C1551" i="85"/>
  <c r="C1201" i="85"/>
  <c r="C1538" i="85"/>
  <c r="C1597" i="85"/>
  <c r="C244" i="85"/>
  <c r="C1650" i="85"/>
  <c r="C707" i="85"/>
  <c r="C324" i="85"/>
  <c r="C837" i="85"/>
  <c r="C217" i="85"/>
  <c r="C256" i="85"/>
  <c r="C261" i="85"/>
  <c r="C1290" i="85"/>
  <c r="C473" i="85"/>
  <c r="C456" i="85"/>
  <c r="C535" i="85"/>
  <c r="C465" i="85"/>
  <c r="C1337" i="85"/>
  <c r="C676" i="85"/>
  <c r="C794" i="85"/>
  <c r="C757" i="85"/>
  <c r="C191" i="85"/>
  <c r="C257" i="85"/>
  <c r="C1053" i="85"/>
  <c r="C882" i="85"/>
  <c r="C236" i="85"/>
  <c r="C962" i="85"/>
  <c r="C1723" i="85"/>
  <c r="C1796" i="85"/>
  <c r="C1512" i="85"/>
  <c r="C1769" i="85"/>
  <c r="C730" i="85"/>
  <c r="C992" i="85"/>
  <c r="C637" i="85"/>
  <c r="C669" i="85"/>
  <c r="C592" i="85"/>
  <c r="C1689" i="85"/>
  <c r="C1793" i="85"/>
  <c r="C1460" i="85"/>
  <c r="C288" i="85"/>
  <c r="C262" i="85"/>
  <c r="C174" i="85"/>
  <c r="C1194" i="85"/>
  <c r="C421" i="85"/>
  <c r="C94" i="85"/>
  <c r="C1248" i="85"/>
  <c r="C1951" i="85"/>
  <c r="C1791" i="85"/>
  <c r="C675" i="85"/>
  <c r="C1390" i="85"/>
  <c r="C1191" i="85"/>
  <c r="C1571" i="85"/>
  <c r="C763" i="85"/>
  <c r="C41" i="85"/>
  <c r="C422" i="85"/>
  <c r="C563" i="85"/>
  <c r="C1484" i="85"/>
  <c r="C1014" i="85"/>
  <c r="C470" i="85"/>
  <c r="C1373" i="85"/>
  <c r="C1896" i="85"/>
  <c r="C1939" i="85"/>
  <c r="C180" i="85"/>
  <c r="C1405" i="85"/>
  <c r="C1637" i="85"/>
  <c r="C925" i="85"/>
  <c r="C196" i="85"/>
  <c r="C1753" i="85"/>
  <c r="C720" i="85"/>
  <c r="C228" i="85"/>
  <c r="C944" i="85"/>
  <c r="C409" i="85"/>
  <c r="C481" i="85"/>
  <c r="C1936" i="85"/>
  <c r="C1428" i="85"/>
  <c r="C1801" i="85"/>
  <c r="C1949" i="85"/>
  <c r="C1455" i="85"/>
  <c r="C939" i="85"/>
  <c r="C841" i="85"/>
  <c r="C1680" i="85"/>
  <c r="C961" i="85"/>
  <c r="C212" i="85"/>
  <c r="C190" i="85"/>
  <c r="C64" i="85"/>
  <c r="C1354" i="85"/>
  <c r="C1732" i="85"/>
  <c r="C672" i="85"/>
  <c r="C952" i="85"/>
  <c r="C1987" i="85"/>
  <c r="C1078" i="85"/>
  <c r="C842" i="85"/>
  <c r="C1750" i="85"/>
  <c r="C1019" i="85"/>
  <c r="C572" i="85"/>
  <c r="C913" i="85"/>
  <c r="C1659" i="85"/>
  <c r="C1688" i="85"/>
  <c r="C1971" i="85"/>
  <c r="C1686" i="85"/>
  <c r="C1084" i="85"/>
  <c r="C1805" i="85"/>
  <c r="C1733" i="85"/>
  <c r="C1413" i="85"/>
  <c r="C918" i="85"/>
  <c r="C1510" i="85"/>
  <c r="C1666" i="85"/>
  <c r="C1848" i="85"/>
  <c r="C1299" i="85"/>
  <c r="C758" i="85"/>
  <c r="C1685" i="85"/>
  <c r="C1113" i="85"/>
  <c r="C1717" i="85"/>
  <c r="C1360" i="85"/>
  <c r="C1924" i="85"/>
  <c r="C681" i="85"/>
  <c r="C1807" i="85"/>
  <c r="C603" i="85"/>
  <c r="C441" i="85"/>
  <c r="C1330" i="85"/>
  <c r="C293" i="85"/>
  <c r="C715" i="85"/>
  <c r="C642" i="85"/>
  <c r="C1138" i="85"/>
  <c r="C502" i="85"/>
  <c r="C394" i="85"/>
  <c r="C1592" i="85"/>
  <c r="C651" i="85"/>
  <c r="C1596" i="85"/>
  <c r="C1923" i="85"/>
  <c r="C570" i="85"/>
  <c r="C956" i="85"/>
  <c r="C548" i="85"/>
  <c r="C1124" i="85"/>
  <c r="C640" i="85"/>
  <c r="C1128" i="85"/>
  <c r="C40" i="85"/>
  <c r="C279" i="85"/>
  <c r="C27" i="85"/>
  <c r="C1789" i="85"/>
  <c r="C840" i="85"/>
  <c r="C693" i="85"/>
  <c r="C506" i="85"/>
  <c r="C1011" i="85"/>
  <c r="C828" i="85"/>
  <c r="C1813" i="85"/>
  <c r="C231" i="85"/>
  <c r="C1276" i="85"/>
  <c r="C1631" i="85"/>
  <c r="C1527" i="85"/>
  <c r="C1008" i="85"/>
  <c r="C810" i="85"/>
  <c r="C1150" i="85"/>
  <c r="C1517" i="85"/>
  <c r="C1130" i="85"/>
  <c r="C1422" i="85"/>
  <c r="C543" i="85"/>
  <c r="C524" i="85"/>
  <c r="C774" i="85"/>
  <c r="C1385" i="85"/>
  <c r="C1887" i="85"/>
  <c r="C1345" i="85"/>
  <c r="C1851" i="85"/>
  <c r="C181" i="85"/>
  <c r="C1906" i="85"/>
  <c r="C35" i="85"/>
  <c r="C622" i="85"/>
  <c r="C1149" i="85"/>
  <c r="C1653" i="85"/>
  <c r="C1624" i="85"/>
  <c r="C1582" i="85"/>
  <c r="C1074" i="85"/>
  <c r="C452" i="85"/>
  <c r="C1758" i="85"/>
  <c r="C1017" i="85"/>
  <c r="C1205" i="85"/>
  <c r="C1066" i="85"/>
  <c r="C607" i="85"/>
  <c r="C1166" i="85"/>
  <c r="C1885" i="85"/>
  <c r="C1556" i="85"/>
  <c r="C126" i="85"/>
  <c r="C1940" i="85"/>
  <c r="C427" i="85"/>
  <c r="C170" i="85"/>
  <c r="C1872" i="85"/>
  <c r="C1314" i="85"/>
  <c r="C1563" i="85"/>
  <c r="C1943" i="85"/>
  <c r="C890" i="85"/>
  <c r="C1301" i="85"/>
  <c r="C1155" i="85"/>
  <c r="C705" i="85"/>
  <c r="C1604" i="85"/>
  <c r="C916" i="85"/>
  <c r="C1179" i="85"/>
  <c r="C1289" i="85"/>
  <c r="C33" i="85"/>
  <c r="C947" i="85"/>
  <c r="C1472" i="85"/>
  <c r="C48" i="85"/>
  <c r="C91" i="85"/>
  <c r="C789" i="85"/>
  <c r="C634" i="85"/>
  <c r="C208" i="85"/>
  <c r="C1436" i="85"/>
  <c r="C731" i="85"/>
  <c r="C1585" i="85"/>
  <c r="C169" i="85"/>
  <c r="C271" i="85"/>
  <c r="C250" i="85"/>
  <c r="C1407" i="85"/>
  <c r="C1980" i="85"/>
  <c r="C1861" i="85"/>
  <c r="C308" i="85"/>
  <c r="C1833" i="85"/>
  <c r="C1222" i="85"/>
  <c r="C1535" i="85"/>
  <c r="C1583" i="85"/>
  <c r="C1453" i="85"/>
  <c r="C708" i="85"/>
  <c r="C484" i="85"/>
  <c r="C1086" i="85"/>
  <c r="C880" i="85"/>
  <c r="C294" i="85"/>
  <c r="C830" i="85"/>
  <c r="C1265" i="85"/>
  <c r="C1902" i="85"/>
  <c r="C1303" i="85"/>
  <c r="C1775" i="85"/>
  <c r="C1146" i="85"/>
  <c r="C268" i="85"/>
  <c r="C1752" i="85"/>
  <c r="C1184" i="85"/>
  <c r="C1619" i="85"/>
  <c r="C1122" i="85"/>
  <c r="C306" i="85"/>
  <c r="C1894" i="85"/>
  <c r="C649" i="85"/>
  <c r="C1809" i="85"/>
  <c r="C1986" i="85"/>
  <c r="C1199" i="85"/>
  <c r="C1623" i="85"/>
  <c r="C1544" i="85"/>
  <c r="C1227" i="85"/>
  <c r="C1974" i="85"/>
  <c r="C1919" i="85"/>
  <c r="C185" i="85"/>
  <c r="C1842" i="85"/>
  <c r="C1540" i="85"/>
  <c r="C630" i="85"/>
  <c r="C286" i="85"/>
  <c r="C1485" i="85"/>
  <c r="C1121" i="85"/>
  <c r="C1794" i="85"/>
  <c r="C1719" i="85"/>
  <c r="C1763" i="85"/>
  <c r="C1656" i="85"/>
  <c r="C804" i="85"/>
  <c r="C870" i="85"/>
  <c r="C626" i="85"/>
  <c r="C1025" i="85"/>
  <c r="C656" i="85"/>
  <c r="C1274" i="85"/>
  <c r="C1369" i="85"/>
  <c r="C1678" i="85"/>
  <c r="C1262" i="85"/>
  <c r="C1652" i="85"/>
  <c r="C1292" i="85"/>
  <c r="C425" i="85"/>
  <c r="C1247" i="85"/>
  <c r="C1343" i="85"/>
  <c r="C269" i="85"/>
  <c r="C921" i="85"/>
  <c r="C1855" i="85"/>
  <c r="C1764" i="85"/>
  <c r="C300" i="85"/>
  <c r="C392" i="85"/>
  <c r="C1993" i="85"/>
  <c r="C1800" i="85"/>
  <c r="C838" i="85"/>
  <c r="C282" i="85"/>
  <c r="C616" i="85"/>
  <c r="C1933" i="85"/>
  <c r="C1350" i="85"/>
  <c r="C786" i="85"/>
  <c r="C1344" i="85"/>
  <c r="C1965" i="85"/>
  <c r="C1032" i="85"/>
  <c r="C122" i="85"/>
  <c r="C1132" i="85"/>
  <c r="C1414" i="85"/>
  <c r="C1838" i="85"/>
  <c r="C1425" i="85"/>
  <c r="C864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<sst xmlns="http://schemas.openxmlformats.org/spreadsheetml/2006/main" count="33664" uniqueCount="2637">
  <si>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</si>
  <si>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</si>
  <si>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</si>
  <si>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</si>
  <si>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</si>
  <si>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</si>
  <si>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</si>
  <si>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</si>
  <si>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</si>
  <si>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</si>
  <si>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</si>
  <si>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</si>
  <si>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</si>
  <si>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</si>
  <si>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</si>
  <si>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</si>
  <si>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</si>
  <si>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</si>
  <si>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</si>
  <si>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</si>
  <si>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</si>
  <si>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</si>
  <si>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</si>
  <si>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</si>
  <si>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</si>
  <si>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</si>
  <si>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</si>
  <si>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</si>
  <si>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</si>
  <si>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</si>
  <si>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</si>
  <si>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</si>
  <si>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</si>
  <si>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</si>
  <si>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</si>
  <si>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</si>
  <si>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</si>
  <si>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</si>
  <si>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</si>
  <si>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</si>
  <si>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</si>
  <si>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</si>
  <si>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</si>
  <si>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</si>
  <si>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</si>
  <si>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</si>
  <si>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</si>
  <si>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</si>
  <si>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</si>
  <si>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</si>
  <si>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</si>
  <si>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</si>
  <si>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</si>
  <si>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</si>
  <si>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</si>
  <si>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</si>
  <si>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</si>
  <si>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</si>
  <si>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</si>
  <si>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</si>
  <si>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</si>
  <si>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</si>
  <si>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</si>
  <si>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</si>
  <si>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</si>
  <si>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</si>
  <si>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</si>
  <si>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</si>
  <si>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</si>
  <si>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</si>
  <si>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</si>
  <si>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</si>
  <si>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</si>
  <si>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</si>
  <si>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</si>
  <si>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</si>
  <si>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</si>
  <si>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</si>
  <si>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</si>
  <si>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</si>
  <si>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</si>
  <si>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</si>
  <si>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</si>
  <si>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</si>
  <si>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</si>
  <si>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</si>
  <si>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</si>
  <si>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</si>
  <si>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</si>
  <si>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</si>
  <si>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</si>
  <si>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</si>
  <si>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</si>
  <si>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</si>
  <si>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</si>
  <si>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</si>
  <si>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</si>
  <si>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</si>
  <si>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</si>
  <si>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</si>
  <si>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</si>
  <si>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</si>
  <si>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</si>
  <si>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</si>
  <si>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</si>
  <si>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</si>
  <si>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</si>
  <si>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</si>
  <si>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</si>
  <si>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</si>
  <si>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</si>
  <si>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</si>
  <si>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</si>
  <si>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</si>
  <si>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</si>
  <si>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</si>
  <si>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</si>
  <si>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</si>
  <si>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</si>
  <si>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</si>
  <si>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</si>
  <si>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</si>
  <si>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</si>
  <si>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</si>
  <si>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</si>
  <si>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</si>
  <si>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</si>
  <si>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</si>
  <si>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</si>
  <si>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</si>
  <si>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</si>
  <si>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</si>
  <si>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</si>
  <si>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</si>
  <si>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</si>
  <si>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</si>
  <si>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</si>
  <si>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</si>
  <si>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</si>
  <si>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</si>
  <si>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</si>
  <si>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</si>
  <si>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</si>
  <si>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</si>
  <si>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</si>
  <si>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</si>
  <si>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</si>
  <si>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</si>
  <si>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</si>
  <si>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</si>
  <si>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</si>
  <si>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</si>
  <si>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</si>
  <si>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</si>
  <si>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</si>
  <si>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</si>
  <si>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</si>
  <si>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</si>
  <si>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</si>
  <si>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</si>
  <si>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</si>
  <si>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</si>
  <si>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</si>
  <si>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</si>
  <si>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</si>
  <si>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</si>
  <si>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</si>
  <si>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</si>
  <si>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</si>
  <si>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</si>
  <si>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</si>
  <si>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</si>
  <si>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</si>
  <si>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</si>
  <si>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</si>
  <si>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</si>
  <si>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</si>
  <si>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</si>
  <si>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</si>
  <si>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</si>
  <si>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</si>
  <si>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</si>
  <si>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</si>
  <si>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</si>
  <si>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</si>
  <si>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</si>
  <si>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</si>
  <si>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</si>
  <si>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</si>
  <si>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</si>
  <si>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</si>
  <si>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</si>
  <si>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</si>
  <si>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</si>
  <si>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</si>
  <si>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</si>
  <si>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</si>
  <si>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</si>
  <si>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</si>
  <si>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</si>
  <si>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</si>
  <si>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</si>
  <si>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</si>
  <si>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</si>
  <si>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</si>
  <si>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</si>
  <si>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</si>
  <si>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</si>
  <si>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</si>
  <si>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</si>
  <si>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</si>
  <si>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</si>
  <si>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</si>
  <si>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</si>
  <si>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</si>
  <si>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</si>
  <si>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</si>
  <si>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</si>
  <si>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</si>
  <si>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</si>
  <si>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</si>
  <si>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</si>
  <si>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</si>
  <si>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</si>
  <si>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</si>
  <si>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</si>
  <si>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</si>
  <si>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</si>
  <si>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</si>
  <si>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</si>
  <si>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</si>
  <si>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</si>
  <si>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</si>
  <si>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</si>
  <si>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</si>
  <si>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</si>
  <si>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</si>
  <si>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</si>
  <si>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</si>
  <si>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</si>
  <si>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</si>
  <si>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</si>
  <si>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</si>
  <si>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</si>
  <si>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</si>
  <si>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</si>
  <si>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</si>
  <si>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</si>
  <si>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</si>
  <si>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</si>
  <si>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</si>
  <si>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</si>
  <si>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</si>
  <si>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</si>
  <si>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</si>
  <si>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</si>
  <si>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</si>
  <si>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</si>
  <si>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</si>
  <si>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</si>
  <si>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</si>
  <si>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</si>
  <si>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</si>
  <si>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</si>
  <si>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</si>
  <si>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</si>
  <si>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</si>
  <si>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</si>
  <si>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</si>
  <si>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</si>
  <si>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</si>
  <si>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</si>
  <si>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</si>
  <si>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</si>
  <si>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</si>
  <si>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</si>
  <si>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</si>
  <si>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</si>
  <si>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</si>
  <si>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</si>
  <si>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</si>
  <si>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</si>
  <si>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</si>
  <si>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</si>
  <si>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</si>
  <si>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</si>
  <si>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</si>
  <si>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</si>
  <si>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</si>
  <si>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</si>
  <si>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</si>
  <si>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</si>
  <si>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</si>
  <si>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</si>
  <si>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</si>
  <si>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</si>
  <si>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</si>
  <si>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</si>
  <si>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</si>
  <si>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</si>
  <si>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</si>
  <si>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</si>
  <si>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</si>
  <si>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</si>
  <si>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</si>
  <si>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</si>
  <si>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</si>
  <si>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</si>
  <si>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</si>
  <si>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</si>
  <si>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</si>
  <si>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</si>
  <si>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</si>
  <si>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</si>
  <si>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</si>
  <si>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</si>
  <si>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</si>
  <si>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</si>
  <si>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</si>
  <si>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</si>
  <si>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</si>
  <si>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</si>
  <si>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</si>
  <si>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</si>
  <si>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</si>
  <si>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</si>
  <si>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</si>
  <si>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</si>
  <si>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</si>
  <si>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</si>
  <si>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</si>
  <si>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</si>
  <si>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</si>
  <si>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</si>
  <si>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</si>
  <si>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</si>
  <si>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</si>
  <si>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</si>
  <si>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</si>
  <si>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</si>
  <si>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</si>
  <si>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</si>
  <si>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</si>
  <si>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</si>
  <si>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</si>
  <si>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</si>
  <si>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</si>
  <si>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</si>
  <si>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</si>
  <si>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</si>
  <si>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</si>
  <si>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</si>
  <si>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</si>
  <si>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</si>
  <si>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</si>
  <si>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</si>
  <si>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</si>
  <si>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</si>
  <si>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</si>
  <si>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</si>
  <si>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</si>
  <si>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</si>
  <si>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</si>
  <si>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</si>
  <si>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</si>
  <si>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</si>
  <si>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</si>
  <si>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</si>
  <si>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</si>
  <si>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</si>
  <si>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</si>
  <si>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</si>
  <si>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</si>
  <si>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</si>
  <si>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</si>
  <si>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</si>
  <si>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</si>
  <si>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</si>
  <si>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</si>
  <si>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</si>
  <si>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</si>
  <si>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</si>
  <si>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</si>
  <si>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</si>
  <si>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</si>
  <si>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</si>
  <si>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</si>
  <si>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</si>
  <si>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</si>
  <si>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</si>
  <si>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</si>
  <si>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</si>
  <si>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</si>
  <si>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</si>
  <si>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</si>
  <si>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</si>
  <si>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</si>
  <si>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</si>
  <si>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</si>
  <si>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</si>
  <si>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</si>
  <si>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</si>
  <si>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</si>
  <si>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</si>
  <si>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</si>
  <si>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</si>
  <si>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</si>
  <si>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</si>
  <si>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</si>
  <si>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</si>
  <si>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</si>
  <si>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</si>
  <si>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</si>
  <si>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</si>
  <si>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</si>
  <si>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</si>
  <si>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</si>
  <si>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</si>
  <si>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</si>
  <si>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</si>
  <si>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</si>
  <si>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</si>
  <si>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</si>
  <si>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</si>
  <si>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</si>
  <si>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</si>
  <si>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</si>
  <si>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</si>
  <si>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</si>
  <si>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</si>
  <si>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</si>
  <si>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</si>
  <si>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</si>
  <si>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</si>
  <si>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</si>
  <si>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</si>
  <si>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</si>
  <si>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</si>
  <si>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</si>
  <si>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</si>
  <si>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</si>
  <si>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</si>
  <si>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</si>
  <si>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</si>
  <si>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</si>
  <si>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</si>
  <si>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</si>
  <si>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</si>
  <si>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</si>
  <si>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</si>
  <si>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</si>
  <si>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</si>
  <si>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</si>
  <si>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</si>
  <si>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</si>
  <si>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</si>
  <si>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</si>
  <si>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</si>
  <si>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</si>
  <si>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</si>
  <si>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</si>
  <si>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</si>
  <si>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</si>
  <si>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</si>
  <si>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</si>
  <si>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</si>
  <si>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</si>
  <si>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</si>
  <si>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</si>
  <si>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</si>
  <si>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</si>
  <si>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</si>
  <si>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</si>
  <si>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</si>
  <si>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</si>
  <si>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</si>
  <si>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</si>
  <si>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</si>
  <si>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</si>
  <si>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</si>
  <si>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</si>
  <si>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</si>
  <si>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</si>
  <si>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</si>
  <si>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</si>
  <si>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</si>
  <si>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</si>
  <si>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</si>
  <si>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</si>
  <si>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</si>
  <si>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</si>
  <si>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</si>
  <si>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</si>
  <si>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</si>
  <si>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</si>
  <si>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</si>
  <si>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</si>
  <si>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</si>
  <si>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</si>
  <si>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</si>
  <si>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</si>
  <si>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</si>
  <si>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</si>
  <si>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</si>
  <si>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</si>
  <si>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</si>
  <si>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</si>
  <si>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</si>
  <si>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</si>
  <si>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</si>
  <si>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</si>
  <si>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</si>
  <si>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</si>
  <si>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</si>
  <si>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</si>
  <si>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</si>
  <si>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</si>
  <si>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</si>
  <si>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</si>
  <si>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</si>
  <si>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</si>
  <si>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</si>
  <si>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</si>
  <si>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</si>
  <si>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</si>
  <si>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</si>
  <si>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</si>
  <si>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</si>
  <si>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</si>
  <si>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</si>
  <si>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</si>
  <si>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</si>
  <si>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</si>
  <si>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</si>
  <si>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</si>
  <si>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</si>
  <si>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</si>
  <si>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</si>
  <si>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</si>
  <si>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</si>
  <si>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</si>
  <si>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</si>
  <si>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</si>
  <si>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</si>
  <si>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</si>
  <si>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</si>
  <si>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</si>
  <si>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</si>
  <si>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</si>
  <si>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</si>
  <si>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</si>
  <si>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</si>
  <si>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</si>
  <si>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</si>
  <si>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</si>
  <si>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</si>
  <si>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</si>
  <si>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</si>
  <si>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</si>
  <si>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</si>
  <si>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</si>
  <si>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</si>
  <si>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</si>
  <si>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</si>
  <si>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</si>
  <si>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</si>
  <si>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</si>
  <si>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</si>
  <si>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</si>
  <si>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</si>
  <si>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</si>
  <si>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</si>
  <si>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</si>
  <si>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</si>
  <si>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</si>
  <si>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</si>
  <si>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</si>
  <si>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</si>
  <si>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</si>
  <si>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</si>
  <si>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</si>
  <si>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</si>
  <si>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</si>
  <si>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</si>
  <si>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</si>
  <si>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</si>
  <si>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</si>
  <si>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</si>
  <si>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</si>
  <si>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</si>
  <si>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</si>
  <si>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</si>
  <si>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</si>
  <si>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</si>
  <si>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</si>
  <si>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</si>
  <si>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</si>
  <si>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</si>
  <si>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</si>
  <si>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</si>
  <si>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</si>
  <si>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</si>
  <si>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</si>
  <si>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</si>
  <si>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</si>
  <si>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</si>
  <si>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</si>
  <si>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</si>
  <si>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</si>
  <si>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</si>
  <si>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</si>
  <si>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</si>
  <si>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</si>
  <si>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</si>
  <si>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</si>
  <si>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</si>
  <si>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</si>
  <si>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</si>
  <si>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</si>
  <si>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</si>
  <si>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</si>
  <si>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</si>
  <si>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</si>
  <si>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</si>
  <si>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</si>
  <si>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</si>
  <si>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</si>
  <si>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</si>
  <si>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</si>
  <si>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</si>
  <si>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</si>
  <si>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</si>
  <si>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</si>
  <si>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</si>
  <si>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</si>
  <si>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</si>
  <si>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</si>
  <si>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</si>
  <si>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</si>
  <si>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</si>
  <si>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</si>
  <si>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</si>
  <si>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</si>
  <si>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</si>
  <si>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</si>
  <si>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</si>
  <si>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</si>
  <si>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</si>
  <si>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</si>
  <si>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</si>
  <si>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</si>
  <si>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</si>
  <si>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</si>
  <si>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</si>
  <si>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</si>
  <si>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</si>
  <si>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</si>
  <si>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</si>
  <si>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</si>
  <si>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</si>
  <si>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</si>
  <si>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</si>
  <si>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</si>
  <si>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</si>
  <si>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</si>
  <si>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</si>
  <si>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</si>
  <si>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</si>
  <si>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</si>
  <si>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</si>
  <si>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</si>
  <si>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</si>
  <si>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</si>
  <si>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</si>
  <si>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</si>
  <si>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</si>
  <si>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</si>
  <si>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</si>
  <si>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</si>
  <si>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</si>
  <si>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</si>
  <si>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</si>
  <si>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</si>
  <si>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</si>
  <si>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</si>
  <si>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</si>
  <si>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</si>
  <si>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</si>
  <si>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</si>
  <si>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</si>
  <si>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</si>
  <si>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</si>
  <si>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</si>
  <si>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</si>
  <si>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</si>
  <si>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</si>
  <si>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</si>
  <si>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</si>
  <si>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</si>
  <si>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</si>
  <si>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</si>
  <si>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</si>
  <si>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</si>
  <si>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</si>
  <si>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</si>
  <si>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</si>
  <si>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</si>
  <si>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</si>
  <si>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</si>
  <si>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</si>
  <si>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</si>
  <si>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</si>
  <si>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</si>
  <si>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</si>
  <si>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</si>
  <si>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</si>
  <si>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</si>
  <si>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</si>
  <si>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</si>
  <si>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</si>
  <si>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</si>
  <si>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</si>
  <si>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</si>
  <si>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</si>
  <si>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</si>
  <si>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</si>
  <si>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</si>
  <si>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</si>
  <si>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</si>
  <si>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</si>
  <si>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</si>
  <si>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</si>
  <si>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</si>
  <si>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</si>
  <si>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</si>
  <si>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</si>
  <si>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</si>
  <si>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</si>
  <si>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</si>
  <si>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</si>
  <si>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</si>
  <si>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</si>
  <si>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</si>
  <si>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</si>
  <si>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</si>
  <si>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</si>
  <si>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</si>
  <si>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</si>
  <si>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</si>
  <si>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</si>
  <si>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</si>
  <si>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</si>
  <si>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</si>
  <si>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</si>
  <si>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</si>
  <si>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</si>
  <si>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</si>
  <si>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</si>
  <si>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</si>
  <si>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</si>
  <si>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</si>
  <si>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</si>
  <si>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</si>
  <si>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</si>
  <si>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</si>
  <si>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</si>
  <si>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</si>
  <si>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</si>
  <si>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</si>
  <si>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</si>
  <si>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</si>
  <si>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</si>
  <si>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</si>
  <si>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</si>
  <si>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</si>
  <si>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</si>
  <si>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</si>
  <si>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</si>
  <si>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</si>
  <si>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</si>
  <si>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</si>
  <si>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</si>
  <si>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</si>
  <si>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</si>
  <si>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</si>
  <si>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</si>
  <si>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</si>
  <si>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</si>
  <si>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</si>
  <si>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</si>
  <si>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</si>
  <si>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</si>
  <si>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</si>
  <si>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</si>
  <si>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</si>
  <si>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</si>
  <si>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</si>
  <si>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</si>
  <si>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</si>
  <si>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</si>
  <si>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</si>
  <si>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</si>
  <si>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</si>
  <si>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</si>
  <si>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</si>
  <si>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</si>
  <si>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</si>
  <si>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</si>
  <si>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</si>
  <si>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</si>
  <si>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</si>
  <si>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</si>
  <si>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</si>
  <si>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</si>
  <si>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</si>
  <si>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</si>
  <si>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</si>
  <si>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</si>
  <si>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</si>
  <si>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</si>
  <si>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</si>
  <si>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</si>
  <si>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</si>
  <si>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</si>
  <si>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</si>
  <si>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</si>
  <si>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</si>
  <si>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</si>
  <si>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</si>
  <si>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</si>
  <si>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</si>
  <si>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</si>
  <si>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</si>
  <si>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</si>
  <si>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</si>
  <si>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</si>
  <si>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</si>
  <si>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</si>
  <si>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</si>
  <si>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</si>
  <si>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</si>
  <si>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</si>
  <si>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</si>
  <si>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</si>
  <si>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</si>
  <si>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</si>
  <si>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</si>
  <si>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</si>
  <si>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</si>
  <si>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</si>
  <si>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</si>
  <si>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</si>
  <si>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</si>
  <si>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</si>
  <si>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</si>
  <si>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</si>
  <si>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</si>
  <si>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</si>
  <si>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</si>
  <si>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</si>
  <si>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</si>
  <si>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</si>
  <si>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</si>
  <si>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</si>
  <si>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</si>
  <si>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</si>
  <si>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</si>
  <si>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</si>
  <si>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</si>
  <si>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</si>
  <si>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</si>
  <si>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</si>
  <si>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</si>
  <si>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</si>
  <si>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</si>
  <si>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</si>
  <si>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</si>
  <si>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</si>
  <si>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</si>
  <si>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</si>
  <si>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</si>
  <si>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</si>
  <si>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</si>
  <si>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</si>
  <si>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</si>
  <si>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</si>
  <si>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</si>
  <si>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</si>
  <si>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</si>
  <si>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</si>
  <si>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</si>
  <si>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</si>
  <si>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</si>
  <si>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</si>
  <si>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</si>
  <si>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</si>
  <si>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</si>
  <si>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</si>
  <si>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</si>
  <si>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</si>
  <si>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</si>
  <si>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</si>
  <si>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</si>
  <si>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</si>
  <si>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</si>
  <si>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</si>
  <si>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</si>
  <si>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</si>
  <si>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</si>
  <si>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</si>
  <si>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</si>
  <si>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</si>
  <si>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</si>
  <si>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</si>
  <si>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</si>
  <si>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</si>
  <si>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</si>
  <si>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</si>
  <si>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</si>
  <si>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</si>
  <si>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</si>
  <si>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</si>
  <si>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</si>
  <si>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</si>
  <si>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</si>
  <si>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</si>
  <si>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</si>
  <si>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</si>
  <si>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</si>
  <si>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</si>
  <si>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</si>
  <si>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</si>
  <si>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</si>
  <si>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</si>
  <si>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</si>
  <si>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</si>
  <si>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</si>
  <si>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</si>
  <si>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</si>
  <si>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</si>
  <si>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</si>
  <si>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</si>
  <si>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</si>
  <si>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</si>
  <si>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</si>
  <si>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</si>
  <si>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</si>
  <si>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</si>
  <si>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</si>
  <si>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</si>
  <si>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</si>
  <si>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</si>
  <si>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</si>
  <si>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</si>
  <si>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</si>
  <si>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</si>
  <si>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</si>
  <si>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</si>
  <si>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</si>
  <si>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</si>
  <si>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</si>
  <si>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</si>
  <si>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</si>
  <si>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</si>
  <si>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</si>
  <si>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</si>
  <si>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</si>
  <si>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</si>
  <si>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</si>
  <si>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</si>
  <si>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</si>
  <si>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</si>
  <si>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</si>
  <si>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</si>
  <si>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</si>
  <si>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</si>
  <si>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</si>
  <si>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</si>
  <si>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</si>
  <si>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</si>
  <si>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</si>
  <si>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</si>
  <si>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</si>
  <si>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</si>
  <si>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</si>
  <si>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</si>
  <si>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</si>
  <si>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</si>
  <si>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</si>
  <si>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</si>
  <si>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</si>
  <si>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</si>
  <si>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</si>
  <si>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</si>
  <si>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</si>
  <si>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</si>
  <si>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</si>
  <si>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</si>
  <si>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</si>
  <si>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</si>
  <si>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</si>
  <si>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</si>
  <si>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</si>
  <si>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</si>
  <si>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</si>
  <si>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</si>
  <si>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</si>
  <si>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</si>
  <si>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</si>
  <si>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</si>
  <si>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</si>
  <si>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</si>
  <si>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</si>
  <si>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</si>
  <si>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</si>
  <si>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</si>
  <si>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</si>
  <si>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</si>
  <si>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</si>
  <si>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</si>
  <si>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</si>
  <si>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</si>
  <si>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</si>
  <si>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</si>
  <si>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</si>
  <si>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</si>
  <si>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</si>
  <si>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</si>
  <si>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</si>
  <si>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</si>
  <si>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</si>
  <si>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</si>
  <si>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</si>
  <si>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</si>
  <si>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</si>
  <si>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</si>
  <si>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</si>
  <si>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</si>
  <si>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</si>
  <si>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</si>
  <si>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</si>
  <si>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</si>
  <si>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</si>
  <si>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</si>
  <si>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</si>
  <si>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</si>
  <si>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</si>
  <si>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</si>
  <si>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</si>
  <si>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</si>
  <si>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</si>
  <si>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</si>
  <si>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</si>
  <si>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</si>
  <si>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</si>
  <si>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</si>
  <si>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</si>
  <si>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</si>
  <si>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</si>
  <si>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</si>
  <si>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</si>
  <si>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</si>
  <si>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</si>
  <si>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</si>
  <si>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</si>
  <si>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</si>
  <si>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</si>
  <si>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</si>
  <si>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</si>
  <si>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</si>
  <si>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</si>
  <si>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</si>
  <si>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</si>
  <si>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</si>
  <si>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</si>
  <si>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</si>
  <si>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</si>
  <si>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</si>
  <si>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</si>
  <si>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</si>
  <si>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</si>
  <si>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</si>
  <si>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</si>
  <si>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</si>
  <si>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</si>
  <si>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</si>
  <si>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</si>
  <si>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</si>
  <si>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</si>
  <si>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</si>
  <si>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</si>
  <si>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</si>
  <si>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</si>
  <si>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</si>
  <si>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</si>
  <si>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</si>
  <si>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</si>
  <si>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</si>
  <si>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</si>
  <si>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</si>
  <si>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</si>
  <si>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</si>
  <si>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</si>
  <si>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</si>
  <si>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</si>
  <si>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</si>
  <si>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</si>
  <si>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</si>
  <si>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</si>
  <si>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</si>
  <si>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</si>
  <si>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</si>
  <si>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</si>
  <si>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</si>
  <si>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</si>
  <si>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</si>
  <si>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</si>
  <si>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</si>
  <si>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</si>
  <si>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</si>
  <si>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</si>
  <si>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</si>
  <si>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</si>
  <si>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</si>
  <si>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</si>
  <si>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</si>
  <si>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</si>
  <si>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</si>
  <si>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</si>
  <si>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</si>
  <si>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</si>
  <si>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</si>
  <si>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</si>
  <si>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</si>
  <si>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</si>
  <si>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</si>
  <si>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</si>
  <si>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</si>
  <si>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</si>
  <si>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</si>
  <si>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</si>
  <si>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</si>
  <si>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</si>
  <si>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</si>
  <si>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</si>
  <si>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</si>
  <si>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</si>
  <si>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</si>
  <si>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</si>
  <si>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</si>
  <si>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</si>
  <si>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</si>
  <si>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</si>
  <si>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</si>
  <si>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</si>
  <si>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</si>
  <si>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</si>
  <si>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</si>
  <si>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</si>
  <si>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</si>
  <si>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</si>
  <si>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</si>
  <si>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</si>
  <si>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</si>
  <si>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</si>
  <si>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</si>
  <si>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</si>
  <si>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</si>
  <si>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</si>
  <si>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</si>
  <si>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</si>
  <si>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</si>
  <si>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</si>
  <si>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</si>
  <si>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</si>
  <si>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</si>
  <si>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</si>
  <si>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</si>
  <si>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</si>
  <si>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</si>
  <si>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</si>
  <si>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</si>
  <si>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</si>
  <si>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</si>
  <si>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</si>
  <si>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</si>
  <si>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</si>
  <si>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</si>
  <si>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</si>
  <si>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</si>
  <si>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</si>
  <si>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</si>
  <si>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</si>
  <si>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</si>
  <si>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</si>
  <si>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</si>
  <si>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</si>
  <si>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</si>
  <si>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</si>
  <si>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</si>
  <si>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</si>
  <si>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</si>
  <si>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</si>
  <si>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</si>
  <si>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</si>
  <si>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</si>
  <si>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</si>
  <si>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</si>
  <si>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</si>
  <si>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</si>
  <si>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</si>
  <si>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</si>
  <si>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</si>
  <si>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</si>
  <si>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</si>
  <si>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</si>
  <si>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</si>
  <si>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</si>
  <si>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</si>
  <si>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</si>
  <si>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</si>
  <si>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</si>
  <si>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</si>
  <si>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</si>
  <si>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</si>
  <si>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</si>
  <si>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</si>
  <si>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</si>
  <si>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</si>
  <si>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</si>
  <si>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</si>
  <si>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</si>
  <si>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</si>
  <si>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</si>
  <si>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</si>
  <si>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</si>
  <si>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</si>
  <si>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</si>
  <si>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</si>
  <si>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</si>
  <si>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</si>
  <si>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</si>
  <si>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</si>
  <si>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</si>
  <si>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</si>
  <si>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</si>
  <si>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</si>
  <si>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</si>
  <si>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</si>
  <si>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</si>
  <si>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</si>
  <si>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</si>
  <si>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</si>
  <si>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</si>
  <si>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</si>
  <si>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</si>
  <si>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</si>
  <si>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</si>
  <si>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</si>
  <si>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</si>
  <si>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</si>
  <si>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</si>
  <si>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</si>
  <si>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</si>
  <si>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</si>
  <si>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</si>
  <si>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</si>
  <si>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</si>
  <si>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</si>
  <si>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</si>
  <si>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</si>
  <si>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</si>
  <si>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</si>
  <si>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</si>
  <si>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</si>
  <si>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</si>
  <si>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</si>
  <si>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</si>
  <si>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</si>
  <si>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</si>
  <si>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</si>
  <si>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</si>
  <si>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</si>
  <si>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</si>
  <si>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</si>
  <si>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</si>
  <si>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</si>
  <si>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</si>
  <si>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</si>
  <si>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</si>
  <si>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</si>
  <si>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</si>
  <si>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</si>
  <si>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</si>
  <si>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</si>
  <si>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</si>
  <si>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</si>
  <si>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</si>
  <si>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</si>
  <si>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</si>
  <si>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</si>
  <si>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</si>
  <si>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</si>
  <si>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</si>
  <si>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</si>
  <si>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</si>
  <si>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</si>
  <si>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</si>
  <si>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</si>
  <si>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</si>
  <si>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</si>
  <si>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</si>
  <si>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</si>
  <si>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</si>
  <si>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</si>
  <si>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</si>
  <si>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</si>
  <si>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</si>
  <si>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</si>
  <si>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</si>
  <si>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</si>
  <si>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</si>
  <si>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</si>
  <si>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</si>
  <si>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</si>
  <si>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</si>
  <si>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</si>
  <si>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</si>
  <si>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</si>
  <si>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</si>
  <si>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</si>
  <si>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</si>
  <si>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</si>
  <si>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</si>
  <si>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</si>
  <si>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</si>
  <si>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</si>
  <si>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</si>
  <si>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</si>
  <si>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</si>
  <si>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</si>
  <si>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</si>
  <si>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</si>
  <si>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</si>
  <si>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</si>
  <si>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</si>
  <si>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</si>
  <si>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</si>
  <si>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</si>
  <si>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</si>
  <si>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</si>
  <si>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</si>
  <si>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</si>
  <si>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</si>
  <si>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</si>
  <si>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</si>
  <si>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</si>
  <si>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</si>
  <si>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</si>
  <si>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</si>
  <si>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</si>
  <si>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</si>
  <si>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</si>
  <si>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</si>
  <si>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</si>
  <si>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</si>
  <si>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</si>
  <si>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</si>
  <si>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</si>
  <si>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</si>
  <si>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</si>
  <si>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</si>
  <si>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</si>
  <si>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</si>
  <si>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</si>
  <si>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</si>
  <si>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</si>
  <si>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</si>
  <si>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</si>
  <si>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</si>
  <si>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</si>
  <si>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</si>
  <si>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</si>
  <si>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</si>
  <si>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</si>
  <si>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</si>
  <si>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</si>
  <si>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</si>
  <si>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</si>
  <si>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</si>
  <si>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</si>
  <si>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</si>
  <si>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</si>
  <si>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</si>
  <si>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</si>
  <si>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</si>
  <si>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</si>
  <si>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</si>
  <si>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</si>
  <si>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</si>
  <si>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</si>
  <si>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</si>
  <si>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</si>
  <si>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</si>
  <si>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</si>
  <si>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</si>
  <si>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</si>
  <si>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</si>
  <si>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</si>
  <si>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</si>
  <si>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</si>
  <si>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</si>
  <si>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</si>
  <si>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</si>
  <si>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</si>
  <si>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</si>
  <si>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</si>
  <si>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</si>
  <si>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</si>
  <si>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</si>
  <si>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</si>
  <si>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</si>
  <si>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</si>
  <si>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</si>
  <si>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</si>
  <si>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</si>
  <si>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</si>
  <si>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</si>
  <si>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</si>
  <si>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</si>
  <si>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</si>
  <si>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</si>
  <si>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</si>
  <si>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</si>
  <si>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</si>
  <si>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</si>
  <si>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</si>
  <si>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</si>
  <si>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</si>
  <si>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</si>
  <si>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</si>
  <si>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</si>
  <si>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</si>
  <si>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</si>
  <si>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</si>
  <si>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</si>
  <si>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</si>
  <si>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</si>
  <si>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</si>
  <si>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</si>
  <si>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</si>
  <si>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</si>
  <si>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</si>
  <si>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</si>
  <si>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</si>
  <si>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</si>
  <si>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</si>
  <si>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</si>
  <si>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</si>
  <si>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</si>
  <si>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</si>
  <si>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</si>
  <si>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</si>
  <si>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</si>
  <si>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</si>
  <si>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</si>
  <si>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</si>
  <si>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</si>
  <si>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</si>
  <si>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</si>
  <si>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</si>
  <si>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</si>
  <si>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</si>
  <si>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</si>
  <si>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</si>
  <si>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</si>
  <si>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</si>
  <si>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</si>
  <si>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</si>
  <si>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</si>
  <si>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</si>
  <si>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</si>
  <si>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</si>
  <si>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</si>
  <si>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</si>
  <si>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</si>
  <si>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</si>
  <si>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</si>
  <si>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</si>
  <si>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</si>
  <si>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</si>
  <si>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</si>
  <si>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</si>
  <si>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</si>
  <si>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</si>
  <si>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</si>
  <si>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</si>
  <si>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</si>
  <si>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</si>
  <si>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</si>
  <si>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</si>
  <si>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</si>
  <si>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</si>
  <si>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</si>
  <si>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</si>
  <si>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</si>
  <si>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</si>
  <si>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</si>
  <si>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</si>
  <si>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</si>
  <si>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</si>
  <si>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</si>
  <si>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</si>
  <si>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</si>
  <si>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</si>
  <si>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</si>
  <si>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</si>
  <si>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</si>
  <si>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</si>
  <si>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</si>
  <si>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</si>
  <si>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</si>
  <si>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</si>
  <si>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</si>
  <si>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</si>
  <si>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</si>
  <si>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</si>
  <si>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</si>
  <si>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</si>
  <si>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</si>
  <si>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</si>
  <si>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</si>
  <si>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</si>
  <si>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</si>
  <si>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</si>
  <si>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</si>
  <si>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</si>
  <si>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</si>
  <si>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</si>
  <si>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</si>
  <si>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</si>
  <si>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</si>
  <si>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</si>
  <si>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</si>
  <si>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</si>
  <si>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</si>
  <si>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</si>
  <si>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</si>
  <si>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</si>
  <si>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</si>
  <si>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</si>
  <si>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</si>
  <si>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</si>
  <si>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</si>
  <si>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</si>
  <si>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</si>
  <si>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</si>
  <si>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</si>
  <si>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</si>
  <si>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</si>
  <si>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</si>
  <si>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</si>
  <si>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</si>
  <si>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</si>
  <si>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</si>
  <si>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</si>
  <si>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</si>
  <si>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</si>
  <si>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</si>
  <si>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</si>
  <si>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</si>
  <si>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</si>
  <si>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</si>
  <si>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</si>
  <si>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</si>
  <si>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</si>
  <si>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</si>
  <si>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</si>
  <si>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</si>
  <si>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</si>
  <si>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</si>
  <si>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</si>
  <si>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</si>
  <si>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</si>
  <si>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</si>
  <si>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</si>
  <si>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</si>
  <si>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</si>
  <si>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</si>
  <si>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</si>
  <si>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</si>
  <si>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</si>
  <si>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</si>
  <si>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</si>
  <si>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</si>
  <si>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</si>
  <si>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</si>
  <si>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</si>
  <si>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</si>
  <si>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</si>
  <si>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</si>
  <si>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</si>
  <si>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</si>
  <si>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</si>
  <si>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</si>
  <si>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</si>
  <si>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</si>
  <si>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</si>
  <si>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</si>
  <si>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</si>
  <si>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</si>
  <si>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</si>
  <si>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</si>
  <si>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</si>
  <si>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</si>
  <si>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</si>
  <si>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</si>
  <si>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</si>
  <si>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</si>
  <si>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</si>
  <si>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</si>
  <si>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</si>
  <si>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</si>
  <si>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</si>
  <si>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</si>
  <si>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</si>
  <si>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</si>
  <si>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</si>
  <si>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</si>
  <si>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</si>
  <si>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</si>
  <si>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</si>
  <si>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</si>
  <si>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</si>
  <si>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</si>
  <si>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</si>
  <si>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</si>
  <si>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</si>
  <si>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</si>
  <si>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</si>
  <si>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</si>
  <si>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</si>
  <si>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</si>
  <si>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</si>
  <si>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</si>
  <si>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</si>
  <si>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</si>
  <si>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</si>
  <si>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</si>
  <si>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</si>
  <si>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</si>
  <si>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</si>
  <si>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</si>
  <si>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</si>
  <si>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</si>
  <si>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</si>
  <si>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</si>
  <si>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</si>
  <si>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</si>
  <si>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</si>
  <si>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</si>
  <si>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</si>
  <si>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</si>
  <si>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</si>
  <si>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</si>
  <si>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</si>
  <si>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</si>
  <si>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</si>
  <si>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</si>
  <si>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</si>
  <si>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</si>
  <si>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</si>
  <si>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</si>
  <si>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</si>
  <si>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</si>
  <si>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</si>
  <si>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</si>
  <si>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</si>
  <si>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</si>
  <si>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</si>
  <si>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</si>
  <si>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</si>
  <si>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</si>
  <si>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</si>
  <si>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</si>
  <si>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</si>
  <si>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</si>
  <si>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</si>
  <si>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</si>
  <si>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</si>
  <si>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</si>
  <si>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</si>
  <si>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</si>
  <si>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</si>
  <si>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</si>
  <si>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</si>
  <si>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</si>
  <si>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</si>
  <si>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</si>
  <si>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</si>
  <si>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</si>
  <si>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</si>
  <si>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</si>
  <si>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</si>
  <si>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</si>
  <si>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</si>
  <si>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</si>
  <si>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</si>
  <si>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</si>
  <si>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</si>
  <si>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</si>
  <si>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</si>
  <si>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</si>
  <si>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</si>
  <si>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</si>
  <si>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</si>
  <si>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</si>
  <si>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</si>
  <si>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</si>
  <si>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</si>
  <si>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</si>
  <si>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</si>
  <si>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</si>
  <si>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</si>
  <si>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</si>
  <si>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</si>
  <si>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</si>
  <si>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</si>
  <si>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</si>
  <si>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</si>
  <si>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</si>
  <si>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</si>
  <si>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</si>
  <si>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</si>
  <si>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</si>
  <si>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</si>
  <si>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</si>
  <si>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</si>
  <si>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</si>
  <si>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</si>
  <si>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</si>
  <si>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</si>
  <si>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</si>
  <si>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</si>
  <si>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</si>
  <si>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</si>
  <si>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</si>
  <si>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</si>
  <si>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</si>
  <si>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</si>
  <si>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</si>
  <si>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</si>
  <si>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</si>
  <si>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</si>
  <si>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</si>
  <si>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</si>
  <si>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</si>
  <si>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</si>
  <si>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</si>
  <si>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</si>
  <si>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</si>
  <si>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</si>
  <si>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</si>
  <si>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</si>
  <si>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</si>
  <si>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</si>
  <si>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</si>
  <si>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</si>
  <si>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</si>
  <si>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</si>
  <si>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</si>
  <si>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</si>
  <si>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</si>
  <si>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</si>
  <si>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</si>
  <si>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</si>
  <si>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</si>
  <si>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</si>
  <si>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</si>
  <si>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</si>
  <si>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</si>
  <si>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</si>
  <si>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</si>
  <si>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</si>
  <si>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</si>
  <si>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</si>
  <si>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</si>
  <si>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</si>
  <si>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</si>
  <si>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</si>
  <si>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</si>
  <si>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</si>
  <si>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</si>
  <si>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</si>
  <si>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</si>
  <si>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</si>
  <si>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</si>
  <si>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</si>
  <si>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</si>
  <si>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</si>
  <si>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</si>
  <si>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</si>
  <si>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</si>
  <si>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</si>
  <si>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</si>
  <si>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</si>
  <si>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</si>
  <si>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</si>
  <si>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</si>
  <si>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</si>
  <si>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</si>
  <si>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</si>
  <si>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</si>
  <si>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</si>
  <si>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</si>
  <si>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</si>
  <si>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</si>
  <si>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</si>
  <si>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</si>
  <si>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</si>
  <si>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</si>
  <si>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</si>
  <si>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</si>
  <si>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</si>
  <si>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</si>
  <si>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</si>
  <si>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</si>
  <si>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</si>
  <si>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</si>
  <si>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</si>
  <si>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</si>
  <si>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</si>
  <si>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</si>
  <si>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</si>
  <si>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</si>
  <si>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</si>
  <si>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</si>
  <si>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</si>
  <si>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</si>
  <si>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</si>
  <si>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</si>
  <si>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</si>
  <si>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</si>
  <si>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</si>
  <si>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</si>
  <si>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</si>
  <si>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</si>
  <si>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</si>
  <si>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</si>
  <si>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</si>
  <si>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</si>
  <si>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</si>
  <si>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</si>
  <si>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</si>
  <si>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</si>
  <si>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</si>
  <si>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</si>
  <si>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</si>
  <si>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</si>
  <si>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</si>
  <si>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</si>
  <si>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</si>
  <si>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</si>
  <si>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</si>
  <si>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</si>
  <si>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</si>
  <si>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</si>
  <si>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</si>
  <si>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</si>
  <si>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</si>
  <si>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</si>
  <si>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</si>
  <si>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</si>
  <si>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</si>
  <si>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</si>
  <si>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</si>
  <si>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</si>
  <si>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</si>
  <si>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</si>
  <si>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</si>
  <si>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</si>
  <si>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</si>
  <si>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</si>
  <si>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</si>
  <si>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</si>
  <si>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</si>
  <si>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</si>
  <si>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</si>
  <si>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</si>
  <si>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</si>
  <si>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</si>
  <si>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</si>
  <si>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</si>
  <si>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</si>
  <si>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</si>
  <si>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</si>
  <si>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</si>
  <si>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</si>
  <si>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</si>
  <si>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</si>
  <si>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</si>
  <si>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</si>
  <si>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</si>
  <si>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</si>
  <si>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</si>
  <si>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</si>
  <si>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</si>
  <si>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</si>
  <si>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</si>
  <si>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</si>
  <si>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</si>
  <si>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</si>
  <si>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</si>
  <si>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</si>
  <si>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</si>
  <si>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</si>
  <si>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</si>
  <si>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</si>
  <si>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</si>
  <si>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</si>
  <si>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</si>
  <si>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</si>
  <si>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</si>
  <si>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</si>
  <si>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</si>
  <si>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</si>
  <si>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</si>
  <si>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</si>
  <si>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</si>
  <si>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</si>
  <si>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</si>
  <si>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</si>
  <si>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</si>
  <si>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</si>
  <si>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</si>
  <si>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</si>
  <si>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</si>
  <si>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</si>
  <si>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</si>
  <si>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</si>
  <si>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</si>
  <si>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</si>
  <si>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</si>
  <si>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</si>
  <si>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</si>
  <si>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</si>
  <si>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</si>
  <si>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</si>
  <si>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</si>
  <si>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</si>
  <si>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</si>
  <si>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</si>
  <si>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</si>
  <si>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</si>
  <si>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</si>
  <si>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</si>
  <si>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</si>
  <si>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</si>
  <si>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</si>
  <si>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</si>
  <si>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</si>
  <si>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</si>
  <si>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</si>
  <si>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</si>
  <si>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</si>
  <si>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</si>
  <si>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</si>
  <si>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</si>
  <si>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</si>
  <si>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</si>
  <si>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</si>
  <si>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</si>
  <si>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</si>
  <si>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</si>
  <si>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</si>
  <si>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</si>
  <si>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</si>
  <si>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</si>
  <si>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</si>
  <si>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</si>
  <si>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</si>
  <si>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</si>
  <si>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</si>
  <si>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</si>
  <si>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</si>
  <si>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</si>
  <si>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</si>
  <si>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</si>
  <si>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</si>
  <si>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</si>
  <si>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</si>
  <si>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</si>
  <si>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</si>
  <si>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</si>
  <si>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</si>
  <si>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</si>
  <si>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</si>
  <si>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</si>
  <si>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</si>
  <si>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</si>
  <si>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</si>
  <si>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</si>
  <si>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</si>
  <si>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</si>
  <si>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</si>
  <si>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</si>
  <si>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</si>
  <si>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</si>
  <si>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</si>
  <si>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</si>
  <si>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</si>
  <si>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</si>
  <si>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</si>
  <si>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</si>
  <si>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</si>
  <si>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</si>
  <si>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</si>
  <si>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</si>
  <si>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</si>
  <si>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</si>
  <si>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</si>
  <si>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</si>
  <si>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</si>
  <si>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</si>
  <si>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</si>
  <si>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</si>
  <si>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</si>
  <si>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</si>
  <si>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</si>
  <si>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</si>
  <si>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</si>
  <si>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</si>
  <si>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</si>
  <si>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</si>
  <si>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</si>
  <si>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</si>
  <si>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</si>
  <si>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</si>
  <si>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</si>
  <si>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</si>
  <si>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</si>
  <si>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</si>
  <si>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</si>
  <si>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</si>
  <si>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</si>
  <si>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</si>
  <si>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</si>
  <si>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</si>
  <si>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</si>
  <si>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</si>
  <si>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</si>
  <si>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</si>
  <si>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</si>
  <si>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</si>
  <si>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</si>
  <si>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</si>
  <si>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</si>
  <si>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</si>
  <si>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</si>
  <si>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</si>
  <si>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</si>
  <si>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</si>
  <si>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</si>
  <si>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</si>
  <si>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</si>
  <si>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</si>
  <si>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</si>
  <si>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</si>
  <si>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</si>
  <si>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</si>
  <si>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</si>
  <si>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</si>
  <si>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</si>
  <si>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</si>
  <si>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</si>
  <si>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</si>
  <si>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</si>
  <si>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</si>
  <si>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</si>
  <si>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</si>
  <si>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</si>
  <si>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</si>
  <si>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</si>
  <si>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</si>
  <si>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</si>
  <si>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</si>
  <si>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</si>
  <si>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</si>
  <si>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</si>
  <si>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</si>
  <si>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</si>
  <si>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</si>
  <si>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</si>
  <si>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</si>
  <si>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</si>
  <si>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</si>
  <si>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</si>
  <si>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</si>
  <si>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</si>
  <si>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</si>
  <si>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</si>
  <si>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</si>
  <si>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</si>
  <si>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</si>
  <si>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</si>
  <si>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</si>
  <si>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</si>
  <si>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</si>
  <si>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</si>
  <si>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</si>
  <si>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</si>
  <si>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</si>
  <si>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</si>
  <si>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</si>
  <si>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</si>
  <si>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</si>
  <si>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</si>
  <si>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</si>
  <si>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</si>
  <si>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</si>
  <si>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</si>
  <si>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</si>
  <si>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</si>
  <si>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</si>
  <si>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</si>
  <si>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</si>
  <si>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</si>
  <si>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</si>
  <si>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</si>
  <si>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</si>
  <si>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</si>
  <si>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</si>
  <si>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</si>
  <si>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</si>
  <si>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</si>
  <si>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</si>
  <si>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</si>
  <si>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</si>
  <si>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</si>
  <si>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</si>
  <si>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</si>
  <si>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</si>
  <si>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</si>
  <si>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</si>
  <si>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</si>
  <si>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</si>
  <si>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</si>
  <si>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</si>
  <si>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</si>
  <si>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</si>
  <si>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</si>
  <si>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</si>
  <si>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</si>
  <si>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</si>
  <si>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</si>
  <si>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</si>
  <si>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</si>
  <si>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</si>
  <si>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</si>
  <si>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</si>
  <si>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</si>
  <si>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</si>
  <si>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</si>
  <si>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</si>
  <si>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</si>
  <si>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</si>
  <si>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</si>
  <si>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</si>
  <si>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</si>
  <si>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</si>
  <si>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</si>
  <si>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</si>
  <si>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</si>
  <si>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</si>
  <si>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</si>
  <si>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</si>
  <si>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</si>
  <si>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</si>
  <si>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</si>
  <si>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</si>
  <si>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</si>
  <si>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</si>
  <si>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</si>
  <si>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</si>
  <si>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</si>
  <si>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</si>
  <si>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</si>
  <si>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</si>
  <si>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</si>
  <si>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</si>
  <si>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</si>
  <si>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</si>
  <si>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</si>
  <si>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</si>
  <si>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</si>
  <si>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</si>
  <si>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</si>
  <si>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</si>
  <si>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</si>
  <si>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</si>
  <si>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</si>
  <si>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</si>
  <si>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</si>
  <si>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</si>
  <si>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</si>
  <si>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</si>
  <si>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</si>
  <si>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</si>
  <si>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</si>
  <si>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</si>
  <si>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</si>
  <si>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</si>
  <si>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</si>
  <si>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</si>
  <si>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</si>
  <si>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</si>
  <si>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</si>
  <si>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</si>
  <si>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</si>
  <si>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</si>
  <si>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</si>
  <si>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</si>
  <si>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</si>
  <si>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</si>
  <si>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</si>
  <si>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</si>
  <si>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</si>
  <si>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</si>
  <si>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</si>
  <si>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</si>
  <si>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</si>
  <si>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</si>
  <si>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</si>
  <si>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</si>
  <si>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</si>
  <si>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</si>
  <si>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</si>
  <si>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</si>
  <si>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</si>
  <si>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</si>
  <si>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</si>
  <si>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</si>
  <si>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</si>
  <si>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</si>
  <si>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</si>
  <si>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</si>
  <si>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</si>
  <si>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</si>
  <si>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</si>
  <si>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</si>
  <si>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</si>
  <si>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</si>
  <si>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</si>
  <si>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</si>
  <si>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</si>
  <si>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</si>
  <si>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</si>
  <si>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</si>
  <si>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</si>
  <si>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</si>
  <si>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</si>
  <si>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</si>
  <si>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</si>
  <si>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</si>
  <si>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</si>
  <si>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</si>
  <si>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</si>
  <si>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</si>
  <si>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</si>
  <si>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</si>
  <si>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</si>
  <si>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</si>
  <si>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</si>
  <si>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</si>
  <si>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</si>
  <si>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</si>
  <si>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</si>
  <si>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</si>
  <si>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</si>
  <si>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</si>
  <si>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</si>
  <si>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</si>
  <si>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</si>
  <si>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</si>
  <si>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</si>
  <si>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</si>
  <si>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</si>
  <si>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</si>
  <si>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</si>
  <si>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</si>
  <si>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</si>
  <si>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</si>
  <si>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</si>
  <si>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</si>
  <si>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</si>
  <si>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</si>
  <si>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</si>
  <si>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</si>
  <si>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</si>
  <si>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</si>
  <si>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</si>
  <si>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</si>
  <si>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</si>
  <si>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</si>
  <si>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</si>
  <si>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</si>
  <si>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</si>
  <si>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</si>
  <si>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</si>
  <si>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</si>
  <si>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</si>
  <si>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</si>
  <si>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</si>
  <si>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</si>
  <si>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</si>
  <si>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</si>
  <si>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</si>
  <si>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</si>
  <si>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</si>
  <si>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</si>
  <si>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</si>
  <si>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</si>
  <si>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</si>
  <si>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Fora ponta</t>
  </si>
  <si>
    <t>Energia suprimento permissionária</t>
  </si>
  <si>
    <t>Verde</t>
  </si>
  <si>
    <t>CATIVO</t>
  </si>
  <si>
    <t>Água, esgoto e saneamento</t>
  </si>
  <si>
    <t>Convencional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</si>
  <si>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</si>
  <si>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</si>
  <si>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</si>
  <si>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</si>
  <si>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</si>
  <si>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</si>
  <si>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</si>
  <si>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</si>
  <si>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</si>
  <si>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</si>
  <si>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</si>
  <si>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</si>
  <si>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</si>
  <si>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CELESC-DIS</t>
  </si>
  <si>
    <t>RESOLUÇÃO HOMOLOGATÓRIA Nº 3.094, DE 16 DE AGOSTO DE 2022</t>
  </si>
  <si>
    <t>CELESC DISTRIBUIÇÃO S.A</t>
  </si>
  <si>
    <t>01-202117663039772-8</t>
  </si>
  <si>
    <t>01-2021713095469-82</t>
  </si>
  <si>
    <t>01-2021730692181-60</t>
  </si>
  <si>
    <t>01-20217306922188-9</t>
  </si>
  <si>
    <t>01-20217306962184-58</t>
  </si>
  <si>
    <t>01-20217306962185-10</t>
  </si>
  <si>
    <t>01-20217306962186-83</t>
  </si>
  <si>
    <t>01-20217306962187-46</t>
  </si>
  <si>
    <t>01-20217306962189-71</t>
  </si>
  <si>
    <t>01-20217306962190-50</t>
  </si>
  <si>
    <t>01-20217306962191-13</t>
  </si>
  <si>
    <t>01-20217306962192-86</t>
  </si>
  <si>
    <t>01-20217306962194-1</t>
  </si>
  <si>
    <t>01-20217306962195-74</t>
  </si>
  <si>
    <t>01-20217306962196-37</t>
  </si>
  <si>
    <t>01-20217306962257-20</t>
  </si>
  <si>
    <t>01-20217306962258-92</t>
  </si>
  <si>
    <t>01-20217360511697-21</t>
  </si>
  <si>
    <t>01-20217369325625-38</t>
  </si>
  <si>
    <t>01-20217418326118-61</t>
  </si>
  <si>
    <t>01-20217418326120-3</t>
  </si>
  <si>
    <t>01-20217418326122-39</t>
  </si>
  <si>
    <t>01-20217418326196-75</t>
  </si>
  <si>
    <t>01-20217418326214-55</t>
  </si>
  <si>
    <t>01-20217418326263-60</t>
  </si>
  <si>
    <t>01-20217418326265-96</t>
  </si>
  <si>
    <t>01-20217418326560-6</t>
  </si>
  <si>
    <t>01-20217418326592-0</t>
  </si>
  <si>
    <t>01-20217418326647-92</t>
  </si>
  <si>
    <t>01-20217418326700-73</t>
  </si>
  <si>
    <t>01-20217418326703-61</t>
  </si>
  <si>
    <t>01-20217418326827-74</t>
  </si>
  <si>
    <t>01-20217418326924-20</t>
  </si>
  <si>
    <t>01-20217418326928-81</t>
  </si>
  <si>
    <t>01-20217418327690-66</t>
  </si>
  <si>
    <t>01-20217478703121</t>
  </si>
  <si>
    <t>01-20217512095492-2</t>
  </si>
  <si>
    <t>01-20217513095461-70</t>
  </si>
  <si>
    <t>01-20217513095467-57</t>
  </si>
  <si>
    <t>01-20217513095468-10</t>
  </si>
  <si>
    <t>01-20217513095478-73</t>
  </si>
  <si>
    <t>01-20217513095481-88</t>
  </si>
  <si>
    <t>01-20217513095483-3</t>
  </si>
  <si>
    <t>01-20217513095484-76</t>
  </si>
  <si>
    <t>01-20217513095488-27</t>
  </si>
  <si>
    <t>01-20217513095489-90</t>
  </si>
  <si>
    <t>01-20217513095500-20</t>
  </si>
  <si>
    <t>01-20217513095506-7</t>
  </si>
  <si>
    <t>01-2021766039740-3</t>
  </si>
  <si>
    <t>01-20217663039736-36</t>
  </si>
  <si>
    <t>01-20217663039738-61</t>
  </si>
  <si>
    <t>01-20217663039742-39</t>
  </si>
  <si>
    <t>01-20217663039743-0</t>
  </si>
  <si>
    <t>01-20217663039745-27</t>
  </si>
  <si>
    <t>01-20217663039746-90</t>
  </si>
  <si>
    <t>01-20217663039747-52</t>
  </si>
  <si>
    <t>01-20217663039748-15</t>
  </si>
  <si>
    <t>01-20217663039749-88</t>
  </si>
  <si>
    <t>01-20217663039770-74</t>
  </si>
  <si>
    <t>01-20217663039771-37</t>
  </si>
  <si>
    <t>01-20217663039773-62</t>
  </si>
  <si>
    <t>01-20217663039774-25</t>
  </si>
  <si>
    <t>01-20217663039775-98</t>
  </si>
  <si>
    <t>01-20217663039776-50</t>
  </si>
  <si>
    <t>01-20217820470854-77</t>
  </si>
  <si>
    <t>01-20217820470856-0</t>
  </si>
  <si>
    <t>01-20217820470857-65</t>
  </si>
  <si>
    <t>01-20217820470858-28</t>
  </si>
  <si>
    <t>01-20217820470859-90</t>
  </si>
  <si>
    <t>01-20217820470860-70</t>
  </si>
  <si>
    <t>01-20217820470861-32</t>
  </si>
  <si>
    <t>01-20217820470862-3</t>
  </si>
  <si>
    <t>01-20217820470863-68</t>
  </si>
  <si>
    <t>01-20217820470864-20</t>
  </si>
  <si>
    <t>01-20217820470865-93</t>
  </si>
  <si>
    <t>01-20217820470866-56</t>
  </si>
  <si>
    <t>01-20217820470867-19</t>
  </si>
  <si>
    <t>01-20217820470868-81</t>
  </si>
  <si>
    <t>01-20217820470869-44</t>
  </si>
  <si>
    <t>01-20217820470890-30</t>
  </si>
  <si>
    <t>01-20217820470891-1</t>
  </si>
  <si>
    <t>01-20217907499747-6</t>
  </si>
  <si>
    <t>01-20217907499748-60</t>
  </si>
  <si>
    <t>01-20217907499764-17</t>
  </si>
  <si>
    <t>01-20217907499766-42</t>
  </si>
  <si>
    <t>01-20217907499767-5</t>
  </si>
  <si>
    <t>01-20217907499768-78</t>
  </si>
  <si>
    <t>01-20217907499769-30</t>
  </si>
  <si>
    <t>01-20217907499772-45</t>
  </si>
  <si>
    <t>01-20217907499775-33</t>
  </si>
  <si>
    <t>01-20217907499779-94</t>
  </si>
  <si>
    <t>01-20217907499782-7</t>
  </si>
  <si>
    <t>01-20217907499783-61</t>
  </si>
  <si>
    <t>01-20217907499785-97</t>
  </si>
  <si>
    <t>01-20217907499787-12</t>
  </si>
  <si>
    <t>01-20217907499788-85</t>
  </si>
  <si>
    <t>01-20217907499789-48</t>
  </si>
  <si>
    <t>01-20217907499791-90</t>
  </si>
  <si>
    <t>01-20218171456000-4</t>
  </si>
  <si>
    <t>01-20218171456029-88</t>
  </si>
  <si>
    <t>01-20218171456083-23</t>
  </si>
  <si>
    <t>01-20218171456086-11</t>
  </si>
  <si>
    <t>01-20218171456089-0</t>
  </si>
  <si>
    <t>01-20218171456114-55</t>
  </si>
  <si>
    <t>01-20218171456117-43</t>
  </si>
  <si>
    <t>01-20218173008242-11</t>
  </si>
  <si>
    <t>01-20218173201629-18</t>
  </si>
  <si>
    <t>01-20218173349931-10</t>
  </si>
  <si>
    <t>01-20218174696218-25</t>
  </si>
  <si>
    <t>01-20218174698549-63</t>
  </si>
  <si>
    <t>01-20218177129817-90</t>
  </si>
  <si>
    <t>01-20218177133256-88</t>
  </si>
  <si>
    <t>01-20218177149059-26</t>
  </si>
  <si>
    <t>01-20218184090555-68</t>
  </si>
  <si>
    <t>01-20218184186736-16</t>
  </si>
  <si>
    <t>01-20228339027515-4</t>
  </si>
  <si>
    <t>01-20228339027517-30</t>
  </si>
  <si>
    <t>01-20228339027518-0</t>
  </si>
  <si>
    <t>01-20228339027519-65</t>
  </si>
  <si>
    <t>01-20228339027520-44</t>
  </si>
  <si>
    <t>01-20228339027521-7</t>
  </si>
  <si>
    <t>01-20228339027522-70</t>
  </si>
  <si>
    <t>01-20228339027523-32</t>
  </si>
  <si>
    <t>01-20228339027524-3</t>
  </si>
  <si>
    <t>01-20228339027525-68</t>
  </si>
  <si>
    <t>01-20228339027526-20</t>
  </si>
  <si>
    <t>01-20228339027527-93</t>
  </si>
  <si>
    <t>01-20228339027528-56</t>
  </si>
  <si>
    <t>01-20228339027529-19</t>
  </si>
  <si>
    <t>01-20228339027550-5</t>
  </si>
  <si>
    <t>01-20228339027551-78</t>
  </si>
  <si>
    <t>01-20228339027552-30</t>
  </si>
  <si>
    <t>01-20228483466716-41</t>
  </si>
  <si>
    <t>01-20228483466718-77</t>
  </si>
  <si>
    <t>01-20228483466720-19</t>
  </si>
  <si>
    <t>01-20228483466721-81</t>
  </si>
  <si>
    <t>01-20228483466722-44</t>
  </si>
  <si>
    <t>01-20228483466724-70</t>
  </si>
  <si>
    <t>01-20228483466725-32</t>
  </si>
  <si>
    <t>01-20228483466726-3</t>
  </si>
  <si>
    <t>01-20228483466727-68</t>
  </si>
  <si>
    <t>01-20228483466728-20</t>
  </si>
  <si>
    <t>01-20228483466771-50</t>
  </si>
  <si>
    <t>01-20228483466772-12</t>
  </si>
  <si>
    <t>01-20228483466774-48</t>
  </si>
  <si>
    <t>01-20228483466775-0</t>
  </si>
  <si>
    <t>01-20228483466777-36</t>
  </si>
  <si>
    <t>01-20228640270381-53</t>
  </si>
  <si>
    <t>01-20228640270382-16</t>
  </si>
  <si>
    <t>01-20228640270383-89</t>
  </si>
  <si>
    <t>01-20228640270384-41</t>
  </si>
  <si>
    <t>01-20228640270386-77</t>
  </si>
  <si>
    <t>01-20228640270387-30</t>
  </si>
  <si>
    <t>01-20228640270388-0</t>
  </si>
  <si>
    <t>01-20228713655978-37</t>
  </si>
  <si>
    <t>01-20228713721706-23</t>
  </si>
  <si>
    <t>01-20228713857444-6</t>
  </si>
  <si>
    <t>01-20228713961924-44</t>
  </si>
  <si>
    <t>01-20228714117503-37</t>
  </si>
  <si>
    <t>01-20228714143280-81</t>
  </si>
  <si>
    <t>01-20228714339923-90</t>
  </si>
  <si>
    <t>01-20228714371650-41</t>
  </si>
  <si>
    <t>01-20228714606764-45</t>
  </si>
  <si>
    <t>01-20228714693981-94</t>
  </si>
  <si>
    <t>01-20228723188734-70</t>
  </si>
  <si>
    <t>01-20228723188736-4</t>
  </si>
  <si>
    <t>01-20228723188740-73</t>
  </si>
  <si>
    <t>01-20228723188741-36</t>
  </si>
  <si>
    <t>01-20228723188745-97</t>
  </si>
  <si>
    <t>01-20228723188772-60</t>
  </si>
  <si>
    <t>01-20228723188777-83</t>
  </si>
  <si>
    <t>01-20228723188781-50</t>
  </si>
  <si>
    <t>01-20228723188782-13</t>
  </si>
  <si>
    <t>01-20228723188784-49</t>
  </si>
  <si>
    <t>01-20228723188792-77</t>
  </si>
  <si>
    <t>01-20228723188795-65</t>
  </si>
  <si>
    <t>01-20228723188800-1</t>
  </si>
  <si>
    <t>01-20228723188802-29</t>
  </si>
  <si>
    <t>01-20228723188804-54</t>
  </si>
  <si>
    <t>01-20228798789904-92</t>
  </si>
  <si>
    <t>01-20228798789955-23</t>
  </si>
  <si>
    <t>01-20228888328423-22</t>
  </si>
  <si>
    <t>01-20228888328426-10</t>
  </si>
  <si>
    <t>01-20228888328427-83</t>
  </si>
  <si>
    <t>01-20228888328432-13</t>
  </si>
  <si>
    <t>01-20228888328436-74</t>
  </si>
  <si>
    <t>01-20228888328438-8</t>
  </si>
  <si>
    <t>01-20228888328461-11</t>
  </si>
  <si>
    <t>01-20228888328462-84</t>
  </si>
  <si>
    <t>01-20228888328464-0</t>
  </si>
  <si>
    <t>01-20228888328465-72</t>
  </si>
  <si>
    <t>01-20228888328466-35</t>
  </si>
  <si>
    <t>01-20228888328467-6</t>
  </si>
  <si>
    <t>01-20228888328468-60</t>
  </si>
  <si>
    <t>01-20228888328469-23</t>
  </si>
  <si>
    <t>01-20228888328471-75</t>
  </si>
  <si>
    <t>01-20228888328472-38</t>
  </si>
  <si>
    <t>01-20228888328473-9</t>
  </si>
  <si>
    <t>01-20229025731032-4</t>
  </si>
  <si>
    <t>01-20229025731033-77</t>
  </si>
  <si>
    <t>01-20229025731044-93</t>
  </si>
  <si>
    <t>01-20229025731047-81</t>
  </si>
  <si>
    <t>01-20229025731051-59</t>
  </si>
  <si>
    <t>01-20229025731058-6</t>
  </si>
  <si>
    <t>01-20229025731059-60</t>
  </si>
  <si>
    <t>01-20229025731066-26</t>
  </si>
  <si>
    <t>01-20229025731067-99</t>
  </si>
  <si>
    <t>01-20229025731073-91</t>
  </si>
  <si>
    <t>01-20229025731084-8</t>
  </si>
  <si>
    <t>01-20229025731111-89</t>
  </si>
  <si>
    <t>01-20229025731392-70</t>
  </si>
  <si>
    <t>01-20229025731490-99</t>
  </si>
  <si>
    <t>01-20229025731493-87</t>
  </si>
  <si>
    <t>01-20229025731497-38</t>
  </si>
  <si>
    <t>01-20229100983314-54</t>
  </si>
  <si>
    <t>01-20229166328314-13</t>
  </si>
  <si>
    <t>01-20229166328334-20</t>
  </si>
  <si>
    <t>01-20229166328342-59</t>
  </si>
  <si>
    <t>01-20229166328404-4</t>
  </si>
  <si>
    <t>01-20229166328415-20</t>
  </si>
  <si>
    <t>01-20229166328452-57</t>
  </si>
  <si>
    <t>01-20229166328454-82</t>
  </si>
  <si>
    <t>01-20229166328456-8</t>
  </si>
  <si>
    <t>01-20229166328457-70</t>
  </si>
  <si>
    <t>01-20229166328459-4</t>
  </si>
  <si>
    <t>01-20229166328461-48</t>
  </si>
  <si>
    <t>01-20229166328463-73</t>
  </si>
  <si>
    <t>01-20229166328464-36</t>
  </si>
  <si>
    <t>01-20229166328465-7</t>
  </si>
  <si>
    <t>01-20229166328466-61</t>
  </si>
  <si>
    <t>01-20229166328467-24</t>
  </si>
  <si>
    <t>01-20229166328468-97</t>
  </si>
  <si>
    <t>Azul</t>
  </si>
  <si>
    <t>Iluminação pública – B4b</t>
  </si>
  <si>
    <t>Consumo próprio</t>
  </si>
  <si>
    <t>Tração elétrica</t>
  </si>
  <si>
    <t>01-20228483466729-93</t>
  </si>
  <si>
    <t>01-20229309989039-28</t>
  </si>
  <si>
    <t>01-20229309989081-94</t>
  </si>
  <si>
    <t>01-20229309989083-10</t>
  </si>
  <si>
    <t>01-20229309989086-8</t>
  </si>
  <si>
    <t>01-20229309989087-70</t>
  </si>
  <si>
    <t>01-20229309989094-36</t>
  </si>
  <si>
    <t>01-20229309989099-50</t>
  </si>
  <si>
    <t>01-20229309989100-37</t>
  </si>
  <si>
    <t>01-20229309989101-8</t>
  </si>
  <si>
    <t>01-20229309989102-62</t>
  </si>
  <si>
    <t>01-20229309989103-25</t>
  </si>
  <si>
    <t>01-20229309989105-50</t>
  </si>
  <si>
    <t>01-20229309989106-13</t>
  </si>
  <si>
    <t>01-20229309989108-49</t>
  </si>
  <si>
    <t>01-20229309989109-1</t>
  </si>
  <si>
    <t>01-20229309989111-53</t>
  </si>
  <si>
    <t>20229309989089-4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</si>
  <si>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</si>
  <si>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</si>
  <si>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</si>
  <si>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</si>
  <si>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</si>
  <si>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</si>
  <si>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</si>
  <si>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</si>
  <si>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</si>
  <si>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</si>
  <si>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</si>
  <si>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</si>
  <si>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</si>
  <si>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Rev Dif Pis/Cofins TUSD</t>
  </si>
  <si>
    <t>Rev Dif Pis/Cofins TE</t>
  </si>
  <si>
    <t>Diferimento de Energia</t>
  </si>
  <si>
    <t>Diferimento de Parcela B</t>
  </si>
  <si>
    <t xml:space="preserve">Repasse de ICMS </t>
  </si>
  <si>
    <t>Diferimento Pis Cofins TUSD</t>
  </si>
  <si>
    <t>Diferimento Pis Cofins TE</t>
  </si>
  <si>
    <t xml:space="preserve">Reversão do Diferimento de Compra de Energia </t>
  </si>
  <si>
    <t>Reversão do Diferimento de Parcela B</t>
  </si>
  <si>
    <t>Hélvio Neves Guerra</t>
  </si>
  <si>
    <t>48500.004970/2021-11</t>
  </si>
  <si>
    <t>Reversão do Diferimento de Pis Cofins TUSD (Processo 2021)</t>
  </si>
  <si>
    <t>Reversão do Diferimento de Pis Cofins TE (Processo 2021)</t>
  </si>
  <si>
    <t>COOPERATIVA DE PRESTAÇÃO DE SERVIÇOS PÚBLICOS DE DISTRIBUIÇÃO DE ENERGIA ELÉTRICA SENADOR ESTEVES JÚNIOR - CEREJ</t>
  </si>
  <si>
    <t>01-20228483466723-7</t>
  </si>
  <si>
    <t>Subvenção Baixa Densidade Carga</t>
  </si>
  <si>
    <t>Diferimento CUSD</t>
  </si>
  <si>
    <t>Reversão do Diferimento de Pis Cofins TUSD e TE (Processo 2021)</t>
  </si>
  <si>
    <t>Diferimento de PIS COFINS (2022)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</si>
  <si>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</si>
  <si>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</si>
  <si>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</si>
  <si>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</si>
  <si>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</si>
  <si>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>Diferimento da Previsão do Risco Hidrológico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</si>
</sst>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2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1"/>
      <color rgb="FFFF0000"/>
      <name val="Microsoft New Tai Lue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7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0" fontId="288" fillId="43" borderId="189" xfId="0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19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0" fontId="326" fillId="113" borderId="207" xfId="0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7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8" fillId="0" borderId="178" xfId="0" applyNumberFormat="1" applyFont="1" applyBorder="1" applyAlignment="1">
      <alignment horizontal="right"/>
    </xf>
    <xf numFmtId="10" fontId="328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8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29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168" fontId="210" fillId="0" borderId="0" xfId="863" applyFont="1"/>
    <xf numFmtId="10" fontId="209" fillId="59" borderId="166" xfId="847" applyNumberFormat="1" applyFont="1" applyFill="1" applyBorder="1" applyAlignment="1" applyProtection="1">
      <alignment horizontal="right"/>
      <protection hidden="1"/>
    </xf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67" fontId="31" fillId="61" borderId="180" xfId="815" applyFont="1" applyFill="1" applyBorder="1" applyAlignment="1">
      <alignment horizontal="center" vertical="center"/>
    </xf>
    <xf numFmtId="10" fontId="330" fillId="42" borderId="0" xfId="847" applyNumberFormat="1" applyFont="1" applyFill="1" applyBorder="1" applyAlignment="1">
      <alignment horizontal="left"/>
    </xf>
    <xf numFmtId="10" fontId="330" fillId="42" borderId="10" xfId="847" applyNumberFormat="1" applyFont="1" applyFill="1" applyBorder="1" applyAlignment="1">
      <alignment horizontal="left"/>
    </xf>
    <xf numFmtId="0" fontId="330" fillId="42" borderId="0" xfId="2578" applyNumberFormat="1" applyFont="1" applyFill="1" applyBorder="1" applyAlignment="1">
      <alignment horizontal="center"/>
    </xf>
    <xf numFmtId="0" fontId="330" fillId="42" borderId="10" xfId="863" applyNumberFormat="1" applyFont="1" applyFill="1" applyBorder="1" applyAlignment="1">
      <alignment horizontal="center"/>
    </xf>
    <xf numFmtId="0" fontId="330" fillId="42" borderId="0" xfId="863" applyNumberFormat="1" applyFont="1" applyFill="1" applyBorder="1" applyAlignment="1">
      <alignment horizontal="center"/>
    </xf>
    <xf numFmtId="0" fontId="330" fillId="42" borderId="10" xfId="2578" applyNumberFormat="1" applyFont="1" applyFill="1" applyBorder="1" applyAlignment="1">
      <alignment horizontal="center"/>
    </xf>
    <xf numFmtId="205" fontId="117" fillId="0" borderId="0" xfId="0" applyNumberFormat="1" applyFont="1"/>
    <xf numFmtId="168" fontId="258" fillId="0" borderId="0" xfId="863" applyFont="1" applyAlignment="1">
      <alignment horizontal="center"/>
    </xf>
    <xf numFmtId="167" fontId="31" fillId="0" borderId="0" xfId="0" applyNumberFormat="1" applyFont="1"/>
    <xf numFmtId="43" fontId="126" fillId="0" borderId="0" xfId="0" applyNumberFormat="1" applyFont="1" applyAlignment="1">
      <alignment horizontal="justify" vertical="center" wrapText="1"/>
    </xf>
    <xf numFmtId="168" fontId="126" fillId="0" borderId="0" xfId="863" applyFont="1" applyAlignment="1">
      <alignment horizontal="center"/>
    </xf>
    <xf numFmtId="168" fontId="126" fillId="0" borderId="0" xfId="863" applyFont="1" applyAlignment="1">
      <alignment horizontal="center" vertical="center" wrapText="1"/>
    </xf>
    <xf numFmtId="168" fontId="238" fillId="0" borderId="0" xfId="863" applyFont="1" applyAlignment="1">
      <alignment horizontal="center" vertical="center" wrapText="1"/>
    </xf>
    <xf numFmtId="0" fontId="331" fillId="0" borderId="0" xfId="0" pivotButton="1" applyFont="1"/>
    <xf numFmtId="0" fontId="331" fillId="0" borderId="0" xfId="0" applyFont="1"/>
    <xf numFmtId="205" fontId="331" fillId="0" borderId="0" xfId="0" applyNumberFormat="1" applyFont="1" applyAlignment="1">
      <alignment horizontal="left"/>
    </xf>
    <xf numFmtId="168" fontId="331" fillId="0" borderId="0" xfId="0" applyNumberFormat="1" applyFont="1"/>
    <xf numFmtId="168" fontId="44" fillId="41" borderId="0" xfId="863" applyFont="1" applyFill="1"/>
    <xf numFmtId="0" fontId="284" fillId="42" borderId="20" xfId="0" applyFont="1" applyFill="1" applyBorder="1"/>
    <xf numFmtId="168" fontId="234" fillId="0" borderId="178" xfId="863" applyFont="1" applyBorder="1" applyAlignment="1">
      <alignment horizontal="left"/>
    </xf>
    <xf numFmtId="168" fontId="284" fillId="33" borderId="0" xfId="863" applyFont="1" applyFill="1"/>
    <xf numFmtId="168" fontId="111" fillId="0" borderId="186" xfId="863" applyFont="1" applyFill="1" applyBorder="1" applyAlignment="1">
      <alignment vertical="center"/>
    </xf>
    <xf numFmtId="168" fontId="289" fillId="43" borderId="186" xfId="863" applyFont="1" applyFill="1" applyBorder="1"/>
    <xf numFmtId="168" fontId="126" fillId="42" borderId="0" xfId="863" applyFont="1" applyFill="1" applyAlignment="1">
      <alignment horizontal="center" vertical="center"/>
    </xf>
    <xf numFmtId="168" fontId="284" fillId="119" borderId="0" xfId="863" applyFont="1" applyFill="1" applyBorder="1" applyAlignment="1">
      <alignment vertical="center"/>
    </xf>
    <xf numFmtId="168" fontId="284" fillId="112" borderId="0" xfId="863" applyFont="1" applyFill="1" applyBorder="1" applyAlignment="1">
      <alignment vertical="center"/>
    </xf>
    <xf numFmtId="168" fontId="284" fillId="45" borderId="10" xfId="863" applyFont="1" applyFill="1" applyBorder="1" applyAlignment="1">
      <alignment vertical="center"/>
    </xf>
    <xf numFmtId="168" fontId="284" fillId="111" borderId="10" xfId="863" applyFont="1" applyFill="1" applyBorder="1" applyAlignment="1">
      <alignment vertical="center"/>
    </xf>
    <xf numFmtId="168" fontId="284" fillId="111" borderId="10" xfId="863" applyFont="1" applyFill="1" applyBorder="1"/>
    <xf numFmtId="168" fontId="284" fillId="42" borderId="10" xfId="863" applyFont="1" applyFill="1" applyBorder="1"/>
    <xf numFmtId="168" fontId="283" fillId="0" borderId="193" xfId="863" applyFont="1" applyBorder="1"/>
    <xf numFmtId="168" fontId="283" fillId="0" borderId="196" xfId="863" applyFont="1" applyFill="1" applyBorder="1"/>
    <xf numFmtId="168" fontId="283" fillId="0" borderId="187" xfId="863" applyFont="1" applyFill="1" applyBorder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61" borderId="167" xfId="815" applyFont="1" applyFill="1" applyBorder="1" applyAlignment="1">
      <alignment horizontal="center" vertical="center"/>
    </xf>
    <xf numFmtId="167" fontId="31" fillId="61" borderId="176" xfId="815" applyFont="1" applyFill="1" applyBorder="1" applyAlignment="1">
      <alignment horizontal="center" vertical="center"/>
    </xf>
    <xf numFmtId="167" fontId="31" fillId="61" borderId="170" xfId="815" applyFont="1" applyFill="1" applyBorder="1" applyAlignment="1">
      <alignment horizontal="center" vertical="center"/>
    </xf>
    <xf numFmtId="167" fontId="31" fillId="61" borderId="175" xfId="815" applyFont="1" applyFill="1" applyBorder="1" applyAlignment="1">
      <alignment horizontal="center" vertical="center"/>
    </xf>
    <xf numFmtId="167" fontId="31" fillId="61" borderId="172" xfId="815" applyFont="1" applyFill="1" applyBorder="1" applyAlignment="1">
      <alignment horizontal="center" vertical="center"/>
    </xf>
    <xf numFmtId="167" fontId="31" fillId="61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CCCC"/>
      <color rgb="FFFFFF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[P_RTA_2022_CEREJ.xlsx]Calc_Mercado!Tabela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3975.6689999999999</c:v>
                </c:pt>
                <c:pt idx="1">
                  <c:v>4024.0090000000005</c:v>
                </c:pt>
                <c:pt idx="2">
                  <c:v>4167.7719999999999</c:v>
                </c:pt>
                <c:pt idx="3">
                  <c:v>4298.76</c:v>
                </c:pt>
                <c:pt idx="4">
                  <c:v>5150.7080000000005</c:v>
                </c:pt>
                <c:pt idx="5">
                  <c:v>5094.6760000000004</c:v>
                </c:pt>
                <c:pt idx="6">
                  <c:v>4552.5810000000001</c:v>
                </c:pt>
                <c:pt idx="7">
                  <c:v>4261.3689999999997</c:v>
                </c:pt>
                <c:pt idx="8">
                  <c:v>4030.1749999999997</c:v>
                </c:pt>
                <c:pt idx="9">
                  <c:v>4033.8850000000007</c:v>
                </c:pt>
                <c:pt idx="10">
                  <c:v>3867.0200000000004</c:v>
                </c:pt>
                <c:pt idx="11">
                  <c:v>4243.0410000000002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3.6193583871430221E-2</c:v>
                </c:pt>
                <c:pt idx="1">
                  <c:v>2.4351872636991376E-2</c:v>
                </c:pt>
                <c:pt idx="2">
                  <c:v>-2.03686905717816E-2</c:v>
                </c:pt>
                <c:pt idx="3">
                  <c:v>6.1574893315559528E-2</c:v>
                </c:pt>
                <c:pt idx="4">
                  <c:v>0</c:v>
                </c:pt>
                <c:pt idx="5">
                  <c:v>0.42830000000000001</c:v>
                </c:pt>
                <c:pt idx="6">
                  <c:v>0.11655023070304948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0.56658267935932094</c:v>
                </c:pt>
                <c:pt idx="1">
                  <c:v>0.19035051440624226</c:v>
                </c:pt>
                <c:pt idx="2">
                  <c:v>0.14057327515577187</c:v>
                </c:pt>
                <c:pt idx="3">
                  <c:v>0</c:v>
                </c:pt>
                <c:pt idx="4">
                  <c:v>0</c:v>
                </c:pt>
                <c:pt idx="5">
                  <c:v>1.4024449549507531E-2</c:v>
                </c:pt>
                <c:pt idx="6">
                  <c:v>8.6178573074875309E-2</c:v>
                </c:pt>
                <c:pt idx="7">
                  <c:v>2.2905084542821598E-3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26341985.739775289</c:v>
                </c:pt>
                <c:pt idx="1">
                  <c:v>29224737.75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10772016.038426597</c:v>
                </c:pt>
                <c:pt idx="1">
                  <c:v>9818414.9758875091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6110787.8444840517</c:v>
                </c:pt>
                <c:pt idx="1">
                  <c:v>7250869.556640001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3592214.1104940725</c:v>
                </c:pt>
                <c:pt idx="1">
                  <c:v>5286689.2617199849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0.44244753723074975</c:v>
                </c:pt>
                <c:pt idx="1">
                  <c:v>0.14864576588342318</c:v>
                </c:pt>
                <c:pt idx="2">
                  <c:v>0.10977444538802703</c:v>
                </c:pt>
                <c:pt idx="3">
                  <c:v>8.0037763348355731E-2</c:v>
                </c:pt>
                <c:pt idx="4">
                  <c:v>0.21625368655874957</c:v>
                </c:pt>
                <c:pt idx="5" formatCode="0.00%">
                  <c:v>2.8408015906946941E-3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Cerej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543.35</c:v>
                </c:pt>
                <c:pt idx="1">
                  <c:v>580.39</c:v>
                </c:pt>
                <c:pt idx="2">
                  <c:v>610.34</c:v>
                </c:pt>
                <c:pt idx="3">
                  <c:v>628.70000000000005</c:v>
                </c:pt>
                <c:pt idx="4">
                  <c:v>686.02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470.08925501397221</c:v>
                </c:pt>
                <c:pt idx="1">
                  <c:v>493.35330582418857</c:v>
                </c:pt>
                <c:pt idx="2">
                  <c:v>557.60898263509307</c:v>
                </c:pt>
                <c:pt idx="3">
                  <c:v>731.11090017799881</c:v>
                </c:pt>
                <c:pt idx="4">
                  <c:v>793.89469449415765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440.65675384801204</c:v>
                </c:pt>
                <c:pt idx="1">
                  <c:v>455.76517961862083</c:v>
                </c:pt>
                <c:pt idx="2">
                  <c:v>466.87885290999617</c:v>
                </c:pt>
                <c:pt idx="3">
                  <c:v>512.07166897032982</c:v>
                </c:pt>
                <c:pt idx="4">
                  <c:v>556.76165514835157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Cerej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324.70000000000005</c:v>
                </c:pt>
                <c:pt idx="1">
                  <c:v>370.55</c:v>
                </c:pt>
                <c:pt idx="2">
                  <c:v>458.99</c:v>
                </c:pt>
                <c:pt idx="3" formatCode="_(* #,##0.00_);_(* \(#,##0.00\);_(* &quot;-&quot;??_);_(@_)">
                  <c:v>456.67</c:v>
                </c:pt>
                <c:pt idx="4" formatCode="_(* #,##0.00_);_(* \(#,##0.00\);_(* &quot;-&quot;??_);_(@_)">
                  <c:v>541.30999999999995</c:v>
                </c:pt>
                <c:pt idx="5" formatCode="_(* #,##0.00_);_(* \(#,##0.00\);_(* &quot;-&quot;??_);_(@_)">
                  <c:v>543.35</c:v>
                </c:pt>
                <c:pt idx="6" formatCode="_(* #,##0.00_);_(* \(#,##0.00\);_(* &quot;-&quot;??_);_(@_)">
                  <c:v>580.39</c:v>
                </c:pt>
                <c:pt idx="7" formatCode="_(* #,##0.00_);_(* \(#,##0.00\);_(* &quot;-&quot;??_);_(@_)">
                  <c:v>610.34</c:v>
                </c:pt>
                <c:pt idx="8" formatCode="_(* #,##0.00_);_(* \(#,##0.00\);_(* &quot;-&quot;??_);_(@_)">
                  <c:v>628.70000000000005</c:v>
                </c:pt>
                <c:pt idx="9" formatCode="_(* #,##0.00_);_(* \(#,##0.00\);_(* &quot;-&quot;??_);_(@_)">
                  <c:v>686.02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324.70000000000005</c:v>
                </c:pt>
                <c:pt idx="1">
                  <c:v>366.29239626297323</c:v>
                </c:pt>
                <c:pt idx="2">
                  <c:v>393.95936548714906</c:v>
                </c:pt>
                <c:pt idx="3">
                  <c:v>439.2212595904814</c:v>
                </c:pt>
                <c:pt idx="4">
                  <c:v>431.70507856701653</c:v>
                </c:pt>
                <c:pt idx="5">
                  <c:v>470.08925501397221</c:v>
                </c:pt>
                <c:pt idx="6">
                  <c:v>493.35330582418857</c:v>
                </c:pt>
                <c:pt idx="7">
                  <c:v>557.60898263509307</c:v>
                </c:pt>
                <c:pt idx="8">
                  <c:v>731.11090017799881</c:v>
                </c:pt>
                <c:pt idx="9">
                  <c:v>793.89469449415765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324.70000000000005</c:v>
                </c:pt>
                <c:pt idx="1">
                  <c:v>345.84761309196324</c:v>
                </c:pt>
                <c:pt idx="2">
                  <c:v>378.79124921161053</c:v>
                </c:pt>
                <c:pt idx="3">
                  <c:v>412.78586078718183</c:v>
                </c:pt>
                <c:pt idx="4">
                  <c:v>422.92350380439888</c:v>
                </c:pt>
                <c:pt idx="5">
                  <c:v>440.65675384801204</c:v>
                </c:pt>
                <c:pt idx="6">
                  <c:v>455.76517961862083</c:v>
                </c:pt>
                <c:pt idx="7">
                  <c:v>466.87885290999617</c:v>
                </c:pt>
                <c:pt idx="8">
                  <c:v>512.07166897032982</c:v>
                </c:pt>
                <c:pt idx="9">
                  <c:v>556.76165514835157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6.475498263891" createdVersion="4" refreshedVersion="8" minRefreshableVersion="3" recordCount="467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468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177" maxValue="1530"/>
    </cacheField>
    <cacheField name="Daj" numFmtId="4">
      <sharedItems containsSemiMixedTypes="0" containsString="0" containsNumber="1" containsInteger="1" minValue="-177" maxValue="1530"/>
    </cacheField>
    <cacheField name="TUSD_E" numFmtId="4">
      <sharedItems containsSemiMixedTypes="0" containsString="0" containsNumber="1" minValue="-99.763000000000005" maxValue="2243.922"/>
    </cacheField>
    <cacheField name="TUSD_Eaj" numFmtId="4">
      <sharedItems containsSemiMixedTypes="0" containsString="0" containsNumber="1" minValue="-99.763000000000005" maxValue="2243.922"/>
    </cacheField>
    <cacheField name="TE_E" numFmtId="4">
      <sharedItems containsSemiMixedTypes="0" containsString="0" containsNumber="1" minValue="-99.763000000000005" maxValue="2243.922"/>
    </cacheField>
    <cacheField name="TE_Eaj" numFmtId="4">
      <sharedItems containsSemiMixedTypes="0" containsString="0" containsNumber="1" minValue="-99.763000000000005" maxValue="2243.922"/>
    </cacheField>
    <cacheField name="TUSD/KW" numFmtId="4">
      <sharedItems containsString="0" containsBlank="1" containsNumber="1" minValue="55.59" maxValue="181.08"/>
    </cacheField>
    <cacheField name="TUSD/MWh" numFmtId="4">
      <sharedItems containsString="0" containsBlank="1" containsNumber="1" minValue="77.900000000000006" maxValue="4433.21"/>
    </cacheField>
    <cacheField name="TE" numFmtId="4">
      <sharedItems containsString="0" containsBlank="1" containsNumber="1" minValue="102.16" maxValue="185.74"/>
    </cacheField>
    <cacheField name="ReceitaD" numFmtId="4">
      <sharedItems containsString="0" containsBlank="1" containsNumber="1" minValue="-9839.43" maxValue="105388.56000000001"/>
    </cacheField>
    <cacheField name="ReceitaE" numFmtId="4">
      <sharedItems containsString="0" containsBlank="1" containsNumber="1" minValue="-100894.31242" maxValue="2269368.0754800001"/>
    </cacheField>
    <cacheField name="Total" numFmtId="4">
      <sharedItems containsString="0" containsBlank="1" containsNumber="1" minValue="-100894.31242" maxValue="2269368.0754800001"/>
    </cacheField>
    <cacheField name="Total com Tar de aplicação" numFmtId="4">
      <sharedItems containsString="0" containsBlank="1" containsNumber="1" minValue="-62720.998099999997" maxValue="1410753.7614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6219.7408044481381" maxValue="139897.68977876441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3002.282010734876" maxValue="292454.18295452447"/>
    </cacheField>
    <cacheField name="DISTRIBUICAO" numFmtId="4">
      <sharedItems containsString="0" containsBlank="1" containsNumber="1" minValue="-58587.795323915023" maxValue="1317787.5851651418"/>
    </cacheField>
    <cacheField name="EnergiaRevenda" numFmtId="4">
      <sharedItems containsString="0" containsBlank="1" containsNumber="1" minValue="-18530.407397605286" maxValue="416795.69407946075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961.2358806168827" maxValue="21620.624276591487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36.52483926517769" maxValue="5320.041401858364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357.0747372980491" maxValue="75509.09514216004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58.45" maxValue="859.74"/>
    </cacheField>
    <cacheField name="Cofins" numFmtId="4">
      <sharedItems containsSemiMixedTypes="0" containsString="0" containsNumber="1" minValue="-292.23" maxValue="4333.99"/>
    </cacheField>
    <cacheField name="ICMS" numFmtId="4">
      <sharedItems containsSemiMixedTypes="0" containsString="0" containsNumber="1" minValue="-24352.66" maxValue="360472.99"/>
    </cacheField>
    <cacheField name="UC" numFmtId="4">
      <sharedItems containsSemiMixedTypes="0" containsString="0" containsNumber="1" containsInteger="1" minValue="0" maxValue="8393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22.93599800000018" maxValue="334.21692000000058"/>
    </cacheField>
    <cacheField name="Subs_Rural" numFmtId="4">
      <sharedItems containsString="0" containsBlank="1" containsNumber="1" minValue="-1110.0241599999999" maxValue="169281.47568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-15.710100000000004" maxValue="5001.4225500000002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1887.482134903334" maxValue="492304.78922162077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62719.112000000001" maxValue="1241471.1792000001"/>
    </cacheField>
    <cacheField name="FinAj" numFmtId="4">
      <sharedItems containsSemiMixedTypes="0" containsString="0" containsNumber="1" minValue="-755574.55235999986" maxValue="38175.170420000017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858614.31408000016" maxValue="38173.314320000005"/>
    </cacheField>
    <cacheField name="FinPostTE" numFmtId="4">
      <sharedItems containsSemiMixedTypes="0" containsString="0" containsNumber="1" containsInteger="1" minValue="0" maxValue="0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37010.260403489694" maxValue="1645.4469489729818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26922.34210805106" maxValue="1196.9460684130281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containsInteger="1" minValue="0" maxValue="0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containsInteger="1" minValue="0" maxValue="0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8652.4881689266767" maxValue="384.6827907550396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159.1334520505734" maxValue="51.534157861512767"/>
    </cacheField>
    <cacheField name="finCT_TFSEE" numFmtId="4">
      <sharedItems containsString="0" containsBlank="1" containsNumber="1" minValue="-276.29667446152052" maxValue="12.28393194340299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6979.2379951717749" maxValue="82125.6707073945"/>
    </cacheField>
    <cacheField name="DIST_E" numFmtId="4">
      <sharedItems containsString="0" containsBlank="1" containsNumber="1" minValue="-58587.795323915023" maxValue="1317787.5851651418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858614.31408000016" maxValue="38173.314320000005"/>
    </cacheField>
    <cacheField name="Fin_TE" numFmtId="4">
      <sharedItems containsString="0" containsBlank="1" containsNumber="1" containsInteger="1" minValue="0" maxValue="0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21610.14049706841" maxValue="36528.137986262009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1" maxValue="221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7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219.5219999999999"/>
    <n v="1219.5219999999999"/>
    <n v="1219.5219999999999"/>
    <n v="1219.5219999999999"/>
    <m/>
    <n v="825.6"/>
    <n v="185.74"/>
    <m/>
    <n v="1233351.3794800001"/>
    <n v="1233351.3794800001"/>
    <n v="766713.48139999993"/>
    <n v="0"/>
    <n v="76031.301638104313"/>
    <n v="0"/>
    <n v="0"/>
    <n v="0"/>
    <n v="158942.38307083203"/>
    <n v="716188.41984514787"/>
    <n v="226519.24551529516"/>
    <n v="0"/>
    <n v="0"/>
    <n v="0"/>
    <n v="0"/>
    <n v="0"/>
    <n v="11750.331321247977"/>
    <m/>
    <n v="2891.3248902934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037.523909457326"/>
    <n v="0"/>
    <n v="602.61"/>
    <n v="3213.27"/>
    <n v="182353.77"/>
    <n v="7983"/>
    <m/>
    <m/>
    <m/>
    <m/>
    <m/>
    <m/>
    <m/>
    <m/>
    <m/>
    <n v="267556.76942475251"/>
    <m/>
    <m/>
    <m/>
    <m/>
    <m/>
    <m/>
    <m/>
    <m/>
    <m/>
    <m/>
    <m/>
    <m/>
    <n v="766712.22399999993"/>
    <n v="-466639.18548000022"/>
    <m/>
    <m/>
    <m/>
    <m/>
    <n v="-466637.89808000001"/>
    <n v="0"/>
    <n v="30"/>
    <n v="-20114.258333304257"/>
    <n v="0"/>
    <n v="0"/>
    <n v="0"/>
    <n v="0"/>
    <n v="0"/>
    <n v="0"/>
    <n v="0"/>
    <n v="-14631.697756113921"/>
    <n v="0"/>
    <n v="0"/>
    <n v="0"/>
    <n v="0"/>
    <n v="0"/>
    <n v="0"/>
    <n v="0"/>
    <n v="0"/>
    <n v="-4702.4360368790803"/>
    <m/>
    <n v="0"/>
    <n v="0"/>
    <n v="0"/>
    <n v="0"/>
    <n v="-629.96340590787986"/>
    <n v="-150.16113440336267"/>
    <n v="0"/>
    <n v="0"/>
    <m/>
    <m/>
    <m/>
    <n v="716188.41984514787"/>
    <n v="0"/>
    <n v="0"/>
    <n v="-466637.89808000007"/>
    <n v="0"/>
    <n v="0"/>
    <n v="0"/>
    <n v="-446526.94779910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4.1749999999999998"/>
    <n v="-4.1749999999999998"/>
    <n v="-4.1749999999999998"/>
    <n v="-4.1749999999999998"/>
    <m/>
    <n v="825.6"/>
    <n v="185.74"/>
    <m/>
    <n v="-4222.3445000000002"/>
    <n v="-4222.3445000000002"/>
    <n v="-2624.8225000000002"/>
    <n v="0"/>
    <n v="-260.29106841786006"/>
    <n v="0"/>
    <n v="0"/>
    <n v="0"/>
    <n v="-544.13487359860972"/>
    <n v="-2451.8513424550706"/>
    <n v="-775.48240214309976"/>
    <n v="0"/>
    <n v="0"/>
    <n v="0"/>
    <n v="0"/>
    <n v="0"/>
    <n v="-40.226935853728186"/>
    <m/>
    <n v="-9.8983711790154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0.49083355772535"/>
    <n v="0"/>
    <n v="-2.36"/>
    <n v="-11.6"/>
    <n v="-912.09"/>
    <n v="0"/>
    <m/>
    <m/>
    <m/>
    <m/>
    <m/>
    <m/>
    <m/>
    <m/>
    <m/>
    <n v="-915.97323570082517"/>
    <m/>
    <m/>
    <m/>
    <m/>
    <m/>
    <m/>
    <m/>
    <m/>
    <m/>
    <m/>
    <m/>
    <m/>
    <n v="-2627.9659999999994"/>
    <n v="1594.3485000000001"/>
    <m/>
    <m/>
    <m/>
    <m/>
    <n v="1597.5220000000002"/>
    <n v="0"/>
    <n v="30"/>
    <n v="68.860609764764831"/>
    <n v="0"/>
    <n v="0"/>
    <n v="0"/>
    <n v="0"/>
    <n v="0"/>
    <n v="0"/>
    <n v="0"/>
    <n v="50.091214534691119"/>
    <n v="0"/>
    <n v="0"/>
    <n v="0"/>
    <n v="0"/>
    <n v="0"/>
    <n v="0"/>
    <n v="0"/>
    <n v="0"/>
    <n v="16.098660339026395"/>
    <m/>
    <n v="0"/>
    <n v="0"/>
    <n v="0"/>
    <n v="0"/>
    <n v="2.1566623805600855"/>
    <n v="0.51407251048692792"/>
    <n v="0"/>
    <n v="0"/>
    <m/>
    <m/>
    <m/>
    <n v="-2451.8513424550706"/>
    <n v="0"/>
    <n v="0"/>
    <n v="1597.5220000000002"/>
    <n v="0"/>
    <n v="0"/>
    <n v="0"/>
    <n v="1528.67271526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9.0389999999999997"/>
    <n v="9.0389999999999997"/>
    <n v="9.0389999999999997"/>
    <n v="9.0389999999999997"/>
    <m/>
    <n v="825.6"/>
    <n v="185.74"/>
    <m/>
    <n v="9141.5022599999993"/>
    <n v="9141.5022599999993"/>
    <n v="5682.8193000000001"/>
    <n v="0"/>
    <n v="563.53795627042803"/>
    <n v="0"/>
    <n v="0"/>
    <n v="0"/>
    <n v="1178.0682928042713"/>
    <n v="5308.3315651380562"/>
    <n v="1678.9426186758033"/>
    <n v="0"/>
    <n v="0"/>
    <n v="0"/>
    <n v="0"/>
    <n v="0"/>
    <n v="87.092520522598576"/>
    <m/>
    <n v="21.430269960986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16686096485734"/>
    <n v="0"/>
    <n v="4.8099999999999996"/>
    <n v="25.17"/>
    <n v="3219.73"/>
    <n v="45"/>
    <m/>
    <m/>
    <m/>
    <m/>
    <m/>
    <m/>
    <m/>
    <m/>
    <m/>
    <n v="1983.1094796406605"/>
    <m/>
    <m/>
    <m/>
    <m/>
    <m/>
    <m/>
    <m/>
    <m/>
    <m/>
    <m/>
    <m/>
    <m/>
    <n v="5683.4479999999994"/>
    <n v="-3458.0842600000005"/>
    <m/>
    <m/>
    <m/>
    <m/>
    <n v="-3458.6829600000001"/>
    <n v="0"/>
    <n v="30"/>
    <n v="-149.08528183561793"/>
    <n v="0"/>
    <n v="0"/>
    <n v="0"/>
    <n v="0"/>
    <n v="0"/>
    <n v="0"/>
    <n v="0"/>
    <n v="-108.44897920456833"/>
    <n v="0"/>
    <n v="0"/>
    <n v="0"/>
    <n v="0"/>
    <n v="0"/>
    <n v="0"/>
    <n v="0"/>
    <n v="0"/>
    <n v="-34.854081629810707"/>
    <m/>
    <n v="0"/>
    <n v="0"/>
    <n v="0"/>
    <n v="0"/>
    <n v="-4.6692386246425457"/>
    <n v="-1.1129823765967295"/>
    <n v="0"/>
    <n v="0"/>
    <m/>
    <m/>
    <m/>
    <n v="5308.3315651380562"/>
    <n v="0"/>
    <n v="0"/>
    <n v="-3458.6829600000001"/>
    <n v="0"/>
    <n v="0"/>
    <n v="0"/>
    <n v="-3309.6221971855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6.03"/>
    <n v="6.03"/>
    <n v="6.03"/>
    <n v="6.03"/>
    <m/>
    <n v="753.62"/>
    <n v="185.74"/>
    <m/>
    <n v="5664.3407999999999"/>
    <n v="5664.3407999999999"/>
    <n v="3383.3727000000003"/>
    <n v="0"/>
    <n v="0"/>
    <n v="0"/>
    <n v="0"/>
    <n v="0"/>
    <n v="785.90018869451899"/>
    <n v="3541.2367892225334"/>
    <n v="1120.0380562689561"/>
    <n v="0"/>
    <n v="0"/>
    <n v="0"/>
    <n v="0"/>
    <n v="0"/>
    <n v="0"/>
    <m/>
    <n v="14.296330110051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91250930612787"/>
    <n v="0"/>
    <n v="0"/>
    <n v="4.1500000000000004"/>
    <n v="161.85"/>
    <n v="13"/>
    <m/>
    <m/>
    <m/>
    <m/>
    <m/>
    <m/>
    <m/>
    <n v="2199.2013000000002"/>
    <m/>
    <n v="1322.9505655750841"/>
    <m/>
    <m/>
    <m/>
    <m/>
    <m/>
    <m/>
    <m/>
    <m/>
    <m/>
    <m/>
    <m/>
    <m/>
    <n v="1184.1714000000002"/>
    <n v="-798.40199999999982"/>
    <m/>
    <m/>
    <m/>
    <m/>
    <n v="-2280.9681"/>
    <n v="0"/>
    <n v="30"/>
    <n v="-73.089791828125726"/>
    <n v="0"/>
    <n v="0"/>
    <n v="0"/>
    <n v="0"/>
    <n v="0"/>
    <n v="0"/>
    <n v="0"/>
    <n v="-72.347311052500004"/>
    <n v="0"/>
    <n v="0"/>
    <n v="0"/>
    <n v="0"/>
    <n v="0"/>
    <n v="0"/>
    <n v="0"/>
    <n v="0"/>
    <n v="0"/>
    <m/>
    <n v="0"/>
    <n v="0"/>
    <n v="0"/>
    <n v="0"/>
    <n v="0"/>
    <n v="-0.74248077562543102"/>
    <n v="0"/>
    <n v="0"/>
    <m/>
    <m/>
    <m/>
    <n v="3541.2367892225334"/>
    <n v="0"/>
    <n v="0"/>
    <n v="-2280.9680999999996"/>
    <n v="0"/>
    <n v="0"/>
    <n v="0"/>
    <n v="-2207.879394737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2.154999999999999"/>
    <n v="12.154999999999999"/>
    <n v="12.154999999999999"/>
    <n v="12.154999999999999"/>
    <m/>
    <n v="753.62"/>
    <n v="185.74"/>
    <m/>
    <n v="11417.9208"/>
    <n v="11417.9208"/>
    <n v="6820.0489500000003"/>
    <n v="0"/>
    <n v="0"/>
    <n v="0"/>
    <n v="0"/>
    <n v="0"/>
    <n v="1584.1818894828984"/>
    <n v="7138.2642077943428"/>
    <n v="2257.7218198920664"/>
    <n v="0"/>
    <n v="0"/>
    <n v="0"/>
    <n v="0"/>
    <n v="0"/>
    <n v="0"/>
    <m/>
    <n v="28.817892618187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9.02181602255126"/>
    <n v="0"/>
    <n v="2.29"/>
    <n v="14.38"/>
    <n v="582.26"/>
    <n v="36"/>
    <m/>
    <m/>
    <m/>
    <m/>
    <m/>
    <m/>
    <m/>
    <n v="2727.9466499999999"/>
    <m/>
    <n v="2666.7436359146177"/>
    <m/>
    <m/>
    <m/>
    <m/>
    <m/>
    <m/>
    <m/>
    <m/>
    <m/>
    <m/>
    <m/>
    <m/>
    <n v="4093.7856000000002"/>
    <n v="-2757.0455000000002"/>
    <m/>
    <m/>
    <m/>
    <m/>
    <n v="-4597.8718499999995"/>
    <n v="0"/>
    <n v="30"/>
    <n v="-147.33108120578163"/>
    <n v="0"/>
    <n v="0"/>
    <n v="0"/>
    <n v="0"/>
    <n v="0"/>
    <n v="0"/>
    <n v="0"/>
    <n v="-145.83442219620861"/>
    <n v="0"/>
    <n v="0"/>
    <n v="0"/>
    <n v="0"/>
    <n v="0"/>
    <n v="0"/>
    <n v="0"/>
    <n v="0"/>
    <n v="0"/>
    <m/>
    <n v="0"/>
    <n v="0"/>
    <n v="0"/>
    <n v="0"/>
    <n v="0"/>
    <n v="-1.4966590095733174"/>
    <n v="0"/>
    <n v="0"/>
    <m/>
    <m/>
    <m/>
    <n v="7138.2642077943428"/>
    <n v="0"/>
    <n v="0"/>
    <n v="-4597.8718499999995"/>
    <n v="0"/>
    <n v="0"/>
    <n v="0"/>
    <n v="-4450.5429590430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1.212"/>
    <n v="11.212"/>
    <n v="11.212"/>
    <n v="11.212"/>
    <m/>
    <n v="753.62"/>
    <n v="185.74"/>
    <m/>
    <n v="10532.104319999999"/>
    <n v="10532.104319999999"/>
    <n v="6290.9410800000005"/>
    <n v="0"/>
    <n v="0"/>
    <n v="0"/>
    <n v="0"/>
    <n v="0"/>
    <n v="1461.2790904880508"/>
    <n v="6584.4688027799402"/>
    <n v="2082.5649563660922"/>
    <n v="0"/>
    <n v="0"/>
    <n v="0"/>
    <n v="0"/>
    <n v="0"/>
    <n v="0"/>
    <m/>
    <n v="26.582164708771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28939541298604"/>
    <n v="0"/>
    <n v="5.81"/>
    <n v="26.31"/>
    <n v="1517.95"/>
    <n v="114"/>
    <m/>
    <m/>
    <m/>
    <m/>
    <m/>
    <m/>
    <m/>
    <n v="628.99320000000057"/>
    <m/>
    <n v="2459.8543517790781"/>
    <m/>
    <m/>
    <m/>
    <m/>
    <m/>
    <m/>
    <m/>
    <m/>
    <m/>
    <m/>
    <m/>
    <m/>
    <n v="5660.9379000000008"/>
    <n v="-3818.0532599999988"/>
    <m/>
    <m/>
    <m/>
    <m/>
    <n v="-4241.1632399999999"/>
    <n v="0"/>
    <n v="30"/>
    <n v="-135.90095289833198"/>
    <n v="0"/>
    <n v="0"/>
    <n v="0"/>
    <n v="0"/>
    <n v="0"/>
    <n v="0"/>
    <n v="0"/>
    <n v="-134.52040655400151"/>
    <n v="0"/>
    <n v="0"/>
    <n v="0"/>
    <n v="0"/>
    <n v="0"/>
    <n v="0"/>
    <n v="0"/>
    <n v="0"/>
    <n v="0"/>
    <m/>
    <n v="0"/>
    <n v="0"/>
    <n v="0"/>
    <n v="0"/>
    <n v="0"/>
    <n v="-1.3805463443304049"/>
    <n v="0"/>
    <n v="0"/>
    <m/>
    <m/>
    <m/>
    <n v="6584.4688027799402"/>
    <n v="0"/>
    <n v="0"/>
    <n v="-4241.163239999999"/>
    <n v="0"/>
    <n v="0"/>
    <n v="0"/>
    <n v="-4105.2643074283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2.7719999999999998"/>
    <n v="2.7719999999999998"/>
    <n v="2.7719999999999998"/>
    <n v="2.7719999999999998"/>
    <m/>
    <n v="753.62"/>
    <n v="185.74"/>
    <m/>
    <n v="2603.9059199999997"/>
    <n v="2603.9059199999997"/>
    <n v="1555.34148"/>
    <n v="0"/>
    <n v="0"/>
    <n v="0"/>
    <n v="0"/>
    <n v="0"/>
    <n v="361.27948972822662"/>
    <n v="1627.9118374336419"/>
    <n v="514.88316616543057"/>
    <n v="0"/>
    <n v="0"/>
    <n v="0"/>
    <n v="0"/>
    <n v="0"/>
    <n v="0"/>
    <m/>
    <n v="6.5720442893965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279183382518482"/>
    <n v="0"/>
    <n v="1.91"/>
    <n v="10.18"/>
    <n v="755.43"/>
    <n v="38"/>
    <m/>
    <m/>
    <m/>
    <m/>
    <m/>
    <m/>
    <m/>
    <m/>
    <m/>
    <n v="608.16234954794902"/>
    <m/>
    <m/>
    <m/>
    <m/>
    <m/>
    <m/>
    <m/>
    <m/>
    <m/>
    <m/>
    <m/>
    <m/>
    <n v="1554.2193000000002"/>
    <n v="-1049.7166200000001"/>
    <m/>
    <m/>
    <m/>
    <m/>
    <n v="-1048.5644399999999"/>
    <n v="0"/>
    <n v="30"/>
    <n v="-33.599486392630865"/>
    <n v="0"/>
    <n v="0"/>
    <n v="0"/>
    <n v="0"/>
    <n v="0"/>
    <n v="0"/>
    <n v="0"/>
    <n v="-33.258166871895526"/>
    <n v="0"/>
    <n v="0"/>
    <n v="0"/>
    <n v="0"/>
    <n v="0"/>
    <n v="0"/>
    <n v="0"/>
    <n v="0"/>
    <n v="0"/>
    <m/>
    <n v="0"/>
    <n v="0"/>
    <n v="0"/>
    <n v="0"/>
    <n v="0"/>
    <n v="-0.34131952073527305"/>
    <n v="0"/>
    <n v="0"/>
    <m/>
    <m/>
    <m/>
    <n v="1627.9118374336419"/>
    <n v="0"/>
    <n v="0"/>
    <n v="-1048.5644399999999"/>
    <n v="0"/>
    <n v="0"/>
    <n v="0"/>
    <n v="-1014.965453103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0.15"/>
    <n v="0.15"/>
    <n v="0.15"/>
    <n v="0.15"/>
    <m/>
    <n v="495.6"/>
    <n v="185.74"/>
    <m/>
    <n v="102.20100000000001"/>
    <n v="102.20100000000001"/>
    <n v="70.896000000000001"/>
    <n v="0"/>
    <n v="9.3517749132165289"/>
    <n v="0"/>
    <n v="0"/>
    <n v="0"/>
    <n v="10.571356846674226"/>
    <n v="47.568800451134699"/>
    <n v="27.861643190770049"/>
    <n v="0"/>
    <n v="0"/>
    <n v="0"/>
    <n v="0"/>
    <n v="0"/>
    <n v="1.445279132469276"/>
    <m/>
    <n v="0.35563010224007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4757485836139"/>
    <n v="0"/>
    <n v="0"/>
    <n v="0"/>
    <n v="0"/>
    <n v="0"/>
    <m/>
    <m/>
    <m/>
    <m/>
    <m/>
    <m/>
    <m/>
    <m/>
    <m/>
    <n v="32.909218049131439"/>
    <m/>
    <m/>
    <m/>
    <m/>
    <m/>
    <m/>
    <m/>
    <m/>
    <m/>
    <m/>
    <m/>
    <m/>
    <n v="70.896000000000001"/>
    <n v="-31.335000000000022"/>
    <m/>
    <m/>
    <m/>
    <m/>
    <n v="-31.305000000000007"/>
    <n v="0"/>
    <n v="30"/>
    <n v="-1.6475128558595742"/>
    <n v="0"/>
    <n v="0"/>
    <n v="0"/>
    <n v="0"/>
    <n v="0"/>
    <n v="0"/>
    <n v="0"/>
    <n v="-0.97316332663537608"/>
    <n v="0"/>
    <n v="0"/>
    <n v="0"/>
    <n v="0"/>
    <n v="0"/>
    <n v="0"/>
    <n v="0"/>
    <n v="0"/>
    <n v="-0.5783949822404697"/>
    <m/>
    <n v="0"/>
    <n v="0"/>
    <n v="0"/>
    <n v="0"/>
    <n v="-7.7484875948266474E-2"/>
    <n v="-1.846967103545849E-2"/>
    <n v="0"/>
    <n v="0"/>
    <m/>
    <m/>
    <m/>
    <n v="47.568800451134699"/>
    <n v="0"/>
    <n v="0"/>
    <n v="-31.305000000000007"/>
    <n v="0"/>
    <n v="0"/>
    <n v="0"/>
    <n v="-29.65804903757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5"/>
    <n v="0.26"/>
    <n v="10.4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42.145000000000003"/>
    <n v="42.145000000000003"/>
    <n v="42.145000000000003"/>
    <n v="42.145000000000003"/>
    <m/>
    <n v="825.6"/>
    <n v="185.74"/>
    <m/>
    <n v="42622.924300000006"/>
    <n v="42622.924300000006"/>
    <n v="26496.561500000003"/>
    <n v="0"/>
    <n v="2627.5370247834044"/>
    <n v="0"/>
    <n v="0"/>
    <n v="0"/>
    <n v="5492.8297599553071"/>
    <n v="24750.484988687178"/>
    <n v="7828.1930151666929"/>
    <n v="0"/>
    <n v="0"/>
    <n v="0"/>
    <n v="0"/>
    <n v="0"/>
    <n v="406.07526025278429"/>
    <m/>
    <n v="99.920204392719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8.200282704272"/>
    <n v="0"/>
    <n v="24.44"/>
    <n v="123.76"/>
    <n v="10307.870000000001"/>
    <n v="51"/>
    <m/>
    <m/>
    <m/>
    <m/>
    <m/>
    <m/>
    <m/>
    <m/>
    <m/>
    <n v="9246.3932978709654"/>
    <m/>
    <m/>
    <m/>
    <m/>
    <m/>
    <m/>
    <m/>
    <m/>
    <m/>
    <m/>
    <m/>
    <m/>
    <n v="26499.704999999998"/>
    <n v="-16123.249300000014"/>
    <m/>
    <m/>
    <m/>
    <m/>
    <n v="-16126.362800000003"/>
    <n v="0"/>
    <n v="30"/>
    <n v="-695.12105354155574"/>
    <n v="0"/>
    <n v="0"/>
    <n v="0"/>
    <n v="0"/>
    <n v="0"/>
    <n v="0"/>
    <n v="0"/>
    <n v="-505.65131414719872"/>
    <n v="0"/>
    <n v="0"/>
    <n v="0"/>
    <n v="0"/>
    <n v="0"/>
    <n v="0"/>
    <n v="0"/>
    <n v="0"/>
    <n v="-162.50971017683059"/>
    <m/>
    <n v="0"/>
    <n v="0"/>
    <n v="0"/>
    <n v="0"/>
    <n v="-21.770667312264607"/>
    <n v="-5.1893619052626576"/>
    <n v="0"/>
    <n v="0"/>
    <m/>
    <m/>
    <m/>
    <n v="24750.484988687178"/>
    <n v="0"/>
    <n v="0"/>
    <n v="-16126.362800000003"/>
    <n v="0"/>
    <n v="0"/>
    <n v="0"/>
    <n v="-15431.356068191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104.965"/>
    <n v="104.965"/>
    <n v="104.965"/>
    <n v="104.965"/>
    <m/>
    <n v="825.6"/>
    <n v="185.74"/>
    <m/>
    <n v="106155.3031"/>
    <n v="106155.3031"/>
    <n v="65991.495500000005"/>
    <n v="0"/>
    <n v="6544.0603584384871"/>
    <n v="0"/>
    <n v="0"/>
    <n v="0"/>
    <n v="13680.267546653431"/>
    <n v="61642.772733124912"/>
    <n v="19496.649183461192"/>
    <n v="0"/>
    <n v="0"/>
    <n v="0"/>
    <n v="0"/>
    <n v="0"/>
    <n v="1011.3581609309172"/>
    <m/>
    <n v="248.85809121086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32.1246333860222"/>
    <n v="0"/>
    <n v="61.49"/>
    <n v="307.48"/>
    <n v="26379.88"/>
    <n v="2"/>
    <m/>
    <m/>
    <m/>
    <m/>
    <m/>
    <m/>
    <m/>
    <m/>
    <m/>
    <n v="23028.773816847213"/>
    <m/>
    <m/>
    <m/>
    <m/>
    <m/>
    <m/>
    <m/>
    <m/>
    <m/>
    <m/>
    <m/>
    <m/>
    <n v="65994.638999999996"/>
    <n v="-40160.694099999993"/>
    <m/>
    <m/>
    <m/>
    <m/>
    <n v="-40163.807600000007"/>
    <n v="0"/>
    <n v="30"/>
    <n v="-1731.2464440619224"/>
    <n v="0"/>
    <n v="0"/>
    <n v="0"/>
    <n v="0"/>
    <n v="0"/>
    <n v="0"/>
    <n v="0"/>
    <n v="-1259.3591218284691"/>
    <n v="0"/>
    <n v="0"/>
    <n v="0"/>
    <n v="0"/>
    <n v="0"/>
    <n v="0"/>
    <n v="0"/>
    <n v="0"/>
    <n v="-404.74152873913954"/>
    <m/>
    <n v="0"/>
    <n v="0"/>
    <n v="0"/>
    <n v="0"/>
    <n v="-54.221333359398614"/>
    <n v="-12.924460134912664"/>
    <n v="0"/>
    <n v="0"/>
    <m/>
    <m/>
    <m/>
    <n v="61642.772733124912"/>
    <n v="0"/>
    <n v="0"/>
    <n v="-40163.807600000007"/>
    <n v="0"/>
    <n v="0"/>
    <n v="0"/>
    <n v="-38432.845882020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-99.763000000000005"/>
    <n v="-99.763000000000005"/>
    <n v="-99.763000000000005"/>
    <n v="-99.763000000000005"/>
    <m/>
    <n v="825.6"/>
    <n v="185.74"/>
    <m/>
    <n v="-100894.31242"/>
    <n v="-100894.31242"/>
    <n v="-62720.998099999997"/>
    <n v="0"/>
    <n v="-6219.7408044481381"/>
    <n v="0"/>
    <n v="0"/>
    <n v="0"/>
    <n v="-13002.282010734876"/>
    <n v="-58587.795323915023"/>
    <n v="-18530.407397605286"/>
    <n v="0"/>
    <n v="0"/>
    <n v="0"/>
    <n v="0"/>
    <n v="0"/>
    <n v="-961.2358806168827"/>
    <m/>
    <n v="-236.52483926517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357.0747372980491"/>
    <n v="0"/>
    <n v="-58.45"/>
    <n v="-292.23"/>
    <n v="-24352.66"/>
    <n v="1"/>
    <m/>
    <m/>
    <m/>
    <m/>
    <m/>
    <m/>
    <m/>
    <m/>
    <m/>
    <n v="-21887.482134903334"/>
    <m/>
    <m/>
    <m/>
    <m/>
    <m/>
    <m/>
    <m/>
    <m/>
    <m/>
    <m/>
    <m/>
    <m/>
    <n v="-62719.112000000001"/>
    <n v="38175.170420000017"/>
    <m/>
    <m/>
    <m/>
    <m/>
    <n v="38173.314320000005"/>
    <n v="0"/>
    <n v="30"/>
    <n v="1645.4469489729818"/>
    <n v="0"/>
    <n v="0"/>
    <n v="0"/>
    <n v="0"/>
    <n v="0"/>
    <n v="0"/>
    <n v="0"/>
    <n v="1196.9460684130281"/>
    <n v="0"/>
    <n v="0"/>
    <n v="0"/>
    <n v="0"/>
    <n v="0"/>
    <n v="0"/>
    <n v="0"/>
    <n v="0"/>
    <n v="384.6827907550396"/>
    <m/>
    <n v="0"/>
    <n v="0"/>
    <n v="0"/>
    <n v="0"/>
    <n v="51.534157861512767"/>
    <n v="12.28393194340299"/>
    <n v="0"/>
    <n v="0"/>
    <m/>
    <m/>
    <m/>
    <n v="-58587.795323915023"/>
    <n v="0"/>
    <n v="0"/>
    <n v="38173.314320000005"/>
    <n v="0"/>
    <n v="0"/>
    <n v="0"/>
    <n v="36528.137986262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Ponta"/>
    <s v="CATIVO"/>
    <x v="0"/>
    <n v="0"/>
    <n v="0"/>
    <n v="2.9660000000000002"/>
    <n v="2.9660000000000002"/>
    <n v="2.9660000000000002"/>
    <n v="2.9660000000000002"/>
    <m/>
    <n v="4433.21"/>
    <n v="185.74"/>
    <m/>
    <n v="13699.805700000001"/>
    <n v="13699.805700000001"/>
    <n v="7149.8989200000005"/>
    <n v="0"/>
    <n v="160.87671347708113"/>
    <n v="0"/>
    <n v="0"/>
    <n v="0"/>
    <n v="2852.1737436360536"/>
    <n v="10065.66542839413"/>
    <n v="550.91755802549324"/>
    <n v="0"/>
    <n v="0"/>
    <n v="0"/>
    <n v="0"/>
    <n v="0"/>
    <n v="28.577986046025821"/>
    <m/>
    <n v="3.0724243022930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53478748329632"/>
    <n v="0"/>
    <n v="0"/>
    <n v="0"/>
    <n v="0"/>
    <n v="0"/>
    <m/>
    <m/>
    <m/>
    <m/>
    <m/>
    <m/>
    <m/>
    <m/>
    <m/>
    <n v="589.45234550878956"/>
    <m/>
    <m/>
    <m/>
    <m/>
    <m/>
    <m/>
    <m/>
    <m/>
    <m/>
    <m/>
    <m/>
    <m/>
    <n v="7159.5414000000001"/>
    <n v="-6540.2943000000014"/>
    <m/>
    <m/>
    <m/>
    <m/>
    <n v="-6549.9067800000003"/>
    <n v="0"/>
    <n v="30"/>
    <n v="-274.2031740862808"/>
    <n v="0"/>
    <n v="0"/>
    <n v="0"/>
    <n v="0"/>
    <n v="0"/>
    <n v="0"/>
    <n v="0"/>
    <n v="-262.56146006197378"/>
    <n v="0"/>
    <n v="0"/>
    <n v="0"/>
    <n v="0"/>
    <n v="0"/>
    <n v="0"/>
    <n v="0"/>
    <n v="0"/>
    <n v="-9.9500132004862962"/>
    <m/>
    <n v="0"/>
    <n v="0"/>
    <n v="0"/>
    <n v="0"/>
    <n v="-1.5321342804170541"/>
    <n v="-0.15956654340354826"/>
    <n v="0"/>
    <n v="0"/>
    <m/>
    <m/>
    <m/>
    <n v="10065.66542839413"/>
    <n v="0"/>
    <n v="0"/>
    <n v="-6549.9067800000012"/>
    <n v="0"/>
    <n v="0"/>
    <n v="0"/>
    <n v="-6275.710046079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56.646000000000001"/>
    <n v="56.646000000000001"/>
    <n v="56.646000000000001"/>
    <n v="56.646000000000001"/>
    <m/>
    <n v="77.900000000000006"/>
    <n v="185.74"/>
    <m/>
    <n v="14934.151440000001"/>
    <n v="14934.151440000001"/>
    <n v="14712.099120000001"/>
    <n v="0"/>
    <n v="3072.4957220575643"/>
    <n v="0"/>
    <n v="0"/>
    <n v="0"/>
    <n v="0"/>
    <n v="0"/>
    <n v="10521.670934562402"/>
    <n v="0"/>
    <n v="0"/>
    <n v="0"/>
    <n v="0"/>
    <n v="0"/>
    <n v="545.79521158569742"/>
    <m/>
    <n v="58.678539119249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5.95467693149124"/>
    <n v="0"/>
    <n v="0"/>
    <n v="0"/>
    <n v="0"/>
    <n v="0"/>
    <m/>
    <m/>
    <m/>
    <m/>
    <m/>
    <m/>
    <m/>
    <m/>
    <m/>
    <n v="11257.625611493893"/>
    <m/>
    <m/>
    <m/>
    <m/>
    <m/>
    <m/>
    <m/>
    <m/>
    <m/>
    <m/>
    <m/>
    <m/>
    <n v="14713.138000000001"/>
    <n v="-221.04344000000128"/>
    <m/>
    <m/>
    <m/>
    <m/>
    <n v="-222.05232000000009"/>
    <n v="0"/>
    <n v="30"/>
    <n v="-222.33868260987583"/>
    <n v="0"/>
    <n v="0"/>
    <n v="0"/>
    <n v="0"/>
    <n v="0"/>
    <n v="0"/>
    <n v="0"/>
    <n v="0"/>
    <n v="0"/>
    <n v="0"/>
    <n v="0"/>
    <n v="0"/>
    <n v="0"/>
    <n v="0"/>
    <n v="0"/>
    <n v="0"/>
    <n v="-190.02982055116127"/>
    <m/>
    <n v="0"/>
    <n v="0"/>
    <n v="0"/>
    <n v="0"/>
    <n v="-29.261388553103302"/>
    <n v="-3.0474735056093678"/>
    <n v="0"/>
    <n v="0"/>
    <m/>
    <m/>
    <m/>
    <n v="0"/>
    <n v="0"/>
    <n v="0"/>
    <n v="-222.05232000000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Não se aplica"/>
    <s v="CATIVO"/>
    <x v="0"/>
    <n v="329"/>
    <n v="329"/>
    <n v="0"/>
    <n v="0"/>
    <n v="0"/>
    <n v="0"/>
    <n v="55.59"/>
    <m/>
    <m/>
    <n v="18289.11"/>
    <m/>
    <n v="18289.11"/>
    <n v="9708.7900000000009"/>
    <n v="0"/>
    <n v="0"/>
    <n v="0"/>
    <n v="0"/>
    <n v="0"/>
    <n v="5314.8867023382381"/>
    <n v="12972.707911929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48"/>
    <n v="152.58000000000001"/>
    <n v="12280.74"/>
    <n v="5"/>
    <m/>
    <m/>
    <m/>
    <m/>
    <m/>
    <m/>
    <m/>
    <m/>
    <m/>
    <n v="0"/>
    <m/>
    <m/>
    <m/>
    <m/>
    <m/>
    <m/>
    <m/>
    <m/>
    <m/>
    <m/>
    <m/>
    <m/>
    <n v="9708.7900000000009"/>
    <n v="-8580.3499999999949"/>
    <m/>
    <m/>
    <m/>
    <m/>
    <n v="-8580.32"/>
    <n v="0"/>
    <n v="30"/>
    <n v="-489.27047861078972"/>
    <n v="0"/>
    <n v="0"/>
    <n v="0"/>
    <n v="0"/>
    <m/>
    <m/>
    <m/>
    <n v="-489.270478610789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972.707911929458"/>
    <m/>
    <n v="0"/>
    <n v="0"/>
    <n v="-8580.32"/>
    <m/>
    <n v="0"/>
    <m/>
    <n v="-8088.1839305020294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6"/>
    <s v="Regular"/>
    <s v="Convencional"/>
    <s v="B3"/>
    <s v="Comercial"/>
    <s v="Não se aplica"/>
    <s v="Não se aplica"/>
    <s v="Não se aplica"/>
    <s v="Não se aplica"/>
    <s v="CATIVO"/>
    <x v="0"/>
    <n v="0"/>
    <n v="0"/>
    <n v="141.58799999999999"/>
    <n v="141.58799999999999"/>
    <n v="141.58799999999999"/>
    <n v="141.58799999999999"/>
    <m/>
    <n v="825.6"/>
    <n v="185.74"/>
    <m/>
    <n v="143193.60792000001"/>
    <n v="143193.60792000001"/>
    <n v="89016.375599999999"/>
    <n v="0"/>
    <n v="8827.3273760833454"/>
    <n v="0"/>
    <n v="0"/>
    <n v="0"/>
    <n v="18453.405624689807"/>
    <n v="83150.353982162531"/>
    <n v="26299.162240631667"/>
    <n v="0"/>
    <n v="0"/>
    <n v="0"/>
    <n v="0"/>
    <n v="0"/>
    <n v="1364.2278787203991"/>
    <m/>
    <n v="335.6863661064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4.5068603044829"/>
    <n v="0"/>
    <n v="79.8"/>
    <n v="409.09"/>
    <n v="33086.589999999997"/>
    <n v="365"/>
    <m/>
    <m/>
    <m/>
    <m/>
    <m/>
    <m/>
    <m/>
    <m/>
    <m/>
    <n v="31063.669100936149"/>
    <m/>
    <m/>
    <m/>
    <m/>
    <m/>
    <m/>
    <m/>
    <m/>
    <m/>
    <m/>
    <m/>
    <m/>
    <n v="89017.633000000002"/>
    <n v="-54176.004920000007"/>
    <m/>
    <m/>
    <m/>
    <m/>
    <n v="-54177.232320000003"/>
    <n v="0"/>
    <n v="30"/>
    <n v="-2335.2900635625047"/>
    <n v="0"/>
    <n v="0"/>
    <n v="0"/>
    <n v="0"/>
    <n v="0"/>
    <n v="0"/>
    <n v="0"/>
    <n v="-1698.7580559372072"/>
    <n v="0"/>
    <n v="0"/>
    <n v="0"/>
    <n v="0"/>
    <n v="0"/>
    <n v="0"/>
    <n v="0"/>
    <n v="0"/>
    <n v="-545.95859163642308"/>
    <m/>
    <n v="0"/>
    <n v="0"/>
    <n v="0"/>
    <n v="0"/>
    <n v="-73.13952410508773"/>
    <n v="-17.433891883789954"/>
    <n v="0"/>
    <n v="0"/>
    <m/>
    <m/>
    <m/>
    <n v="83150.353982162531"/>
    <n v="0"/>
    <n v="0"/>
    <n v="-54177.23232000001"/>
    <n v="0"/>
    <n v="0"/>
    <n v="0"/>
    <n v="-51842.32632537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6.593"/>
    <n v="6.593"/>
    <n v="6.593"/>
    <n v="6.593"/>
    <m/>
    <n v="825.6"/>
    <n v="185.74"/>
    <m/>
    <n v="6667.7646199999999"/>
    <n v="6667.7646199999999"/>
    <n v="4145.0190999999995"/>
    <n v="0"/>
    <n v="411.04168001891054"/>
    <n v="0"/>
    <n v="0"/>
    <n v="0"/>
    <n v="859.27693931392434"/>
    <n v="3871.8696768398277"/>
    <n v="1224.612090378313"/>
    <n v="0"/>
    <n v="0"/>
    <n v="0"/>
    <n v="0"/>
    <n v="0"/>
    <n v="63.524835469132917"/>
    <m/>
    <n v="15.63112842712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.85774027451097"/>
    <n v="0"/>
    <n v="3.73"/>
    <n v="19.010000000000002"/>
    <n v="3098.65"/>
    <n v="10"/>
    <m/>
    <m/>
    <m/>
    <m/>
    <m/>
    <m/>
    <m/>
    <m/>
    <m/>
    <n v="1446.4698306528239"/>
    <m/>
    <m/>
    <m/>
    <m/>
    <m/>
    <m/>
    <m/>
    <m/>
    <m/>
    <m/>
    <m/>
    <m/>
    <n v="4143.1329999999998"/>
    <n v="-2524.6616200000008"/>
    <m/>
    <m/>
    <m/>
    <m/>
    <n v="-2522.7455200000004"/>
    <n v="0"/>
    <n v="30"/>
    <n v="-108.74203597103997"/>
    <n v="0"/>
    <n v="0"/>
    <n v="0"/>
    <n v="0"/>
    <n v="0"/>
    <n v="0"/>
    <n v="0"/>
    <n v="-79.102126329872704"/>
    <n v="0"/>
    <n v="0"/>
    <n v="0"/>
    <n v="0"/>
    <n v="0"/>
    <n v="0"/>
    <n v="0"/>
    <n v="0"/>
    <n v="-25.422387452742782"/>
    <m/>
    <n v="0"/>
    <n v="0"/>
    <n v="0"/>
    <n v="0"/>
    <n v="-3.4057185808461412"/>
    <n v="-0.81180360757851844"/>
    <n v="0"/>
    <n v="0"/>
    <m/>
    <m/>
    <m/>
    <n v="3871.8696768398277"/>
    <n v="0"/>
    <n v="0"/>
    <n v="-2522.7455200000004"/>
    <n v="0"/>
    <n v="0"/>
    <n v="0"/>
    <n v="-2414.02136807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Ponta"/>
    <s v="CATIVO"/>
    <x v="0"/>
    <n v="550"/>
    <n v="550"/>
    <n v="29.044"/>
    <n v="29.044"/>
    <n v="29.044"/>
    <n v="29.044"/>
    <n v="181.08"/>
    <n v="77.900000000000006"/>
    <n v="185.74"/>
    <n v="99594"/>
    <n v="7657.1601600000004"/>
    <n v="107251.16016"/>
    <n v="56724.307679999998"/>
    <n v="0"/>
    <n v="1575.355113360871"/>
    <n v="0"/>
    <n v="0"/>
    <n v="0"/>
    <n v="21982.629867597301"/>
    <n v="77610.169912486206"/>
    <n v="5394.7570988848356"/>
    <n v="0"/>
    <n v="0"/>
    <n v="0"/>
    <n v="0"/>
    <n v="0"/>
    <n v="279.84458082291769"/>
    <m/>
    <n v="30.086140066014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34469577372158"/>
    <n v="0"/>
    <n v="0"/>
    <n v="0"/>
    <n v="0"/>
    <n v="0"/>
    <m/>
    <m/>
    <m/>
    <m/>
    <m/>
    <m/>
    <m/>
    <m/>
    <m/>
    <n v="5772.1017946585571"/>
    <m/>
    <m/>
    <m/>
    <m/>
    <m/>
    <m/>
    <m/>
    <m/>
    <m/>
    <m/>
    <m/>
    <m/>
    <n v="56723.268800000005"/>
    <n v="-50527.921359999978"/>
    <m/>
    <m/>
    <m/>
    <m/>
    <n v="-50526.852480000009"/>
    <n v="0"/>
    <n v="30"/>
    <n v="-2137.6457992834257"/>
    <n v="0"/>
    <n v="0"/>
    <n v="0"/>
    <n v="0"/>
    <n v="0"/>
    <n v="0"/>
    <n v="0"/>
    <n v="-2023.6464931060946"/>
    <n v="0"/>
    <n v="0"/>
    <n v="0"/>
    <n v="0"/>
    <n v="0"/>
    <n v="0"/>
    <n v="0"/>
    <n v="0"/>
    <n v="-97.43364241231393"/>
    <m/>
    <n v="0"/>
    <n v="0"/>
    <n v="0"/>
    <n v="0"/>
    <n v="-15.003138246942967"/>
    <n v="-1.5625255180757414"/>
    <n v="0"/>
    <n v="0"/>
    <m/>
    <m/>
    <n v="77610.169912486206"/>
    <n v="0"/>
    <n v="0"/>
    <n v="0"/>
    <n v="-50526.852480000001"/>
    <n v="0"/>
    <n v="0"/>
    <n v="0"/>
    <n v="-48388.149443529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Fora ponta"/>
    <s v="CATIVO"/>
    <x v="0"/>
    <n v="555"/>
    <n v="555"/>
    <n v="288.81400000000002"/>
    <n v="288.81400000000002"/>
    <n v="288.81400000000002"/>
    <n v="288.81400000000002"/>
    <n v="55.59"/>
    <n v="77.900000000000006"/>
    <n v="185.74"/>
    <n v="30852.45"/>
    <n v="76142.922960000011"/>
    <n v="106995.37296000001"/>
    <n v="91388.822080000013"/>
    <n v="0"/>
    <n v="15665.356414757149"/>
    <n v="0"/>
    <n v="0"/>
    <n v="0"/>
    <n v="8965.8423094155678"/>
    <n v="21884.051340792852"/>
    <n v="53645.550776660413"/>
    <n v="0"/>
    <n v="0"/>
    <n v="0"/>
    <n v="0"/>
    <n v="0"/>
    <n v="2782.7789824332103"/>
    <m/>
    <n v="299.1770574654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2.3216831425298"/>
    <n v="0"/>
    <n v="0"/>
    <n v="0"/>
    <n v="0"/>
    <n v="0"/>
    <m/>
    <m/>
    <m/>
    <m/>
    <m/>
    <m/>
    <m/>
    <m/>
    <m/>
    <n v="57397.872459802944"/>
    <m/>
    <m/>
    <m/>
    <m/>
    <m/>
    <m/>
    <m/>
    <m/>
    <m/>
    <m/>
    <m/>
    <m/>
    <n v="91387.783200000005"/>
    <n v="-15607.619760000001"/>
    <m/>
    <m/>
    <m/>
    <m/>
    <n v="-15606.550880000003"/>
    <n v="0"/>
    <n v="30"/>
    <n v="-1958.9760149502981"/>
    <n v="0"/>
    <n v="0"/>
    <n v="0"/>
    <n v="0"/>
    <n v="0"/>
    <n v="0"/>
    <n v="0"/>
    <n v="-825.36509309722805"/>
    <n v="0"/>
    <n v="0"/>
    <n v="0"/>
    <n v="0"/>
    <n v="0"/>
    <n v="0"/>
    <n v="0"/>
    <n v="0"/>
    <n v="-968.88169672462573"/>
    <m/>
    <n v="0"/>
    <n v="0"/>
    <n v="0"/>
    <n v="0"/>
    <n v="-149.19144641415096"/>
    <n v="-15.537778714279284"/>
    <n v="0"/>
    <n v="0"/>
    <m/>
    <m/>
    <n v="21884.051340792852"/>
    <n v="0"/>
    <n v="0"/>
    <n v="0"/>
    <n v="-15606.550880000003"/>
    <n v="0"/>
    <n v="0"/>
    <n v="0"/>
    <n v="-13644.200855406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41.82"/>
    <n v="709.13"/>
    <n v="59094.0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Ponta"/>
    <s v="CATIVO"/>
    <x v="0"/>
    <n v="0"/>
    <n v="0"/>
    <n v="13.968"/>
    <n v="13.968"/>
    <n v="13.968"/>
    <n v="13.968"/>
    <m/>
    <n v="4433.21"/>
    <n v="185.74"/>
    <m/>
    <n v="64517.493600000002"/>
    <n v="64517.493600000002"/>
    <n v="33671.540160000004"/>
    <n v="0"/>
    <n v="757.62843352928826"/>
    <n v="0"/>
    <n v="0"/>
    <n v="0"/>
    <n v="13431.949713792446"/>
    <n v="47402.971916321374"/>
    <n v="2594.4762139245072"/>
    <n v="0"/>
    <n v="0"/>
    <n v="0"/>
    <n v="0"/>
    <n v="0"/>
    <n v="134.58439281553899"/>
    <m/>
    <n v="14.469191724352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47468360306235"/>
    <n v="0"/>
    <n v="0"/>
    <n v="0"/>
    <n v="0"/>
    <n v="0"/>
    <m/>
    <m/>
    <m/>
    <m/>
    <m/>
    <m/>
    <m/>
    <m/>
    <m/>
    <n v="2775.9508975275694"/>
    <m/>
    <m/>
    <m/>
    <m/>
    <m/>
    <m/>
    <m/>
    <m/>
    <m/>
    <m/>
    <m/>
    <m/>
    <n v="33676.361400000002"/>
    <n v="-30841.162200000006"/>
    <m/>
    <m/>
    <m/>
    <m/>
    <n v="-30845.953439999997"/>
    <n v="0"/>
    <n v="30"/>
    <n v="-1291.3249951575017"/>
    <n v="0"/>
    <n v="0"/>
    <n v="0"/>
    <n v="0"/>
    <n v="0"/>
    <n v="0"/>
    <n v="0"/>
    <n v="-1236.4998227058823"/>
    <n v="0"/>
    <n v="0"/>
    <n v="0"/>
    <n v="0"/>
    <n v="0"/>
    <n v="0"/>
    <n v="0"/>
    <n v="0"/>
    <n v="-46.858322449221987"/>
    <m/>
    <n v="0"/>
    <n v="0"/>
    <n v="0"/>
    <n v="0"/>
    <n v="-7.2153916483025711"/>
    <n v="-0.75145835410005368"/>
    <n v="0"/>
    <n v="0"/>
    <m/>
    <m/>
    <m/>
    <n v="47402.971916321374"/>
    <n v="0"/>
    <n v="0"/>
    <n v="-30845.953439999997"/>
    <n v="0"/>
    <n v="0"/>
    <n v="0"/>
    <n v="-29554.658773983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Fora ponta"/>
    <s v="CATIVO"/>
    <x v="0"/>
    <n v="0"/>
    <n v="0"/>
    <n v="347.08499999999998"/>
    <n v="347.08499999999998"/>
    <n v="347.08499999999998"/>
    <n v="347.08499999999998"/>
    <m/>
    <n v="77.900000000000006"/>
    <n v="185.74"/>
    <m/>
    <n v="91505.489400000006"/>
    <n v="91505.489400000006"/>
    <n v="90144.916200000007"/>
    <n v="0"/>
    <n v="18825.992615371779"/>
    <n v="0"/>
    <n v="0"/>
    <n v="0"/>
    <n v="0"/>
    <n v="0"/>
    <n v="64469.056179122817"/>
    <n v="0"/>
    <n v="0"/>
    <n v="0"/>
    <n v="0"/>
    <n v="0"/>
    <n v="3344.231384620658"/>
    <m/>
    <n v="359.53890389797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09.3886424949096"/>
    <n v="0"/>
    <n v="0"/>
    <n v="0"/>
    <n v="0"/>
    <n v="0"/>
    <m/>
    <m/>
    <m/>
    <m/>
    <m/>
    <m/>
    <m/>
    <m/>
    <m/>
    <n v="68978.444821617726"/>
    <m/>
    <m/>
    <m/>
    <m/>
    <m/>
    <m/>
    <m/>
    <m/>
    <m/>
    <m/>
    <m/>
    <m/>
    <n v="90146.214800000002"/>
    <n v="-1359.3045999999886"/>
    <m/>
    <m/>
    <m/>
    <m/>
    <n v="-1360.5732000000005"/>
    <n v="0"/>
    <n v="30"/>
    <n v="-1362.327819327882"/>
    <n v="0"/>
    <n v="0"/>
    <n v="0"/>
    <n v="0"/>
    <n v="0"/>
    <n v="0"/>
    <n v="0"/>
    <n v="0"/>
    <n v="0"/>
    <n v="0"/>
    <n v="0"/>
    <n v="0"/>
    <n v="0"/>
    <n v="0"/>
    <n v="0"/>
    <n v="0"/>
    <n v="-1164.3628899834075"/>
    <m/>
    <n v="0"/>
    <n v="0"/>
    <n v="0"/>
    <n v="0"/>
    <n v="-179.29225445669408"/>
    <n v="-18.672674887801918"/>
    <n v="0"/>
    <n v="0"/>
    <m/>
    <m/>
    <m/>
    <n v="0"/>
    <n v="0"/>
    <n v="0"/>
    <n v="-1360.5731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"/>
    <s v="Regular"/>
    <s v="Verde"/>
    <s v="A4"/>
    <s v="Comercial"/>
    <s v="Não se aplica"/>
    <s v="Não se aplica"/>
    <s v="Não se aplica"/>
    <s v="Não se aplica"/>
    <s v="CATIVO"/>
    <x v="0"/>
    <n v="1108"/>
    <n v="1108"/>
    <n v="0"/>
    <n v="0"/>
    <n v="0"/>
    <n v="0"/>
    <n v="55.59"/>
    <m/>
    <m/>
    <n v="61593.72"/>
    <m/>
    <n v="61593.72"/>
    <n v="32697.08"/>
    <n v="0"/>
    <n v="0"/>
    <n v="0"/>
    <n v="0"/>
    <n v="0"/>
    <n v="17899.375277175586"/>
    <n v="43689.2412353125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7.11000000000001"/>
    <n v="735.62"/>
    <n v="59414.71"/>
    <n v="5"/>
    <m/>
    <m/>
    <m/>
    <m/>
    <m/>
    <m/>
    <m/>
    <m/>
    <m/>
    <n v="0"/>
    <m/>
    <m/>
    <m/>
    <m/>
    <m/>
    <m/>
    <m/>
    <m/>
    <m/>
    <m/>
    <m/>
    <m/>
    <n v="32697.08"/>
    <n v="-28896.670000000006"/>
    <m/>
    <m/>
    <m/>
    <m/>
    <n v="-28896.640000000003"/>
    <n v="0"/>
    <n v="30"/>
    <n v="-1647.7558975706852"/>
    <n v="0"/>
    <n v="0"/>
    <n v="0"/>
    <n v="0"/>
    <m/>
    <m/>
    <m/>
    <n v="-1647.75589757068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689.241235312576"/>
    <m/>
    <n v="0"/>
    <n v="0"/>
    <n v="-28896.639999999999"/>
    <m/>
    <n v="0"/>
    <m/>
    <n v="-27239.23341944148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Ponta"/>
    <s v="CATIVO"/>
    <x v="0"/>
    <n v="0"/>
    <n v="0"/>
    <n v="0.109"/>
    <n v="0.109"/>
    <n v="0.109"/>
    <n v="0.109"/>
    <m/>
    <n v="2583.84"/>
    <n v="185.74"/>
    <m/>
    <n v="301.88422000000003"/>
    <n v="301.88422000000003"/>
    <n v="159.19123000000002"/>
    <n v="0"/>
    <n v="6.7956231036040116"/>
    <n v="0"/>
    <n v="0"/>
    <n v="0"/>
    <n v="49.023520992135829"/>
    <n v="220.84271107189392"/>
    <n v="20.246127385292905"/>
    <n v="0"/>
    <n v="0"/>
    <n v="0"/>
    <n v="0"/>
    <n v="0"/>
    <n v="1.0502361695943407"/>
    <m/>
    <n v="0.2584245409611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679043970759433"/>
    <n v="0"/>
    <n v="0"/>
    <n v="0"/>
    <n v="0"/>
    <n v="0"/>
    <m/>
    <m/>
    <m/>
    <m/>
    <m/>
    <m/>
    <m/>
    <m/>
    <m/>
    <n v="23.914031782368848"/>
    <m/>
    <m/>
    <m/>
    <m/>
    <m/>
    <m/>
    <m/>
    <m/>
    <m/>
    <m/>
    <m/>
    <m/>
    <n v="160.65170000000001"/>
    <n v="-141.26251999999999"/>
    <m/>
    <m/>
    <m/>
    <m/>
    <n v="-142.69299000000001"/>
    <n v="0"/>
    <n v="30"/>
    <n v="-5.0029667195815364"/>
    <n v="0"/>
    <n v="0"/>
    <n v="0"/>
    <n v="0"/>
    <n v="0"/>
    <n v="0"/>
    <n v="0"/>
    <n v="-4.5129393950119621"/>
    <n v="0"/>
    <n v="0"/>
    <n v="0"/>
    <n v="0"/>
    <n v="0"/>
    <n v="0"/>
    <n v="0"/>
    <n v="0"/>
    <n v="-0.42030035376140784"/>
    <m/>
    <n v="0"/>
    <n v="0"/>
    <n v="0"/>
    <n v="0"/>
    <n v="-5.6305676522407033E-2"/>
    <n v="-1.3421294285766494E-2"/>
    <n v="0"/>
    <n v="0"/>
    <m/>
    <m/>
    <m/>
    <n v="220.84271107189392"/>
    <n v="0"/>
    <n v="0"/>
    <n v="-142.69299000000004"/>
    <n v="0"/>
    <n v="0"/>
    <n v="0"/>
    <n v="-137.69033258026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Fora ponta"/>
    <s v="CATIVO"/>
    <x v="0"/>
    <n v="0"/>
    <n v="0"/>
    <n v="1.038"/>
    <n v="1.038"/>
    <n v="1.038"/>
    <n v="1.038"/>
    <m/>
    <n v="603.13"/>
    <n v="185.74"/>
    <m/>
    <n v="818.84706000000006"/>
    <n v="818.84706000000006"/>
    <n v="543.35148000000004"/>
    <n v="0"/>
    <n v="64.714282399458384"/>
    <n v="0"/>
    <n v="0"/>
    <n v="0"/>
    <n v="93.32948796758096"/>
    <n v="420.61461111393078"/>
    <n v="192.80257088012877"/>
    <n v="0"/>
    <n v="0"/>
    <n v="0"/>
    <n v="0"/>
    <n v="0"/>
    <n v="10.001331596687391"/>
    <m/>
    <n v="2.4609603075013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29218019860819"/>
    <n v="0"/>
    <n v="0"/>
    <n v="0"/>
    <n v="0"/>
    <n v="0"/>
    <m/>
    <m/>
    <m/>
    <m/>
    <m/>
    <m/>
    <m/>
    <m/>
    <m/>
    <n v="227.7317888999896"/>
    <m/>
    <m/>
    <m/>
    <m/>
    <m/>
    <m/>
    <m/>
    <m/>
    <m/>
    <m/>
    <m/>
    <m/>
    <n v="544.39840000000004"/>
    <n v="-274.47865999999999"/>
    <m/>
    <m/>
    <m/>
    <m/>
    <n v="-275.49557999999996"/>
    <n v="0"/>
    <n v="30"/>
    <n v="-13.258095478678854"/>
    <n v="0"/>
    <n v="0"/>
    <n v="0"/>
    <n v="0"/>
    <n v="0"/>
    <n v="0"/>
    <n v="0"/>
    <n v="-8.5915967364474284"/>
    <n v="0"/>
    <n v="0"/>
    <n v="0"/>
    <n v="0"/>
    <n v="0"/>
    <n v="0"/>
    <n v="0"/>
    <n v="0"/>
    <n v="-4.002493277104044"/>
    <m/>
    <n v="0"/>
    <n v="0"/>
    <n v="0"/>
    <n v="0"/>
    <n v="-0.53619534156200466"/>
    <n v="-0.1278101235653728"/>
    <n v="0"/>
    <n v="0"/>
    <m/>
    <m/>
    <m/>
    <n v="420.61461111393078"/>
    <n v="0"/>
    <n v="0"/>
    <n v="-275.49557999999996"/>
    <n v="0"/>
    <n v="0"/>
    <n v="0"/>
    <n v="-262.2435008667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2"/>
    <n v="3.62"/>
    <n v="301.6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7"/>
    <s v="Regular"/>
    <s v="Branca"/>
    <s v="B3"/>
    <s v="Comercial"/>
    <s v="Não se aplica"/>
    <s v="Não se aplica"/>
    <s v="Não se aplica"/>
    <s v="Intermediário"/>
    <s v="CATIVO"/>
    <x v="0"/>
    <n v="0"/>
    <n v="0"/>
    <n v="6.9000000000000006E-2"/>
    <n v="6.9000000000000006E-2"/>
    <n v="6.9000000000000006E-2"/>
    <n v="6.9000000000000006E-2"/>
    <m/>
    <n v="1593.45"/>
    <n v="185.74"/>
    <m/>
    <n v="122.76411000000002"/>
    <n v="122.76411000000002"/>
    <n v="68.443170000000009"/>
    <n v="0"/>
    <n v="4.3018164600796043"/>
    <n v="0"/>
    <n v="0"/>
    <n v="0"/>
    <n v="18.616390425351781"/>
    <n v="83.879699299978"/>
    <n v="12.816355867754226"/>
    <n v="0"/>
    <n v="0"/>
    <n v="0"/>
    <n v="0"/>
    <n v="0"/>
    <n v="0.66482840093586704"/>
    <m/>
    <n v="0.16358984703043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218844348462397"/>
    <n v="0"/>
    <n v="0"/>
    <n v="0"/>
    <n v="0"/>
    <n v="0"/>
    <m/>
    <m/>
    <m/>
    <m/>
    <m/>
    <m/>
    <m/>
    <m/>
    <m/>
    <n v="15.138240302600465"/>
    <m/>
    <m/>
    <m/>
    <m/>
    <m/>
    <m/>
    <m/>
    <m/>
    <m/>
    <m/>
    <m/>
    <m/>
    <n v="69.435100000000006"/>
    <n v="-53.359010000000026"/>
    <m/>
    <m/>
    <m/>
    <m/>
    <n v="-54.320940000000007"/>
    <n v="0"/>
    <n v="30"/>
    <n v="-2.0239626684160825"/>
    <n v="0"/>
    <n v="0"/>
    <n v="0"/>
    <n v="0"/>
    <n v="0"/>
    <n v="0"/>
    <n v="0"/>
    <n v="-1.7137618849729535"/>
    <n v="0"/>
    <n v="0"/>
    <n v="0"/>
    <n v="0"/>
    <n v="0"/>
    <n v="0"/>
    <n v="0"/>
    <n v="0"/>
    <n v="-0.26606169183061645"/>
    <m/>
    <n v="0"/>
    <n v="0"/>
    <n v="0"/>
    <n v="0"/>
    <n v="-3.5643042936202574E-2"/>
    <n v="-8.4960486763109022E-3"/>
    <n v="0"/>
    <n v="0"/>
    <m/>
    <m/>
    <m/>
    <n v="83.879699299978"/>
    <n v="0"/>
    <n v="0"/>
    <n v="-54.32094"/>
    <n v="0"/>
    <n v="0"/>
    <n v="0"/>
    <n v="-52.297056295358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"/>
    <s v="Regular"/>
    <s v="Convencional"/>
    <s v="B2"/>
    <s v="Rural"/>
    <s v="Não se aplica"/>
    <s v="Não se aplica"/>
    <s v="Não se aplica"/>
    <s v="Não se aplica"/>
    <s v="CATIVO"/>
    <x v="0"/>
    <n v="0"/>
    <n v="0"/>
    <n v="1415.9390000000001"/>
    <n v="1415.9390000000001"/>
    <n v="1415.9390000000001"/>
    <n v="1415.9390000000001"/>
    <m/>
    <n v="825.6"/>
    <n v="185.74"/>
    <m/>
    <n v="1431995.7482600003"/>
    <n v="1431995.7482600003"/>
    <n v="890200.84930000012"/>
    <n v="0"/>
    <n v="88276.95212563267"/>
    <n v="0"/>
    <n v="0"/>
    <n v="0"/>
    <n v="184541.74581756693"/>
    <n v="831538.18873880012"/>
    <n v="263002.58131930506"/>
    <n v="0"/>
    <n v="0"/>
    <n v="0"/>
    <n v="0"/>
    <n v="0"/>
    <n v="13642.847263662763"/>
    <m/>
    <n v="3357.0035422380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47.053982489124"/>
    <n v="0"/>
    <n v="605.14"/>
    <n v="3156.47"/>
    <n v="175278.44"/>
    <n v="5752"/>
    <m/>
    <m/>
    <m/>
    <m/>
    <m/>
    <n v="106818.43816000001"/>
    <m/>
    <m/>
    <m/>
    <n v="310649.63530179416"/>
    <m/>
    <m/>
    <m/>
    <m/>
    <m/>
    <m/>
    <m/>
    <m/>
    <m/>
    <m/>
    <m/>
    <m/>
    <n v="783382.96439999994"/>
    <n v="-476774.4568200002"/>
    <m/>
    <m/>
    <m/>
    <m/>
    <n v="-541794.89896000014"/>
    <n v="0"/>
    <n v="30"/>
    <n v="-23353.873755619396"/>
    <n v="0"/>
    <n v="0"/>
    <n v="0"/>
    <n v="0"/>
    <n v="0"/>
    <n v="0"/>
    <n v="0"/>
    <n v="-16988.288435218215"/>
    <n v="0"/>
    <n v="0"/>
    <n v="0"/>
    <n v="0"/>
    <n v="0"/>
    <n v="0"/>
    <n v="0"/>
    <n v="0"/>
    <n v="-5459.8134183905931"/>
    <m/>
    <n v="0"/>
    <n v="0"/>
    <n v="0"/>
    <n v="0"/>
    <n v="-731.42571843541737"/>
    <n v="-174.34618357517365"/>
    <n v="0"/>
    <n v="0"/>
    <m/>
    <m/>
    <m/>
    <n v="831538.18873880012"/>
    <n v="0"/>
    <n v="0"/>
    <n v="-541794.89896000014"/>
    <n v="0"/>
    <n v="0"/>
    <n v="0"/>
    <n v="-518444.8660538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0.70099999999999996"/>
    <n v="0.70099999999999996"/>
    <n v="0.70099999999999996"/>
    <n v="0.70099999999999996"/>
    <m/>
    <n v="825.6"/>
    <n v="185.74"/>
    <m/>
    <n v="708.94934000000001"/>
    <n v="708.94934000000001"/>
    <n v="440.71870000000001"/>
    <n v="0"/>
    <n v="43.703961427765243"/>
    <n v="0"/>
    <n v="0"/>
    <n v="0"/>
    <n v="91.362526082065969"/>
    <n v="411.67611761940225"/>
    <n v="130.20674584486537"/>
    <n v="0"/>
    <n v="0"/>
    <n v="0"/>
    <n v="0"/>
    <n v="0"/>
    <n v="6.7542711457397502"/>
    <m/>
    <n v="1.661978011135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588999838075562"/>
    <n v="0"/>
    <n v="0.3"/>
    <n v="1.43"/>
    <n v="72.17"/>
    <n v="0"/>
    <m/>
    <m/>
    <m/>
    <m/>
    <m/>
    <n v="52.883439999999993"/>
    <m/>
    <m/>
    <m/>
    <n v="153.79574568294092"/>
    <m/>
    <m/>
    <m/>
    <m/>
    <m/>
    <m/>
    <m/>
    <m/>
    <m/>
    <m/>
    <m/>
    <m/>
    <n v="387.28199999999993"/>
    <n v="-236.62397999999996"/>
    <m/>
    <m/>
    <m/>
    <m/>
    <n v="-268.23063999999999"/>
    <n v="0"/>
    <n v="30"/>
    <n v="-11.561985016790345"/>
    <n v="0"/>
    <n v="0"/>
    <n v="0"/>
    <n v="0"/>
    <n v="0"/>
    <n v="0"/>
    <n v="0"/>
    <n v="-8.4105248835493427"/>
    <n v="0"/>
    <n v="0"/>
    <n v="0"/>
    <n v="0"/>
    <n v="0"/>
    <n v="0"/>
    <n v="0"/>
    <n v="0"/>
    <n v="-2.7030325503371273"/>
    <m/>
    <n v="0"/>
    <n v="0"/>
    <n v="0"/>
    <n v="0"/>
    <n v="-0.36211265359823219"/>
    <n v="-8.6314929305709276E-2"/>
    <n v="0"/>
    <n v="0"/>
    <m/>
    <m/>
    <m/>
    <n v="411.67611761940225"/>
    <n v="0"/>
    <n v="0"/>
    <n v="-268.23063999999999"/>
    <n v="0"/>
    <n v="0"/>
    <n v="0"/>
    <n v="-256.67055650260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6.902999999999999"/>
    <n v="16.902999999999999"/>
    <n v="16.902999999999999"/>
    <n v="16.902999999999999"/>
    <m/>
    <n v="825.6"/>
    <n v="185.74"/>
    <m/>
    <n v="17094.68002"/>
    <n v="17094.68002"/>
    <n v="10626.916099999999"/>
    <n v="0"/>
    <n v="1053.8203423873265"/>
    <n v="0"/>
    <n v="0"/>
    <n v="0"/>
    <n v="2202.9968307634249"/>
    <n v="9926.6211356929471"/>
    <n v="3139.6356990239078"/>
    <n v="0"/>
    <n v="0"/>
    <n v="0"/>
    <n v="0"/>
    <n v="0"/>
    <n v="162.86368784085448"/>
    <m/>
    <n v="40.074770787759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.79438553921716"/>
    <n v="0"/>
    <n v="6.77"/>
    <n v="35.74"/>
    <n v="5727.24"/>
    <n v="85"/>
    <m/>
    <m/>
    <m/>
    <m/>
    <m/>
    <n v="1275.1623199999999"/>
    <m/>
    <m/>
    <m/>
    <n v="3708.4300845631251"/>
    <m/>
    <m/>
    <m/>
    <m/>
    <m/>
    <m/>
    <m/>
    <m/>
    <m/>
    <m/>
    <m/>
    <m/>
    <n v="9350.0939999999991"/>
    <n v="-5693.2679399999979"/>
    <m/>
    <m/>
    <m/>
    <m/>
    <n v="-6467.7639200000003"/>
    <n v="0"/>
    <n v="30"/>
    <n v="-278.79063158175086"/>
    <n v="0"/>
    <n v="0"/>
    <n v="0"/>
    <n v="0"/>
    <n v="0"/>
    <n v="0"/>
    <n v="0"/>
    <n v="-202.8004309652415"/>
    <n v="0"/>
    <n v="0"/>
    <n v="0"/>
    <n v="0"/>
    <n v="0"/>
    <n v="0"/>
    <n v="0"/>
    <n v="0"/>
    <n v="-65.17740256540435"/>
    <m/>
    <n v="0"/>
    <n v="0"/>
    <n v="0"/>
    <n v="0"/>
    <n v="-8.7315123876903158"/>
    <n v="-2.0812856634156987"/>
    <n v="0"/>
    <n v="0"/>
    <m/>
    <m/>
    <m/>
    <n v="9926.6211356929471"/>
    <n v="0"/>
    <n v="0"/>
    <n v="-6467.7639200000003"/>
    <n v="0"/>
    <n v="0"/>
    <n v="0"/>
    <n v="-6189.01913917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-7.5999999999999998E-2"/>
    <n v="-7.5999999999999998E-2"/>
    <n v="-7.5999999999999998E-2"/>
    <n v="-7.5999999999999998E-2"/>
    <m/>
    <n v="825.6"/>
    <n v="185.74"/>
    <m/>
    <n v="-76.861840000000001"/>
    <n v="-76.861840000000001"/>
    <n v="-47.781199999999998"/>
    <n v="0"/>
    <n v="-4.7382326226963745"/>
    <n v="0"/>
    <n v="0"/>
    <n v="0"/>
    <n v="-9.9052096750884644"/>
    <n v="-44.632503479421644"/>
    <n v="-14.116565883323492"/>
    <n v="0"/>
    <n v="0"/>
    <n v="0"/>
    <n v="0"/>
    <n v="0"/>
    <n v="-0.73227476045109985"/>
    <m/>
    <n v="-0.18018591846830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5574379282364377"/>
    <n v="0"/>
    <n v="-0.04"/>
    <n v="-0.2"/>
    <n v="-18.84"/>
    <n v="1"/>
    <m/>
    <m/>
    <m/>
    <m/>
    <m/>
    <n v="-5.7334399999999999"/>
    <m/>
    <m/>
    <m/>
    <n v="-16.674003811559931"/>
    <m/>
    <m/>
    <m/>
    <m/>
    <m/>
    <m/>
    <m/>
    <m/>
    <m/>
    <m/>
    <m/>
    <m/>
    <n v="-44.260799999999996"/>
    <n v="23.347680000000004"/>
    <m/>
    <m/>
    <m/>
    <m/>
    <n v="29.080640000000002"/>
    <n v="0"/>
    <n v="30"/>
    <n v="1.2535105011070904"/>
    <n v="0"/>
    <n v="0"/>
    <n v="0"/>
    <n v="0"/>
    <n v="0"/>
    <n v="0"/>
    <n v="0"/>
    <n v="0.91184007296683234"/>
    <n v="0"/>
    <n v="0"/>
    <n v="0"/>
    <n v="0"/>
    <n v="0"/>
    <n v="0"/>
    <n v="0"/>
    <n v="0"/>
    <n v="0.29305345766850444"/>
    <m/>
    <n v="0"/>
    <n v="0"/>
    <n v="0"/>
    <n v="0"/>
    <n v="3.9259003813788329E-2"/>
    <n v="9.3579666579656218E-3"/>
    <n v="0"/>
    <n v="0"/>
    <m/>
    <m/>
    <m/>
    <n v="-44.632503479421644"/>
    <n v="0"/>
    <n v="0"/>
    <n v="29.080640000000002"/>
    <n v="0"/>
    <n v="0"/>
    <n v="0"/>
    <n v="27.82733565506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353999999999999"/>
    <n v="21.353999999999999"/>
    <n v="21.353999999999999"/>
    <n v="21.353999999999999"/>
    <m/>
    <n v="825.6"/>
    <n v="185.74"/>
    <m/>
    <n v="21596.154359999997"/>
    <n v="21596.154359999997"/>
    <n v="13425.2598"/>
    <n v="0"/>
    <n v="1331.3186766455051"/>
    <n v="0"/>
    <n v="0"/>
    <n v="0"/>
    <n v="2783.1032552873562"/>
    <n v="12540.558938152235"/>
    <n v="3966.3835246380245"/>
    <n v="0"/>
    <n v="0"/>
    <n v="0"/>
    <n v="0"/>
    <n v="0"/>
    <n v="205.74993729832613"/>
    <m/>
    <n v="50.627501354897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8.57275683632747"/>
    <n v="0"/>
    <n v="10.76"/>
    <n v="56.85"/>
    <n v="3325.26"/>
    <n v="90"/>
    <m/>
    <m/>
    <m/>
    <m/>
    <m/>
    <m/>
    <m/>
    <m/>
    <m/>
    <n v="4684.9562814743522"/>
    <m/>
    <m/>
    <m/>
    <m/>
    <m/>
    <m/>
    <m/>
    <m/>
    <m/>
    <m/>
    <m/>
    <m/>
    <n v="13422.745000000001"/>
    <n v="-8173.4393599999912"/>
    <m/>
    <m/>
    <m/>
    <m/>
    <n v="-8170.8945600000006"/>
    <n v="0"/>
    <n v="30"/>
    <n v="-352.20346369264189"/>
    <n v="0"/>
    <n v="0"/>
    <n v="0"/>
    <n v="0"/>
    <n v="0"/>
    <n v="0"/>
    <n v="0"/>
    <n v="-256.20306471228605"/>
    <n v="0"/>
    <n v="0"/>
    <n v="0"/>
    <n v="0"/>
    <n v="0"/>
    <n v="0"/>
    <n v="0"/>
    <n v="0"/>
    <n v="-82.340309671753175"/>
    <m/>
    <n v="0"/>
    <n v="0"/>
    <n v="0"/>
    <n v="0"/>
    <n v="-11.030746939995197"/>
    <n v="-2.6293423686078725"/>
    <n v="0"/>
    <n v="0"/>
    <m/>
    <m/>
    <m/>
    <n v="12540.558938152235"/>
    <n v="0"/>
    <n v="0"/>
    <n v="-8170.8945599999988"/>
    <n v="0"/>
    <n v="0"/>
    <n v="0"/>
    <n v="-7818.7490207656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73.39"/>
    <n v="367.25"/>
    <n v="30603.87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0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128.18199999999999"/>
    <n v="128.18199999999999"/>
    <n v="128.18199999999999"/>
    <n v="128.18199999999999"/>
    <m/>
    <n v="495.36"/>
    <n v="111.45"/>
    <m/>
    <n v="77782.119419999988"/>
    <n v="77782.119419999988"/>
    <n v="48354.095859999994"/>
    <n v="0"/>
    <n v="4794.9168477036819"/>
    <n v="0"/>
    <n v="0"/>
    <n v="0"/>
    <n v="10023.707262412046"/>
    <n v="45166.44916578343"/>
    <n v="14285.444589917119"/>
    <n v="0"/>
    <n v="0"/>
    <n v="0"/>
    <n v="0"/>
    <n v="0"/>
    <n v="741.03507903270645"/>
    <m/>
    <n v="182.34151106134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8.0329619779109"/>
    <n v="0"/>
    <n v="52.34"/>
    <n v="261.83"/>
    <n v="21818.71"/>
    <n v="6"/>
    <m/>
    <m/>
    <m/>
    <m/>
    <m/>
    <m/>
    <m/>
    <m/>
    <m/>
    <n v="16873.47755189503"/>
    <m/>
    <m/>
    <m/>
    <m/>
    <m/>
    <m/>
    <m/>
    <m/>
    <m/>
    <m/>
    <m/>
    <m/>
    <n v="48353.341399999998"/>
    <n v="-29428.808019999989"/>
    <m/>
    <m/>
    <m/>
    <m/>
    <n v="-29428.023560000001"/>
    <n v="0"/>
    <n v="30"/>
    <n v="-1268.506445154555"/>
    <n v="0"/>
    <n v="0"/>
    <n v="0"/>
    <n v="0"/>
    <n v="0"/>
    <n v="0"/>
    <n v="0"/>
    <n v="-922.74855973449485"/>
    <n v="0"/>
    <n v="0"/>
    <n v="0"/>
    <n v="0"/>
    <n v="0"/>
    <n v="0"/>
    <n v="0"/>
    <n v="0"/>
    <n v="-296.55930245419404"/>
    <m/>
    <n v="0"/>
    <n v="0"/>
    <n v="0"/>
    <n v="0"/>
    <n v="-39.728665475202092"/>
    <n v="-9.469917490668081"/>
    <n v="0"/>
    <n v="0"/>
    <m/>
    <m/>
    <m/>
    <n v="45166.44916578343"/>
    <n v="0"/>
    <n v="0"/>
    <n v="-29428.023560000001"/>
    <n v="0"/>
    <n v="0"/>
    <n v="0"/>
    <n v="-28160.238465293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8.86"/>
    <n v="8.3283999999999985"/>
    <n v="8.86"/>
    <n v="8.3283999999999985"/>
    <m/>
    <n v="825.6"/>
    <n v="185.74"/>
    <m/>
    <n v="8960.4724000000006"/>
    <n v="8960.4724000000006"/>
    <n v="5570.2819999999992"/>
    <n v="0"/>
    <n v="552.37817154065635"/>
    <n v="0"/>
    <n v="0"/>
    <n v="0"/>
    <n v="1154.738917385313"/>
    <n v="5203.2102740483651"/>
    <n v="1645.6943911348176"/>
    <n v="0"/>
    <n v="0"/>
    <n v="0"/>
    <n v="0"/>
    <n v="0"/>
    <n v="85.367820757851902"/>
    <m/>
    <n v="21.005884705647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.14342163387943"/>
    <n v="0"/>
    <n v="3.31"/>
    <n v="16.690000000000001"/>
    <n v="0"/>
    <n v="5"/>
    <m/>
    <m/>
    <m/>
    <m/>
    <n v="334.21692000000058"/>
    <m/>
    <m/>
    <m/>
    <m/>
    <n v="1943.8378127686969"/>
    <m/>
    <m/>
    <m/>
    <m/>
    <m/>
    <m/>
    <m/>
    <m/>
    <m/>
    <m/>
    <m/>
    <m/>
    <n v="5237.0709999999999"/>
    <n v="-3185.8030559999988"/>
    <m/>
    <m/>
    <m/>
    <m/>
    <n v="-3390.1904"/>
    <n v="0"/>
    <n v="30"/>
    <n v="-146.13293473432623"/>
    <n v="0"/>
    <n v="0"/>
    <n v="0"/>
    <n v="0"/>
    <n v="0"/>
    <n v="0"/>
    <n v="0"/>
    <n v="-106.30135587481755"/>
    <n v="0"/>
    <n v="0"/>
    <n v="0"/>
    <n v="0"/>
    <n v="0"/>
    <n v="0"/>
    <n v="0"/>
    <n v="0"/>
    <n v="-34.163863617670472"/>
    <m/>
    <n v="0"/>
    <n v="0"/>
    <n v="0"/>
    <n v="0"/>
    <n v="-4.5767733393442711"/>
    <n v="-1.0909419024944143"/>
    <n v="0"/>
    <n v="0"/>
    <m/>
    <m/>
    <m/>
    <n v="5203.2102740483651"/>
    <n v="0"/>
    <n v="0"/>
    <n v="-3390.1904000000004"/>
    <n v="0"/>
    <n v="0"/>
    <n v="0"/>
    <n v="-3244.0814987348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52700000000000002"/>
    <n v="0.52700000000000002"/>
    <n v="0.52700000000000002"/>
    <n v="0.52700000000000002"/>
    <m/>
    <n v="825.6"/>
    <n v="185.74"/>
    <m/>
    <n v="532.97618"/>
    <n v="532.97618"/>
    <n v="331.32490000000001"/>
    <n v="0"/>
    <n v="32.855902528434072"/>
    <n v="0"/>
    <n v="0"/>
    <n v="0"/>
    <n v="68.684809194363439"/>
    <n v="309.49117544283172"/>
    <n v="97.887239743572124"/>
    <n v="0"/>
    <n v="0"/>
    <n v="0"/>
    <n v="0"/>
    <n v="0"/>
    <n v="5.0777473520753906"/>
    <m/>
    <n v="1.2494470925367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733813002376351"/>
    <n v="0"/>
    <n v="0.28999999999999998"/>
    <n v="1.54"/>
    <n v="128.09"/>
    <n v="4"/>
    <m/>
    <m/>
    <m/>
    <m/>
    <m/>
    <m/>
    <m/>
    <m/>
    <m/>
    <n v="115.62105274594848"/>
    <m/>
    <m/>
    <m/>
    <m/>
    <m/>
    <m/>
    <m/>
    <m/>
    <m/>
    <m/>
    <m/>
    <m/>
    <n v="333.21100000000001"/>
    <n v="-199.79517999999996"/>
    <m/>
    <m/>
    <m/>
    <m/>
    <n v="-201.65128000000004"/>
    <n v="0"/>
    <n v="30"/>
    <n v="-8.6921057116241514"/>
    <n v="0"/>
    <n v="0"/>
    <n v="0"/>
    <n v="0"/>
    <n v="0"/>
    <n v="0"/>
    <n v="0"/>
    <n v="-6.3228910322831737"/>
    <n v="0"/>
    <n v="0"/>
    <n v="0"/>
    <n v="0"/>
    <n v="0"/>
    <n v="0"/>
    <n v="0"/>
    <n v="0"/>
    <n v="-2.0320943709381787"/>
    <m/>
    <n v="0"/>
    <n v="0"/>
    <n v="0"/>
    <n v="0"/>
    <n v="-0.27223019749824307"/>
    <n v="-6.4890110904577636E-2"/>
    <n v="0"/>
    <n v="0"/>
    <m/>
    <m/>
    <m/>
    <n v="309.49117544283172"/>
    <n v="0"/>
    <n v="0"/>
    <n v="-201.65128000000001"/>
    <n v="0"/>
    <n v="0"/>
    <n v="0"/>
    <n v="-192.9606038186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"/>
    <s v="Regular"/>
    <s v="Convencional"/>
    <s v="B3"/>
    <s v="Serviço público"/>
    <s v="Tração elétrica"/>
    <s v="Não se aplica"/>
    <s v="Não se aplica"/>
    <s v="Não se aplica"/>
    <s v="CATIVO"/>
    <x v="0"/>
    <n v="0"/>
    <n v="0"/>
    <n v="0.03"/>
    <n v="0.03"/>
    <n v="0.03"/>
    <n v="0.03"/>
    <m/>
    <n v="825.6"/>
    <n v="185.74"/>
    <m/>
    <n v="30.340200000000003"/>
    <n v="30.340200000000003"/>
    <n v="18.860999999999997"/>
    <n v="0"/>
    <n v="1.8703549826433059"/>
    <n v="0"/>
    <n v="0"/>
    <n v="0"/>
    <n v="3.90995118753492"/>
    <n v="17.618093478719071"/>
    <n v="5.5723286381540102"/>
    <n v="0"/>
    <n v="0"/>
    <n v="0"/>
    <n v="0"/>
    <n v="0"/>
    <n v="0.28905582649385519"/>
    <m/>
    <n v="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9514971672278"/>
    <n v="0"/>
    <n v="0.01"/>
    <n v="7.0000000000000007E-2"/>
    <n v="0"/>
    <n v="1"/>
    <m/>
    <m/>
    <m/>
    <m/>
    <m/>
    <m/>
    <m/>
    <m/>
    <m/>
    <n v="6.5818436098262882"/>
    <m/>
    <m/>
    <m/>
    <m/>
    <m/>
    <m/>
    <m/>
    <m/>
    <m/>
    <m/>
    <m/>
    <m/>
    <n v="18.860999999999997"/>
    <n v="-11.509200000000011"/>
    <m/>
    <m/>
    <m/>
    <m/>
    <n v="-11.479200000000001"/>
    <n v="0"/>
    <n v="30"/>
    <n v="-0.49480677675279949"/>
    <n v="0"/>
    <n v="0"/>
    <n v="0"/>
    <n v="0"/>
    <n v="0"/>
    <n v="0"/>
    <n v="0"/>
    <n v="-0.35993687090796023"/>
    <n v="0"/>
    <n v="0"/>
    <n v="0"/>
    <n v="0"/>
    <n v="0"/>
    <n v="0"/>
    <n v="0"/>
    <n v="0"/>
    <n v="-0.11567899644809398"/>
    <m/>
    <n v="0"/>
    <n v="0"/>
    <n v="0"/>
    <n v="0"/>
    <n v="-1.5496975189653261E-2"/>
    <n v="-3.6939342070917008E-3"/>
    <n v="0"/>
    <n v="0"/>
    <m/>
    <m/>
    <m/>
    <n v="17.618093478719071"/>
    <n v="0"/>
    <n v="0"/>
    <n v="-11.479200000000002"/>
    <n v="0"/>
    <n v="0"/>
    <n v="0"/>
    <n v="-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"/>
    <s v="Regular"/>
    <s v="Convencional"/>
    <s v="B1"/>
    <s v="Residencial"/>
    <s v="Residencial"/>
    <s v="Não se aplica"/>
    <s v="Não se aplica"/>
    <s v="Não se aplica"/>
    <s v="CATIVO"/>
    <x v="1"/>
    <n v="0"/>
    <n v="0"/>
    <n v="1221.414"/>
    <n v="1221.414"/>
    <n v="1221.414"/>
    <n v="1221.414"/>
    <m/>
    <n v="825.6"/>
    <n v="185.74"/>
    <m/>
    <n v="1235264.83476"/>
    <n v="1235264.83476"/>
    <n v="767902.98180000007"/>
    <n v="0"/>
    <n v="76149.258692343021"/>
    <n v="0"/>
    <n v="0"/>
    <n v="0"/>
    <n v="159188.97065905924"/>
    <n v="717299.5342738725"/>
    <n v="226870.67370807476"/>
    <n v="0"/>
    <n v="0"/>
    <n v="0"/>
    <n v="0"/>
    <n v="0"/>
    <n v="11768.561108705522"/>
    <m/>
    <n v="2895.8105713163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101.19065367079"/>
    <n v="0"/>
    <n v="744.44"/>
    <n v="3379.78"/>
    <n v="192067.98"/>
    <n v="8005"/>
    <m/>
    <m/>
    <m/>
    <m/>
    <m/>
    <m/>
    <m/>
    <m/>
    <m/>
    <n v="267971.86436174554"/>
    <m/>
    <m/>
    <m/>
    <m/>
    <m/>
    <m/>
    <m/>
    <m/>
    <m/>
    <m/>
    <m/>
    <m/>
    <n v="767900.46699999995"/>
    <n v="-467364.39776000008"/>
    <m/>
    <m/>
    <m/>
    <m/>
    <n v="-467361.85296000005"/>
    <n v="0"/>
    <n v="31"/>
    <n v="-20145.464147358143"/>
    <n v="0"/>
    <n v="0"/>
    <n v="0"/>
    <n v="0"/>
    <n v="0"/>
    <n v="0"/>
    <n v="0"/>
    <n v="-14654.397774772515"/>
    <n v="0"/>
    <n v="0"/>
    <n v="0"/>
    <n v="0"/>
    <n v="0"/>
    <n v="0"/>
    <n v="0"/>
    <n v="0"/>
    <n v="-4709.7315255884023"/>
    <m/>
    <n v="0"/>
    <n v="0"/>
    <n v="0"/>
    <n v="0"/>
    <n v="-630.94074847650518"/>
    <n v="-150.39409852069002"/>
    <n v="0"/>
    <n v="0"/>
    <m/>
    <m/>
    <m/>
    <n v="717299.5342738725"/>
    <n v="0"/>
    <n v="0"/>
    <n v="-467361.85296000005"/>
    <n v="0"/>
    <n v="0"/>
    <n v="0"/>
    <n v="-447219.70199725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824999999999999"/>
    <n v="-11.824999999999999"/>
    <n v="-11.824999999999999"/>
    <n v="-11.824999999999999"/>
    <m/>
    <n v="825.6"/>
    <n v="185.74"/>
    <m/>
    <n v="-11959.095499999999"/>
    <n v="-11959.095499999999"/>
    <n v="-7434.3774999999996"/>
    <n v="0"/>
    <n v="-737.23158899190298"/>
    <n v="0"/>
    <n v="0"/>
    <n v="0"/>
    <n v="-1541.1724264200143"/>
    <n v="-6944.4651795284335"/>
    <n v="-2196.4262048723722"/>
    <n v="0"/>
    <n v="0"/>
    <n v="0"/>
    <n v="0"/>
    <n v="0"/>
    <n v="-113.93617160966126"/>
    <m/>
    <n v="-28.035506393259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97.91715133415624"/>
    <n v="0"/>
    <n v="-7.9"/>
    <n v="-34.97"/>
    <n v="-2819.72"/>
    <n v="0"/>
    <m/>
    <m/>
    <m/>
    <m/>
    <m/>
    <m/>
    <m/>
    <m/>
    <m/>
    <n v="-2594.3433562065284"/>
    <m/>
    <m/>
    <m/>
    <m/>
    <m/>
    <m/>
    <m/>
    <m/>
    <m/>
    <m/>
    <m/>
    <m/>
    <n v="-7437.5210000000006"/>
    <n v="4521.5444999999982"/>
    <m/>
    <m/>
    <m/>
    <m/>
    <n v="4524.7179999999998"/>
    <n v="0"/>
    <n v="31"/>
    <n v="195.0363378367274"/>
    <n v="0"/>
    <n v="0"/>
    <n v="0"/>
    <n v="0"/>
    <n v="0"/>
    <n v="0"/>
    <n v="0"/>
    <n v="141.87511661622102"/>
    <n v="0"/>
    <n v="0"/>
    <n v="0"/>
    <n v="0"/>
    <n v="0"/>
    <n v="0"/>
    <n v="0"/>
    <n v="0"/>
    <n v="45.596804433290345"/>
    <m/>
    <n v="0"/>
    <n v="0"/>
    <n v="0"/>
    <n v="0"/>
    <n v="6.1083910539216788"/>
    <n v="1.4560257332953128"/>
    <n v="0"/>
    <n v="0"/>
    <m/>
    <m/>
    <m/>
    <n v="-6944.4651795284335"/>
    <n v="0"/>
    <n v="0"/>
    <n v="4524.7179999999998"/>
    <n v="0"/>
    <n v="0"/>
    <n v="0"/>
    <n v="4329.7137384355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0.726000000000001"/>
    <n v="10.726000000000001"/>
    <n v="10.726000000000001"/>
    <n v="10.726000000000001"/>
    <m/>
    <n v="825.6"/>
    <n v="185.74"/>
    <m/>
    <n v="10847.632840000002"/>
    <n v="10847.632840000002"/>
    <n v="6743.4362000000001"/>
    <n v="0"/>
    <n v="668.71425146107003"/>
    <n v="0"/>
    <n v="0"/>
    <n v="0"/>
    <n v="1397.9378812499854"/>
    <n v="6299.0556884246926"/>
    <n v="1992.2932324279973"/>
    <n v="0"/>
    <n v="0"/>
    <n v="0"/>
    <n v="0"/>
    <n v="0"/>
    <n v="103.34709316576971"/>
    <m/>
    <n v="25.429923177513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0.93525287189516"/>
    <n v="0"/>
    <n v="6.86"/>
    <n v="30.23"/>
    <n v="3816.29"/>
    <n v="48"/>
    <m/>
    <m/>
    <m/>
    <m/>
    <m/>
    <m/>
    <m/>
    <m/>
    <m/>
    <n v="2353.2284852998923"/>
    <m/>
    <m/>
    <m/>
    <m/>
    <m/>
    <m/>
    <m/>
    <m/>
    <m/>
    <m/>
    <m/>
    <m/>
    <n v="6745.951"/>
    <n v="-4101.7118400000027"/>
    <m/>
    <m/>
    <m/>
    <m/>
    <n v="-4104.196640000001"/>
    <n v="0"/>
    <n v="31"/>
    <n v="-176.90991624835169"/>
    <n v="0"/>
    <n v="0"/>
    <n v="0"/>
    <n v="0"/>
    <n v="0"/>
    <n v="0"/>
    <n v="0"/>
    <n v="-128.68942924529279"/>
    <n v="0"/>
    <n v="0"/>
    <n v="0"/>
    <n v="0"/>
    <n v="0"/>
    <n v="0"/>
    <n v="0"/>
    <n v="0"/>
    <n v="-41.359097196741914"/>
    <m/>
    <n v="0"/>
    <n v="0"/>
    <n v="0"/>
    <n v="0"/>
    <n v="-5.5406851961407"/>
    <n v="-1.3207046101755182"/>
    <n v="0"/>
    <n v="0"/>
    <m/>
    <m/>
    <m/>
    <n v="6299.0556884246926"/>
    <n v="0"/>
    <n v="0"/>
    <n v="-4104.196640000001"/>
    <n v="0"/>
    <n v="0"/>
    <n v="0"/>
    <n v="-3927.315818897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-0.129"/>
    <n v="-0.129"/>
    <n v="-0.129"/>
    <n v="-0.129"/>
    <m/>
    <n v="825.6"/>
    <n v="185.74"/>
    <m/>
    <n v="-130.46286000000001"/>
    <n v="-130.46286000000001"/>
    <n v="-81.1023"/>
    <n v="0"/>
    <n v="-8.0425264253662156"/>
    <n v="0"/>
    <n v="0"/>
    <n v="0"/>
    <n v="-16.812790106400158"/>
    <n v="-75.75780195849201"/>
    <n v="-23.961013144062246"/>
    <n v="0"/>
    <n v="0"/>
    <n v="0"/>
    <n v="0"/>
    <n v="0"/>
    <n v="-1.2429400539235775"/>
    <m/>
    <n v="-0.30584188792646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3409143781907957"/>
    <n v="0"/>
    <n v="-7.0000000000000007E-2"/>
    <n v="-0.39"/>
    <n v="-40.020000000000003"/>
    <n v="2"/>
    <m/>
    <m/>
    <m/>
    <m/>
    <m/>
    <m/>
    <m/>
    <m/>
    <m/>
    <n v="-28.301927522253042"/>
    <m/>
    <m/>
    <m/>
    <m/>
    <m/>
    <m/>
    <m/>
    <m/>
    <m/>
    <m/>
    <m/>
    <m/>
    <n v="-81.730999999999995"/>
    <n v="48.701860000000011"/>
    <m/>
    <m/>
    <m/>
    <m/>
    <n v="49.360560000000007"/>
    <n v="0"/>
    <n v="31"/>
    <n v="2.1276691400370353"/>
    <n v="0"/>
    <n v="0"/>
    <n v="0"/>
    <n v="0"/>
    <n v="0"/>
    <n v="0"/>
    <n v="0"/>
    <n v="1.5477285449042295"/>
    <n v="0"/>
    <n v="0"/>
    <n v="0"/>
    <n v="0"/>
    <n v="0"/>
    <n v="0"/>
    <n v="0"/>
    <n v="0"/>
    <n v="0.49741968472680398"/>
    <m/>
    <n v="0"/>
    <n v="0"/>
    <n v="0"/>
    <n v="0"/>
    <n v="6.6636993315509319E-2"/>
    <n v="1.5883917090494304E-2"/>
    <n v="0"/>
    <n v="0"/>
    <m/>
    <m/>
    <m/>
    <n v="-75.75780195849201"/>
    <n v="0"/>
    <n v="0"/>
    <n v="49.360560000000007"/>
    <n v="0"/>
    <n v="0"/>
    <n v="0"/>
    <n v="47.233240782933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6"/>
    <n v="6"/>
    <n v="6"/>
    <n v="6"/>
    <m/>
    <n v="753.62"/>
    <n v="185.74"/>
    <m/>
    <n v="5636.16"/>
    <n v="5636.16"/>
    <n v="3366.5400000000004"/>
    <n v="0"/>
    <n v="0"/>
    <n v="0"/>
    <n v="0"/>
    <n v="0"/>
    <n v="781.99023750698404"/>
    <n v="3523.618695743814"/>
    <n v="1114.4657276308021"/>
    <n v="0"/>
    <n v="0"/>
    <n v="0"/>
    <n v="0"/>
    <n v="0"/>
    <n v="0"/>
    <m/>
    <n v="14.22520408960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9029943344556"/>
    <n v="0"/>
    <n v="0"/>
    <n v="4.1399999999999997"/>
    <n v="163.63"/>
    <n v="14"/>
    <m/>
    <m/>
    <m/>
    <m/>
    <m/>
    <m/>
    <m/>
    <n v="2188.2600000000002"/>
    <m/>
    <n v="1316.3687219652577"/>
    <m/>
    <m/>
    <m/>
    <m/>
    <m/>
    <m/>
    <m/>
    <m/>
    <m/>
    <m/>
    <m/>
    <m/>
    <n v="1178.2800000000002"/>
    <n v="-794.42999999999961"/>
    <m/>
    <m/>
    <m/>
    <m/>
    <n v="-2269.62"/>
    <n v="0"/>
    <n v="31"/>
    <n v="-72.726161023010036"/>
    <n v="0"/>
    <n v="0"/>
    <n v="0"/>
    <n v="0"/>
    <n v="0"/>
    <n v="0"/>
    <n v="0"/>
    <n v="-71.987374181592031"/>
    <n v="0"/>
    <n v="0"/>
    <n v="0"/>
    <n v="0"/>
    <n v="0"/>
    <n v="0"/>
    <n v="0"/>
    <n v="0"/>
    <n v="0"/>
    <m/>
    <n v="0"/>
    <n v="0"/>
    <n v="0"/>
    <n v="0"/>
    <n v="0"/>
    <n v="-0.73878684141833872"/>
    <n v="0"/>
    <n v="0"/>
    <m/>
    <m/>
    <m/>
    <n v="3523.618695743814"/>
    <n v="0"/>
    <n v="0"/>
    <n v="-2269.62"/>
    <n v="0"/>
    <n v="0"/>
    <n v="0"/>
    <n v="-2196.8949201364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2.137"/>
    <n v="12.137"/>
    <n v="12.137"/>
    <n v="12.137"/>
    <m/>
    <n v="753.62"/>
    <n v="185.74"/>
    <m/>
    <n v="11401.012320000002"/>
    <n v="11401.012320000002"/>
    <n v="6809.9493300000013"/>
    <n v="0"/>
    <n v="0"/>
    <n v="0"/>
    <n v="0"/>
    <n v="0"/>
    <n v="1581.8359187703777"/>
    <n v="7127.693351707112"/>
    <n v="2254.3784227091742"/>
    <n v="0"/>
    <n v="0"/>
    <n v="0"/>
    <n v="0"/>
    <n v="0"/>
    <n v="0"/>
    <m/>
    <n v="28.775217005918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41610703954797"/>
    <n v="0"/>
    <n v="3.57"/>
    <n v="14.83"/>
    <n v="588.17999999999995"/>
    <n v="37"/>
    <m/>
    <m/>
    <m/>
    <m/>
    <m/>
    <m/>
    <m/>
    <n v="2723.9069100000006"/>
    <m/>
    <n v="2662.7945297487222"/>
    <m/>
    <m/>
    <m/>
    <m/>
    <m/>
    <m/>
    <m/>
    <m/>
    <m/>
    <m/>
    <m/>
    <m/>
    <n v="4087.0524000000005"/>
    <n v="-2753.6335400000007"/>
    <m/>
    <m/>
    <m/>
    <m/>
    <n v="-4591.0629900000004"/>
    <n v="0"/>
    <n v="31"/>
    <n v="-147.11290272271253"/>
    <n v="0"/>
    <n v="0"/>
    <n v="0"/>
    <n v="0"/>
    <n v="0"/>
    <n v="0"/>
    <n v="0"/>
    <n v="-145.61846007366375"/>
    <n v="0"/>
    <n v="0"/>
    <n v="0"/>
    <n v="0"/>
    <n v="0"/>
    <n v="0"/>
    <n v="0"/>
    <n v="0"/>
    <n v="0"/>
    <m/>
    <n v="0"/>
    <n v="0"/>
    <n v="0"/>
    <n v="0"/>
    <n v="0"/>
    <n v="-1.4944426490490663"/>
    <n v="0"/>
    <n v="0"/>
    <m/>
    <m/>
    <m/>
    <n v="7127.693351707112"/>
    <n v="0"/>
    <n v="0"/>
    <n v="-4591.0629900000004"/>
    <n v="0"/>
    <n v="0"/>
    <n v="0"/>
    <n v="-4443.9522742826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1.162000000000001"/>
    <n v="11.162000000000001"/>
    <n v="11.162000000000001"/>
    <n v="11.162000000000001"/>
    <m/>
    <n v="753.62"/>
    <n v="185.74"/>
    <m/>
    <n v="10485.136320000001"/>
    <n v="10485.136320000001"/>
    <n v="6262.8865800000003"/>
    <n v="0"/>
    <n v="0"/>
    <n v="0"/>
    <n v="0"/>
    <n v="0"/>
    <n v="1454.7625051754928"/>
    <n v="6555.1053136487426"/>
    <n v="2073.2777419691688"/>
    <n v="0"/>
    <n v="0"/>
    <n v="0"/>
    <n v="0"/>
    <n v="0"/>
    <n v="0"/>
    <m/>
    <n v="26.4636213413581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.60687046019893"/>
    <n v="0"/>
    <n v="5.8"/>
    <n v="26.3"/>
    <n v="1509.41"/>
    <n v="109"/>
    <m/>
    <m/>
    <m/>
    <m/>
    <m/>
    <m/>
    <m/>
    <n v="626.18820000000062"/>
    <m/>
    <n v="2448.8846124293677"/>
    <m/>
    <m/>
    <m/>
    <m/>
    <m/>
    <m/>
    <m/>
    <m/>
    <m/>
    <m/>
    <m/>
    <m/>
    <n v="5635.6884"/>
    <n v="-3801.0312600000007"/>
    <m/>
    <m/>
    <m/>
    <m/>
    <n v="-4222.2497400000002"/>
    <n v="0"/>
    <n v="31"/>
    <n v="-135.29490155647409"/>
    <n v="0"/>
    <n v="0"/>
    <n v="0"/>
    <n v="0"/>
    <n v="0"/>
    <n v="0"/>
    <n v="0"/>
    <n v="-133.92051176915515"/>
    <n v="0"/>
    <n v="0"/>
    <n v="0"/>
    <n v="0"/>
    <n v="0"/>
    <n v="0"/>
    <n v="0"/>
    <n v="0"/>
    <n v="0"/>
    <m/>
    <n v="0"/>
    <n v="0"/>
    <n v="0"/>
    <n v="0"/>
    <n v="0"/>
    <n v="-1.3743897873185844"/>
    <n v="0"/>
    <n v="0"/>
    <m/>
    <m/>
    <m/>
    <n v="6555.1053136487426"/>
    <n v="0"/>
    <n v="0"/>
    <n v="-4222.2497400000002"/>
    <n v="0"/>
    <n v="0"/>
    <n v="0"/>
    <n v="-4086.956849760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2.9910000000000001"/>
    <n v="2.9910000000000001"/>
    <n v="2.9910000000000001"/>
    <n v="2.9910000000000001"/>
    <m/>
    <n v="753.62"/>
    <n v="185.74"/>
    <m/>
    <n v="2809.6257599999999"/>
    <n v="2809.6257599999999"/>
    <n v="1678.2201900000002"/>
    <n v="0"/>
    <n v="0"/>
    <n v="0"/>
    <n v="0"/>
    <n v="0"/>
    <n v="389.82213339723154"/>
    <n v="1756.5239198282914"/>
    <n v="555.56116522395484"/>
    <n v="0"/>
    <n v="0"/>
    <n v="0"/>
    <n v="0"/>
    <n v="0"/>
    <n v="0"/>
    <m/>
    <n v="7.0912642386671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64864267572612"/>
    <n v="0"/>
    <n v="2.56"/>
    <n v="10.69"/>
    <n v="817.01"/>
    <n v="40"/>
    <m/>
    <m/>
    <m/>
    <m/>
    <m/>
    <m/>
    <m/>
    <m/>
    <m/>
    <n v="656.20980789968098"/>
    <m/>
    <m/>
    <m/>
    <m/>
    <m/>
    <m/>
    <m/>
    <m/>
    <m/>
    <m/>
    <m/>
    <m/>
    <n v="1677.6591000000003"/>
    <n v="-1131.9966600000002"/>
    <m/>
    <m/>
    <m/>
    <m/>
    <n v="-1131.4055699999999"/>
    <n v="0"/>
    <n v="31"/>
    <n v="-36.253991269970584"/>
    <n v="0"/>
    <n v="0"/>
    <n v="0"/>
    <n v="0"/>
    <n v="0"/>
    <n v="0"/>
    <n v="0"/>
    <n v="-35.88570602952359"/>
    <n v="0"/>
    <n v="0"/>
    <n v="0"/>
    <n v="0"/>
    <n v="0"/>
    <n v="0"/>
    <n v="0"/>
    <n v="0"/>
    <n v="0"/>
    <m/>
    <n v="0"/>
    <n v="0"/>
    <n v="0"/>
    <n v="0"/>
    <n v="0"/>
    <n v="-0.36828524044704292"/>
    <n v="0"/>
    <n v="0"/>
    <m/>
    <m/>
    <m/>
    <n v="1756.5239198282914"/>
    <n v="0"/>
    <n v="0"/>
    <n v="-1131.4055699999999"/>
    <n v="0"/>
    <n v="0"/>
    <n v="0"/>
    <n v="-1095.1521176880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"/>
    <s v="Regular"/>
    <s v="Branca"/>
    <s v="B1"/>
    <s v="Residencial"/>
    <s v="Residencial"/>
    <s v="Não se aplica"/>
    <s v="Não se aplica"/>
    <s v="Ponta"/>
    <s v="CATIVO"/>
    <x v="1"/>
    <n v="0"/>
    <n v="0"/>
    <n v="6.6000000000000003E-2"/>
    <n v="6.6000000000000003E-2"/>
    <n v="6.6000000000000003E-2"/>
    <n v="6.6000000000000003E-2"/>
    <m/>
    <n v="2045.69"/>
    <n v="185.74"/>
    <m/>
    <n v="147.27438000000001"/>
    <n v="147.27438000000001"/>
    <n v="79.590720000000005"/>
    <n v="0"/>
    <n v="4.1147809618152733"/>
    <n v="0"/>
    <n v="0"/>
    <n v="0"/>
    <n v="23.235734616487999"/>
    <n v="104.65144261470691"/>
    <n v="12.259123003938823"/>
    <n v="0"/>
    <n v="0"/>
    <n v="0"/>
    <n v="0"/>
    <n v="0"/>
    <n v="0.63592281828648156"/>
    <m/>
    <n v="0.15647724498563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209329376790117"/>
    <n v="0"/>
    <n v="0"/>
    <n v="0"/>
    <n v="0"/>
    <n v="0"/>
    <m/>
    <m/>
    <m/>
    <m/>
    <m/>
    <m/>
    <m/>
    <m/>
    <m/>
    <n v="14.480055941617834"/>
    <m/>
    <m/>
    <m/>
    <m/>
    <m/>
    <m/>
    <m/>
    <m/>
    <m/>
    <m/>
    <m/>
    <m/>
    <n v="84.414400000000001"/>
    <n v="-62.88997999999998"/>
    <m/>
    <m/>
    <m/>
    <m/>
    <n v="-67.683660000000017"/>
    <n v="0"/>
    <n v="31"/>
    <n v="-2.4357168673137508"/>
    <n v="0"/>
    <n v="0"/>
    <n v="0"/>
    <n v="0"/>
    <n v="0"/>
    <n v="0"/>
    <n v="0"/>
    <n v="-2.1390030744551041"/>
    <n v="0"/>
    <n v="0"/>
    <n v="0"/>
    <n v="0"/>
    <n v="0"/>
    <n v="0"/>
    <n v="0"/>
    <n v="0"/>
    <n v="-0.25449379218580681"/>
    <m/>
    <n v="0"/>
    <n v="0"/>
    <n v="0"/>
    <n v="0"/>
    <n v="-3.4093345417237297E-2"/>
    <n v="-8.1266552556017446E-3"/>
    <n v="0"/>
    <n v="0"/>
    <m/>
    <m/>
    <m/>
    <n v="104.65144261470691"/>
    <n v="0"/>
    <n v="0"/>
    <n v="-67.683660000000017"/>
    <n v="0"/>
    <n v="0"/>
    <n v="0"/>
    <n v="-65.247758772226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7"/>
    <s v="Regular"/>
    <s v="Branca"/>
    <s v="B1"/>
    <s v="Residencial"/>
    <s v="Residencial"/>
    <s v="Não se aplica"/>
    <s v="Não se aplica"/>
    <s v="Fora ponta"/>
    <s v="CATIVO"/>
    <x v="1"/>
    <n v="0"/>
    <n v="0"/>
    <n v="0.76800000000000002"/>
    <n v="0.76800000000000002"/>
    <n v="0.76800000000000002"/>
    <n v="0.76800000000000002"/>
    <m/>
    <n v="495.6"/>
    <n v="185.74"/>
    <m/>
    <n v="523.26912000000004"/>
    <n v="523.26912000000004"/>
    <n v="362.98752000000002"/>
    <n v="0"/>
    <n v="47.881087555668636"/>
    <n v="0"/>
    <n v="0"/>
    <n v="0"/>
    <n v="54.125347054972032"/>
    <n v="243.55225830980967"/>
    <n v="142.65161313674267"/>
    <n v="0"/>
    <n v="0"/>
    <n v="0"/>
    <n v="0"/>
    <n v="0"/>
    <n v="7.399829158242694"/>
    <m/>
    <n v="1.8208261234691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843583274810317"/>
    <n v="0"/>
    <n v="0"/>
    <n v="0"/>
    <n v="0"/>
    <n v="0"/>
    <m/>
    <m/>
    <m/>
    <m/>
    <m/>
    <m/>
    <m/>
    <m/>
    <m/>
    <n v="168.495196411553"/>
    <m/>
    <m/>
    <m/>
    <m/>
    <m/>
    <m/>
    <m/>
    <m/>
    <m/>
    <m/>
    <m/>
    <m/>
    <n v="363.93279999999999"/>
    <n v="-159.36632000000003"/>
    <m/>
    <m/>
    <m/>
    <m/>
    <n v="-160.28160000000003"/>
    <n v="0"/>
    <n v="31"/>
    <n v="-8.4352658220010994"/>
    <n v="0"/>
    <n v="0"/>
    <n v="0"/>
    <n v="0"/>
    <n v="0"/>
    <n v="0"/>
    <n v="0"/>
    <n v="-4.982596232373119"/>
    <n v="0"/>
    <n v="0"/>
    <n v="0"/>
    <n v="0"/>
    <n v="0"/>
    <n v="0"/>
    <n v="0"/>
    <n v="0"/>
    <n v="-2.9613823090712046"/>
    <m/>
    <n v="0"/>
    <n v="0"/>
    <n v="0"/>
    <n v="0"/>
    <n v="-0.39672256485512492"/>
    <n v="-9.4564715701547453E-2"/>
    <n v="0"/>
    <n v="0"/>
    <m/>
    <m/>
    <m/>
    <n v="243.55225830980967"/>
    <n v="0"/>
    <n v="0"/>
    <n v="-160.28160000000005"/>
    <n v="0"/>
    <n v="0"/>
    <n v="0"/>
    <n v="-151.84921107237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8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1"/>
    <n v="2.19"/>
    <n v="158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49"/>
    <s v="Regular"/>
    <s v="Branca"/>
    <s v="B1"/>
    <s v="Residencial"/>
    <s v="Residencial"/>
    <s v="Não se aplica"/>
    <s v="Não se aplica"/>
    <s v="Intermediário"/>
    <s v="CATIVO"/>
    <x v="1"/>
    <n v="0"/>
    <n v="0"/>
    <n v="0.04"/>
    <n v="0.04"/>
    <n v="0.04"/>
    <n v="0.04"/>
    <m/>
    <n v="1270.6099999999999"/>
    <n v="185.74"/>
    <m/>
    <n v="58.253999999999998"/>
    <n v="58.253999999999998"/>
    <n v="33.57"/>
    <n v="0"/>
    <n v="2.4938066435244077"/>
    <n v="0"/>
    <n v="0"/>
    <n v="0"/>
    <n v="8.4493588430467614"/>
    <n v="38.055089828914241"/>
    <n v="7.4297715175386809"/>
    <n v="0"/>
    <n v="0"/>
    <n v="0"/>
    <n v="0"/>
    <n v="0"/>
    <n v="0.38540776865847365"/>
    <m/>
    <n v="9.48346939306867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46019962229704"/>
    <n v="0"/>
    <n v="0"/>
    <n v="0"/>
    <n v="0"/>
    <n v="0"/>
    <m/>
    <m/>
    <m/>
    <m/>
    <m/>
    <m/>
    <m/>
    <m/>
    <m/>
    <n v="8.7757914797683849"/>
    <m/>
    <m/>
    <m/>
    <m/>
    <m/>
    <m/>
    <m/>
    <m/>
    <m/>
    <m/>
    <m/>
    <m/>
    <n v="33.57"/>
    <n v="-24.713999999999992"/>
    <m/>
    <m/>
    <m/>
    <m/>
    <n v="-24.683999999999997"/>
    <n v="0"/>
    <n v="31"/>
    <n v="-0.95764591463689541"/>
    <n v="0"/>
    <n v="0"/>
    <n v="0"/>
    <n v="0"/>
    <n v="0"/>
    <n v="0"/>
    <n v="0"/>
    <n v="-0.77781937351044128"/>
    <n v="0"/>
    <n v="0"/>
    <n v="0"/>
    <n v="0"/>
    <n v="0"/>
    <n v="0"/>
    <n v="0"/>
    <n v="0"/>
    <n v="-0.15423866193079183"/>
    <m/>
    <n v="0"/>
    <n v="0"/>
    <n v="0"/>
    <n v="0"/>
    <n v="-2.0662633586204404E-2"/>
    <n v="-4.9252456094555919E-3"/>
    <n v="0"/>
    <n v="0"/>
    <m/>
    <m/>
    <m/>
    <n v="38.055089828914241"/>
    <n v="0"/>
    <n v="0"/>
    <n v="-24.683999999999997"/>
    <n v="0"/>
    <n v="0"/>
    <n v="0"/>
    <n v="-23.7264700722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0"/>
    <s v="Regular"/>
    <s v="Convencional"/>
    <s v="B3"/>
    <s v="Industrial"/>
    <s v="Não se aplica"/>
    <s v="Não se aplica"/>
    <s v="Não se aplica"/>
    <s v="Não se aplica"/>
    <s v="CATIVO"/>
    <x v="1"/>
    <n v="0"/>
    <n v="0"/>
    <n v="45.834000000000003"/>
    <n v="45.834000000000003"/>
    <n v="45.834000000000003"/>
    <n v="45.834000000000003"/>
    <m/>
    <n v="825.6"/>
    <n v="185.74"/>
    <m/>
    <n v="46353.757559999998"/>
    <n v="46353.757559999998"/>
    <n v="28815.835800000001"/>
    <n v="0"/>
    <n v="2857.5283424824429"/>
    <n v="0"/>
    <n v="0"/>
    <n v="0"/>
    <n v="5973.6234243158515"/>
    <n v="26916.923216787"/>
    <n v="8513.403693371698"/>
    <n v="0"/>
    <n v="0"/>
    <n v="0"/>
    <n v="0"/>
    <n v="0"/>
    <n v="441.61949171731203"/>
    <m/>
    <n v="108.666334040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2.3369737209064"/>
    <n v="0"/>
    <n v="32.619999999999997"/>
    <n v="140.55000000000001"/>
    <n v="11718.02"/>
    <n v="50"/>
    <m/>
    <m/>
    <m/>
    <m/>
    <m/>
    <m/>
    <m/>
    <m/>
    <m/>
    <n v="10055.740667092605"/>
    <m/>
    <m/>
    <m/>
    <m/>
    <m/>
    <m/>
    <m/>
    <m/>
    <m/>
    <m/>
    <m/>
    <m/>
    <n v="28813.320999999996"/>
    <n v="-17540.466560000008"/>
    <m/>
    <m/>
    <m/>
    <m/>
    <n v="-17537.921760000005"/>
    <n v="0"/>
    <n v="31"/>
    <n v="-755.96579352292247"/>
    <n v="0"/>
    <n v="0"/>
    <n v="0"/>
    <n v="0"/>
    <n v="0"/>
    <n v="0"/>
    <n v="0"/>
    <n v="-549.91155137318128"/>
    <n v="0"/>
    <n v="0"/>
    <n v="0"/>
    <n v="0"/>
    <n v="0"/>
    <n v="0"/>
    <n v="0"/>
    <n v="0"/>
    <n v="-176.73437077339804"/>
    <m/>
    <n v="0"/>
    <n v="0"/>
    <n v="0"/>
    <n v="0"/>
    <n v="-23.676278694752284"/>
    <n v="-5.6435926815946971"/>
    <n v="0"/>
    <n v="0"/>
    <m/>
    <m/>
    <m/>
    <n v="26916.923216787"/>
    <n v="0"/>
    <n v="0"/>
    <n v="-17537.921760000001"/>
    <n v="0"/>
    <n v="0"/>
    <n v="0"/>
    <n v="-16782.0802949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1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3.6989999999999998"/>
    <n v="3.6989999999999998"/>
    <n v="3.6989999999999998"/>
    <n v="3.6989999999999998"/>
    <m/>
    <n v="825.6"/>
    <n v="185.74"/>
    <m/>
    <n v="3740.9466600000001"/>
    <n v="3740.9466600000001"/>
    <n v="2325.5612999999998"/>
    <n v="0"/>
    <n v="230.61476935991962"/>
    <n v="0"/>
    <n v="0"/>
    <n v="0"/>
    <n v="482.09698142305564"/>
    <n v="2172.3109259260614"/>
    <n v="687.06812108438942"/>
    <n v="0"/>
    <n v="0"/>
    <n v="0"/>
    <n v="0"/>
    <n v="0"/>
    <n v="35.64058340669235"/>
    <m/>
    <n v="8.7698383212402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47319600719187"/>
    <n v="0"/>
    <n v="2.64"/>
    <n v="11.34"/>
    <n v="1771.36"/>
    <n v="2"/>
    <m/>
    <m/>
    <m/>
    <m/>
    <m/>
    <m/>
    <m/>
    <m/>
    <m/>
    <n v="811.54131709158128"/>
    <m/>
    <m/>
    <m/>
    <m/>
    <m/>
    <m/>
    <m/>
    <m/>
    <m/>
    <m/>
    <m/>
    <m/>
    <n v="2326.19"/>
    <n v="-1414.7866600000007"/>
    <m/>
    <m/>
    <m/>
    <m/>
    <n v="-1415.38536"/>
    <n v="0"/>
    <n v="31"/>
    <n v="-61.009675573619916"/>
    <n v="0"/>
    <n v="0"/>
    <n v="0"/>
    <n v="0"/>
    <n v="0"/>
    <n v="0"/>
    <n v="0"/>
    <n v="-44.380216182951472"/>
    <n v="0"/>
    <n v="0"/>
    <n v="0"/>
    <n v="0"/>
    <n v="0"/>
    <n v="0"/>
    <n v="0"/>
    <n v="0"/>
    <n v="-14.263220262049998"/>
    <m/>
    <n v="0"/>
    <n v="0"/>
    <n v="0"/>
    <n v="0"/>
    <n v="-1.9107770408842555"/>
    <n v="-0.45546208773440711"/>
    <n v="0"/>
    <n v="0"/>
    <m/>
    <m/>
    <m/>
    <n v="2172.3109259260614"/>
    <n v="0"/>
    <n v="0"/>
    <n v="-1415.3853600000002"/>
    <n v="0"/>
    <n v="0"/>
    <n v="0"/>
    <n v="-1354.385718264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2"/>
    <s v="Regular"/>
    <s v="Verde"/>
    <s v="A4"/>
    <s v="Industrial"/>
    <s v="Não se aplica"/>
    <s v="Não se aplica"/>
    <s v="Não se aplica"/>
    <s v="Ponta"/>
    <s v="CATIVO"/>
    <x v="1"/>
    <n v="0"/>
    <n v="0"/>
    <n v="1.655"/>
    <n v="1.655"/>
    <n v="1.655"/>
    <n v="1.655"/>
    <m/>
    <n v="4433.21"/>
    <n v="185.74"/>
    <m/>
    <n v="7644.3622500000001"/>
    <n v="7644.3622500000001"/>
    <n v="3989.5761000000002"/>
    <n v="0"/>
    <n v="89.767687391965353"/>
    <n v="0"/>
    <n v="0"/>
    <n v="0"/>
    <n v="1591.4860235056199"/>
    <n v="5616.5462859043446"/>
    <n v="307.40679653816289"/>
    <n v="0"/>
    <n v="0"/>
    <n v="0"/>
    <n v="0"/>
    <n v="0"/>
    <n v="15.946246428244347"/>
    <m/>
    <n v="1.7143837559996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02047634813017"/>
    <n v="0"/>
    <n v="0"/>
    <n v="0"/>
    <n v="0"/>
    <n v="0"/>
    <m/>
    <m/>
    <m/>
    <m/>
    <m/>
    <m/>
    <m/>
    <m/>
    <m/>
    <n v="328.90884417297593"/>
    <m/>
    <m/>
    <m/>
    <m/>
    <m/>
    <m/>
    <m/>
    <m/>
    <m/>
    <m/>
    <m/>
    <m/>
    <n v="4001.6291999999999"/>
    <n v="-3642.7630500000009"/>
    <m/>
    <m/>
    <m/>
    <m/>
    <n v="-3654.7861499999999"/>
    <n v="0"/>
    <n v="31"/>
    <n v="-153.0027825734303"/>
    <n v="0"/>
    <n v="0"/>
    <n v="0"/>
    <n v="0"/>
    <n v="0"/>
    <n v="0"/>
    <n v="0"/>
    <n v="-146.50681604941542"/>
    <n v="0"/>
    <n v="0"/>
    <n v="0"/>
    <n v="0"/>
    <n v="0"/>
    <n v="0"/>
    <n v="0"/>
    <n v="0"/>
    <n v="-5.5520134345262306"/>
    <m/>
    <n v="0"/>
    <n v="0"/>
    <n v="0"/>
    <n v="0"/>
    <n v="-0.85491646462920734"/>
    <n v="-8.9036624859363478E-2"/>
    <n v="0"/>
    <n v="0"/>
    <m/>
    <m/>
    <m/>
    <n v="5616.5462859043446"/>
    <n v="0"/>
    <n v="0"/>
    <n v="-3654.7861499999999"/>
    <n v="0"/>
    <n v="0"/>
    <n v="0"/>
    <n v="-3501.7869609781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3"/>
    <s v="Regular"/>
    <s v="Verde"/>
    <s v="A4"/>
    <s v="Industrial"/>
    <s v="Não se aplica"/>
    <s v="Não se aplica"/>
    <s v="Não se aplica"/>
    <s v="Fora ponta"/>
    <s v="CATIVO"/>
    <x v="1"/>
    <n v="0"/>
    <n v="0"/>
    <n v="43.018000000000001"/>
    <n v="43.018000000000001"/>
    <n v="43.018000000000001"/>
    <n v="43.018000000000001"/>
    <m/>
    <n v="77.900000000000006"/>
    <n v="185.74"/>
    <m/>
    <n v="11341.265520000001"/>
    <n v="11341.265520000001"/>
    <n v="11172.634960000001"/>
    <n v="0"/>
    <n v="2333.3089886571393"/>
    <n v="0"/>
    <n v="0"/>
    <n v="0"/>
    <n v="0"/>
    <n v="0"/>
    <n v="7990.3477785369741"/>
    <n v="0"/>
    <n v="0"/>
    <n v="0"/>
    <n v="0"/>
    <n v="0"/>
    <n v="414.48678480375548"/>
    <m/>
    <n v="44.561547078908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8.89733241956878"/>
    <n v="0"/>
    <n v="0"/>
    <n v="0"/>
    <n v="0"/>
    <n v="0"/>
    <m/>
    <m/>
    <m/>
    <m/>
    <m/>
    <m/>
    <m/>
    <m/>
    <m/>
    <n v="8549.2451109565427"/>
    <m/>
    <m/>
    <m/>
    <m/>
    <m/>
    <m/>
    <m/>
    <m/>
    <m/>
    <m/>
    <m/>
    <m/>
    <n v="11173.154400000001"/>
    <n v="-168.14112000000023"/>
    <m/>
    <m/>
    <m/>
    <m/>
    <n v="-168.63056000000009"/>
    <n v="0"/>
    <n v="31"/>
    <n v="-168.8480289607669"/>
    <n v="0"/>
    <n v="0"/>
    <n v="0"/>
    <n v="0"/>
    <n v="0"/>
    <n v="0"/>
    <n v="0"/>
    <n v="0"/>
    <n v="0"/>
    <n v="0"/>
    <n v="0"/>
    <n v="0"/>
    <n v="0"/>
    <n v="0"/>
    <n v="0"/>
    <n v="0"/>
    <n v="-144.31209300691808"/>
    <m/>
    <n v="0"/>
    <n v="0"/>
    <n v="0"/>
    <n v="0"/>
    <n v="-22.221629290283545"/>
    <n v="-2.3143066635650129"/>
    <n v="0"/>
    <n v="0"/>
    <m/>
    <m/>
    <m/>
    <n v="0"/>
    <n v="0"/>
    <n v="0"/>
    <n v="-168.63056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Não se aplica"/>
    <s v="CATIVO"/>
    <x v="1"/>
    <n v="320"/>
    <n v="320"/>
    <n v="0"/>
    <n v="0"/>
    <n v="0"/>
    <n v="0"/>
    <n v="55.59"/>
    <m/>
    <m/>
    <n v="17788.800000000003"/>
    <m/>
    <n v="17788.800000000003"/>
    <n v="9443.2000000000007"/>
    <n v="0"/>
    <n v="0"/>
    <n v="0"/>
    <n v="0"/>
    <n v="0"/>
    <n v="5169.494664888256"/>
    <n v="12617.8314037003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6"/>
    <n v="122.6"/>
    <n v="9774.27"/>
    <n v="5"/>
    <m/>
    <m/>
    <m/>
    <m/>
    <m/>
    <m/>
    <m/>
    <m/>
    <m/>
    <n v="0"/>
    <m/>
    <m/>
    <m/>
    <m/>
    <m/>
    <m/>
    <m/>
    <m/>
    <m/>
    <m/>
    <m/>
    <m/>
    <n v="9443.2000000000007"/>
    <n v="-8345.6299999999974"/>
    <m/>
    <m/>
    <m/>
    <m/>
    <n v="-8345.6"/>
    <n v="0"/>
    <n v="31"/>
    <n v="-475.88617980380786"/>
    <n v="0"/>
    <n v="0"/>
    <n v="0"/>
    <n v="0"/>
    <m/>
    <m/>
    <m/>
    <n v="-475.886179803807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17.831403700384"/>
    <m/>
    <n v="0"/>
    <n v="0"/>
    <n v="-8345.6000000000022"/>
    <m/>
    <n v="0"/>
    <m/>
    <n v="-7866.9266193332796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55"/>
    <s v="Regular"/>
    <s v="Convencional"/>
    <s v="B3"/>
    <s v="Comercial"/>
    <s v="Não se aplica"/>
    <s v="Não se aplica"/>
    <s v="Não se aplica"/>
    <s v="Não se aplica"/>
    <s v="CATIVO"/>
    <x v="1"/>
    <n v="0"/>
    <n v="0"/>
    <n v="148.98599999999999"/>
    <n v="148.98599999999999"/>
    <n v="148.98599999999999"/>
    <n v="148.98599999999999"/>
    <m/>
    <n v="825.6"/>
    <n v="185.74"/>
    <m/>
    <n v="150675.50124000001"/>
    <n v="150675.50124000001"/>
    <n v="93667.498199999987"/>
    <n v="0"/>
    <n v="9288.5569148031846"/>
    <n v="0"/>
    <n v="0"/>
    <n v="0"/>
    <n v="19417.599587535919"/>
    <n v="87494.975834014651"/>
    <n v="27673.298482800445"/>
    <n v="0"/>
    <n v="0"/>
    <n v="0"/>
    <n v="0"/>
    <n v="0"/>
    <n v="1435.5090455337836"/>
    <m/>
    <n v="353.2260427489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13.4532523188664"/>
    <n v="0"/>
    <n v="103.96"/>
    <n v="451.61"/>
    <n v="36626.11"/>
    <n v="364"/>
    <m/>
    <m/>
    <m/>
    <m/>
    <m/>
    <m/>
    <m/>
    <m/>
    <m/>
    <n v="32686.751735119309"/>
    <m/>
    <m/>
    <m/>
    <m/>
    <m/>
    <m/>
    <m/>
    <m/>
    <m/>
    <m/>
    <m/>
    <m/>
    <n v="93670.013000000006"/>
    <n v="-57005.518239999976"/>
    <m/>
    <m/>
    <m/>
    <m/>
    <n v="-57008.003040000003"/>
    <n v="0"/>
    <n v="31"/>
    <n v="-2457.3094147097363"/>
    <n v="0"/>
    <n v="0"/>
    <n v="0"/>
    <n v="0"/>
    <n v="0"/>
    <n v="0"/>
    <n v="0"/>
    <n v="-1787.5184883031106"/>
    <n v="0"/>
    <n v="0"/>
    <n v="0"/>
    <n v="0"/>
    <n v="0"/>
    <n v="0"/>
    <n v="0"/>
    <n v="0"/>
    <n v="-574.48503216052268"/>
    <m/>
    <n v="0"/>
    <n v="0"/>
    <n v="0"/>
    <n v="0"/>
    <n v="-76.961078186856184"/>
    <n v="-18.34481605925879"/>
    <n v="0"/>
    <n v="0"/>
    <m/>
    <m/>
    <m/>
    <n v="87494.975834014651"/>
    <n v="0"/>
    <n v="0"/>
    <n v="-57008.003040000011"/>
    <n v="0"/>
    <n v="0"/>
    <n v="0"/>
    <n v="-54551.097761908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6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4.0990000000000002"/>
    <n v="-4.0990000000000002"/>
    <n v="-4.0990000000000002"/>
    <n v="-4.0990000000000002"/>
    <m/>
    <n v="825.6"/>
    <n v="185.74"/>
    <m/>
    <n v="-4145.4826600000006"/>
    <n v="-4145.4826600000006"/>
    <n v="-2577.0413000000003"/>
    <n v="0"/>
    <n v="-255.5528357951637"/>
    <n v="0"/>
    <n v="0"/>
    <n v="0"/>
    <n v="-534.22966392352134"/>
    <n v="-2407.2188389756493"/>
    <n v="-761.3658362597763"/>
    <n v="0"/>
    <n v="0"/>
    <n v="0"/>
    <n v="0"/>
    <n v="0"/>
    <n v="-39.494661093277088"/>
    <m/>
    <n v="-9.7181852605471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7.93339562948893"/>
    <n v="0"/>
    <n v="-2.2200000000000002"/>
    <n v="-11.08"/>
    <n v="-923.66"/>
    <n v="0"/>
    <m/>
    <m/>
    <m/>
    <m/>
    <m/>
    <m/>
    <m/>
    <m/>
    <m/>
    <n v="-899.29923188926523"/>
    <m/>
    <m/>
    <m/>
    <m/>
    <m/>
    <m/>
    <m/>
    <m/>
    <m/>
    <m/>
    <m/>
    <m/>
    <n v="-2577.6699999999996"/>
    <n v="1567.7826600000003"/>
    <m/>
    <m/>
    <m/>
    <m/>
    <n v="1568.4413600000003"/>
    <n v="0"/>
    <n v="31"/>
    <n v="67.607099263657346"/>
    <n v="0"/>
    <n v="0"/>
    <n v="0"/>
    <n v="0"/>
    <n v="0"/>
    <n v="0"/>
    <n v="0"/>
    <n v="49.179374461724365"/>
    <n v="0"/>
    <n v="0"/>
    <n v="0"/>
    <n v="0"/>
    <n v="0"/>
    <n v="0"/>
    <n v="0"/>
    <n v="0"/>
    <n v="15.805606881357903"/>
    <m/>
    <n v="0"/>
    <n v="0"/>
    <n v="0"/>
    <n v="0"/>
    <n v="2.1174033767462959"/>
    <n v="0.50471454382896219"/>
    <n v="0"/>
    <n v="0"/>
    <m/>
    <m/>
    <m/>
    <n v="-2407.2188389756493"/>
    <n v="0"/>
    <n v="0"/>
    <n v="1568.4413600000003"/>
    <n v="0"/>
    <n v="0"/>
    <n v="0"/>
    <n v="1500.8453796065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7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7.1440000000000001"/>
    <n v="7.1440000000000001"/>
    <n v="7.1440000000000001"/>
    <n v="7.1440000000000001"/>
    <m/>
    <n v="825.6"/>
    <n v="185.74"/>
    <m/>
    <n v="7225.01296"/>
    <n v="7225.01296"/>
    <n v="4491.4327999999996"/>
    <n v="0"/>
    <n v="445.39386653345923"/>
    <n v="0"/>
    <n v="0"/>
    <n v="0"/>
    <n v="931.08970945831572"/>
    <n v="4195.4553270656352"/>
    <n v="1326.9571930324084"/>
    <n v="0"/>
    <n v="0"/>
    <n v="0"/>
    <n v="0"/>
    <n v="0"/>
    <n v="68.833827482403393"/>
    <m/>
    <n v="16.937476336020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39916525422512"/>
    <n v="0"/>
    <n v="4.9400000000000004"/>
    <n v="21.33"/>
    <n v="3043.16"/>
    <n v="10"/>
    <m/>
    <m/>
    <m/>
    <m/>
    <m/>
    <m/>
    <m/>
    <m/>
    <m/>
    <n v="1567.3563582866336"/>
    <m/>
    <m/>
    <m/>
    <m/>
    <m/>
    <m/>
    <m/>
    <m/>
    <m/>
    <m/>
    <m/>
    <m/>
    <n v="4488.9179999999997"/>
    <n v="-2736.124960000001"/>
    <m/>
    <m/>
    <m/>
    <m/>
    <n v="-2733.5801600000004"/>
    <n v="0"/>
    <n v="31"/>
    <n v="-117.82998710406628"/>
    <n v="0"/>
    <n v="0"/>
    <n v="0"/>
    <n v="0"/>
    <n v="0"/>
    <n v="0"/>
    <n v="0"/>
    <n v="-85.712966858882282"/>
    <n v="0"/>
    <n v="0"/>
    <n v="0"/>
    <n v="0"/>
    <n v="0"/>
    <n v="0"/>
    <n v="0"/>
    <n v="0"/>
    <n v="-27.547025020839385"/>
    <m/>
    <n v="0"/>
    <n v="0"/>
    <n v="0"/>
    <n v="0"/>
    <n v="-3.6903463584961003"/>
    <n v="-0.87964886584877178"/>
    <n v="0"/>
    <n v="0"/>
    <m/>
    <m/>
    <m/>
    <n v="4195.4553270656352"/>
    <n v="0"/>
    <n v="0"/>
    <n v="-2733.5801600000004"/>
    <n v="0"/>
    <n v="0"/>
    <n v="0"/>
    <n v="-2615.7695515757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-0.90400000000000003"/>
    <n v="-0.90400000000000003"/>
    <n v="-0.90400000000000003"/>
    <n v="-0.90400000000000003"/>
    <m/>
    <n v="825.6"/>
    <n v="185.74"/>
    <m/>
    <n v="-914.25135999999998"/>
    <n v="-914.25135999999998"/>
    <n v="-568.34479999999996"/>
    <n v="0"/>
    <n v="-56.36003014365162"/>
    <n v="0"/>
    <n v="0"/>
    <n v="0"/>
    <n v="-117.81986245105226"/>
    <n v="-530.89188349206802"/>
    <n v="-167.91283629637419"/>
    <n v="0"/>
    <n v="0"/>
    <n v="0"/>
    <n v="0"/>
    <n v="0"/>
    <n v="-8.7102155716815037"/>
    <m/>
    <n v="-2.1432640828335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0.420051146391312"/>
    <n v="0"/>
    <n v="-0.55000000000000004"/>
    <n v="-2.79"/>
    <n v="-231.33"/>
    <n v="1"/>
    <m/>
    <m/>
    <m/>
    <m/>
    <m/>
    <m/>
    <m/>
    <m/>
    <m/>
    <n v="-198.3328874427655"/>
    <m/>
    <m/>
    <m/>
    <m/>
    <m/>
    <m/>
    <m/>
    <m/>
    <m/>
    <m/>
    <m/>
    <m/>
    <n v="-565.83000000000004"/>
    <n v="348.39135999999996"/>
    <m/>
    <m/>
    <m/>
    <m/>
    <n v="345.90656000000007"/>
    <n v="0"/>
    <n v="31"/>
    <n v="14.910177539484323"/>
    <n v="0"/>
    <n v="0"/>
    <n v="0"/>
    <n v="0"/>
    <n v="0"/>
    <n v="0"/>
    <n v="0"/>
    <n v="10.846097710026527"/>
    <n v="0"/>
    <n v="0"/>
    <n v="0"/>
    <n v="0"/>
    <n v="0"/>
    <n v="0"/>
    <n v="0"/>
    <n v="0"/>
    <n v="3.4857937596358965"/>
    <m/>
    <n v="0"/>
    <n v="0"/>
    <n v="0"/>
    <n v="0"/>
    <n v="0.46697551904821921"/>
    <n v="0.11131055077369645"/>
    <n v="0"/>
    <n v="0"/>
    <m/>
    <m/>
    <m/>
    <n v="-530.89188349206802"/>
    <n v="0"/>
    <n v="0"/>
    <n v="345.90656000000001"/>
    <n v="0"/>
    <n v="0"/>
    <n v="0"/>
    <n v="330.99883463389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533"/>
    <n v="533"/>
    <n v="28.974"/>
    <n v="28.974"/>
    <n v="28.974"/>
    <n v="28.974"/>
    <n v="181.08"/>
    <n v="77.900000000000006"/>
    <n v="185.74"/>
    <n v="96515.64"/>
    <n v="7638.7053599999999"/>
    <n v="104154.34536000001"/>
    <n v="55185.987280000001"/>
    <n v="0"/>
    <n v="1571.5582927461051"/>
    <n v="0"/>
    <n v="0"/>
    <n v="0"/>
    <n v="21303.166762598841"/>
    <n v="75211.310115191183"/>
    <n v="5381.7549987291432"/>
    <n v="0"/>
    <n v="0"/>
    <n v="0"/>
    <n v="0"/>
    <n v="0"/>
    <n v="279.17011722776539"/>
    <m/>
    <n v="30.013628366365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43524360789866"/>
    <n v="0"/>
    <n v="0"/>
    <n v="0"/>
    <n v="0"/>
    <n v="0"/>
    <m/>
    <m/>
    <m/>
    <m/>
    <m/>
    <m/>
    <m/>
    <m/>
    <m/>
    <n v="5758.190242337042"/>
    <m/>
    <m/>
    <m/>
    <m/>
    <m/>
    <m/>
    <m/>
    <m/>
    <m/>
    <m/>
    <m/>
    <m/>
    <n v="55184.948399999994"/>
    <n v="-48969.426959999997"/>
    <m/>
    <m/>
    <m/>
    <m/>
    <n v="-48968.358080000005"/>
    <n v="0"/>
    <n v="31"/>
    <n v="-2074.8219719890476"/>
    <n v="0"/>
    <n v="0"/>
    <n v="0"/>
    <n v="0"/>
    <n v="0"/>
    <n v="0"/>
    <n v="0"/>
    <n v="-1961.0974196828174"/>
    <n v="0"/>
    <n v="0"/>
    <n v="0"/>
    <n v="0"/>
    <n v="0"/>
    <n v="0"/>
    <n v="0"/>
    <n v="0"/>
    <n v="-97.198814049524344"/>
    <m/>
    <n v="0"/>
    <n v="0"/>
    <n v="0"/>
    <n v="0"/>
    <n v="-14.966978638167177"/>
    <n v="-1.5587596185348644"/>
    <n v="0"/>
    <n v="0"/>
    <m/>
    <m/>
    <n v="75211.310115191183"/>
    <n v="0"/>
    <n v="0"/>
    <n v="0"/>
    <n v="-48968.358080000005"/>
    <n v="0"/>
    <n v="0"/>
    <n v="0"/>
    <n v="-46892.51573345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541"/>
    <n v="541"/>
    <n v="313.89100000000002"/>
    <n v="313.89100000000002"/>
    <n v="313.89100000000002"/>
    <n v="313.89100000000002"/>
    <n v="55.59"/>
    <n v="77.900000000000006"/>
    <n v="185.74"/>
    <n v="30074.190000000002"/>
    <n v="82754.223240000007"/>
    <n v="112828.41324000002"/>
    <n v="97488.680520000009"/>
    <n v="0"/>
    <n v="17025.540279849785"/>
    <n v="0"/>
    <n v="0"/>
    <n v="0"/>
    <n v="8739.6769178267077"/>
    <n v="21332.021216880963"/>
    <n v="58303.460285293353"/>
    <n v="0"/>
    <n v="0"/>
    <n v="0"/>
    <n v="0"/>
    <n v="0"/>
    <n v="3024.4007477994237"/>
    <m/>
    <n v="325.15385592416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8.1264254616872"/>
    <n v="0"/>
    <n v="0"/>
    <n v="0"/>
    <n v="0"/>
    <n v="0"/>
    <m/>
    <m/>
    <m/>
    <m/>
    <m/>
    <m/>
    <m/>
    <m/>
    <m/>
    <n v="62381.586710755044"/>
    <m/>
    <m/>
    <m/>
    <m/>
    <m/>
    <m/>
    <m/>
    <m/>
    <m/>
    <m/>
    <m/>
    <m/>
    <n v="97488.420799999993"/>
    <n v="-15340.022440000015"/>
    <m/>
    <m/>
    <m/>
    <m/>
    <n v="-15339.732720000002"/>
    <n v="0"/>
    <n v="31"/>
    <n v="-2036.5846063800709"/>
    <n v="0"/>
    <n v="0"/>
    <n v="0"/>
    <n v="0"/>
    <n v="0"/>
    <n v="0"/>
    <n v="0"/>
    <n v="-804.54507273081254"/>
    <n v="0"/>
    <n v="0"/>
    <n v="0"/>
    <n v="0"/>
    <n v="0"/>
    <n v="0"/>
    <n v="0"/>
    <n v="0"/>
    <n v="-1053.0072803485618"/>
    <m/>
    <n v="0"/>
    <n v="0"/>
    <n v="0"/>
    <n v="0"/>
    <n v="-162.14536797518213"/>
    <n v="-16.886885325516914"/>
    <n v="0"/>
    <n v="0"/>
    <m/>
    <m/>
    <n v="21332.021216880963"/>
    <n v="0"/>
    <n v="0"/>
    <n v="0"/>
    <n v="-15339.732720000007"/>
    <n v="0"/>
    <n v="0"/>
    <n v="0"/>
    <n v="-13300.02281581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88.86"/>
    <n v="809.44"/>
    <n v="67453.2599999999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6.4290000000000003"/>
    <n v="6.4290000000000003"/>
    <n v="6.4290000000000003"/>
    <n v="6.4290000000000003"/>
    <m/>
    <n v="4433.21"/>
    <n v="185.74"/>
    <m/>
    <n v="29695.22955"/>
    <n v="29695.22955"/>
    <n v="15497.875980000003"/>
    <n v="0"/>
    <n v="348.71085331900014"/>
    <n v="0"/>
    <n v="0"/>
    <n v="0"/>
    <n v="6182.274105811257"/>
    <n v="21817.991584337782"/>
    <n v="1194.1500271564043"/>
    <n v="0"/>
    <n v="0"/>
    <n v="0"/>
    <n v="0"/>
    <n v="0"/>
    <n v="61.944663617633175"/>
    <m/>
    <n v="6.65968167209784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52668534393527"/>
    <n v="0"/>
    <n v="0"/>
    <n v="0"/>
    <n v="0"/>
    <n v="0"/>
    <m/>
    <m/>
    <m/>
    <m/>
    <m/>
    <m/>
    <m/>
    <m/>
    <m/>
    <n v="1277.6767125003396"/>
    <m/>
    <m/>
    <m/>
    <m/>
    <m/>
    <m/>
    <m/>
    <m/>
    <m/>
    <m/>
    <m/>
    <m/>
    <n v="15500.286599999999"/>
    <n v="-14194.972949999996"/>
    <m/>
    <m/>
    <m/>
    <m/>
    <n v="-14197.353569999999"/>
    <n v="0"/>
    <n v="31"/>
    <n v="-594.35340735020145"/>
    <n v="0"/>
    <n v="0"/>
    <n v="0"/>
    <n v="0"/>
    <n v="0"/>
    <n v="0"/>
    <n v="0"/>
    <n v="-569.11922681673241"/>
    <n v="0"/>
    <n v="0"/>
    <n v="0"/>
    <n v="0"/>
    <n v="0"/>
    <n v="0"/>
    <n v="0"/>
    <n v="0"/>
    <n v="-21.567307776778875"/>
    <m/>
    <n v="0"/>
    <n v="0"/>
    <n v="0"/>
    <n v="0"/>
    <n v="-3.3210017831426981"/>
    <n v="-0.3458709735473402"/>
    <n v="0"/>
    <n v="0"/>
    <m/>
    <m/>
    <m/>
    <n v="21817.991584337782"/>
    <n v="0"/>
    <n v="0"/>
    <n v="-14197.353569999999"/>
    <n v="0"/>
    <n v="0"/>
    <n v="0"/>
    <n v="-13603.01412213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328.233"/>
    <n v="328.233"/>
    <n v="328.233"/>
    <n v="328.233"/>
    <m/>
    <n v="77.900000000000006"/>
    <n v="185.74"/>
    <m/>
    <n v="86535.34812000001"/>
    <n v="86535.34812000001"/>
    <n v="85248.674760000009"/>
    <n v="0"/>
    <n v="17803.454583520823"/>
    <n v="0"/>
    <n v="0"/>
    <n v="0"/>
    <n v="0"/>
    <n v="0"/>
    <n v="60967.404862906842"/>
    <n v="0"/>
    <n v="0"/>
    <n v="0"/>
    <n v="0"/>
    <n v="0"/>
    <n v="3162.5887032519195"/>
    <m/>
    <n v="340.01046730093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64.4601820650032"/>
    <n v="0"/>
    <n v="0"/>
    <n v="0"/>
    <n v="0"/>
    <n v="0"/>
    <m/>
    <m/>
    <m/>
    <m/>
    <m/>
    <m/>
    <m/>
    <m/>
    <m/>
    <n v="65231.865044971848"/>
    <m/>
    <m/>
    <m/>
    <m/>
    <m/>
    <m/>
    <m/>
    <m/>
    <m/>
    <m/>
    <m/>
    <m/>
    <n v="85247.895600000003"/>
    <n v="-1287.4825199999905"/>
    <m/>
    <m/>
    <m/>
    <m/>
    <n v="-1286.6733600000007"/>
    <n v="0"/>
    <n v="31"/>
    <n v="-1288.3326767836697"/>
    <n v="0"/>
    <n v="0"/>
    <n v="0"/>
    <n v="0"/>
    <n v="0"/>
    <n v="0"/>
    <n v="0"/>
    <n v="0"/>
    <n v="0"/>
    <n v="0"/>
    <n v="0"/>
    <n v="0"/>
    <n v="0"/>
    <n v="0"/>
    <n v="0"/>
    <n v="0"/>
    <n v="-1101.120257193259"/>
    <m/>
    <n v="0"/>
    <n v="0"/>
    <n v="0"/>
    <n v="0"/>
    <n v="-169.55395524751566"/>
    <n v="-17.658464342878176"/>
    <n v="0"/>
    <n v="0"/>
    <m/>
    <m/>
    <m/>
    <n v="0"/>
    <n v="0"/>
    <n v="0"/>
    <n v="-1286.6733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1108"/>
    <n v="1108"/>
    <n v="0"/>
    <n v="0"/>
    <n v="0"/>
    <n v="0"/>
    <n v="55.59"/>
    <m/>
    <m/>
    <n v="61593.72"/>
    <m/>
    <n v="61593.72"/>
    <n v="32697.08"/>
    <n v="0"/>
    <n v="0"/>
    <n v="0"/>
    <n v="0"/>
    <n v="0"/>
    <n v="17899.375277175586"/>
    <n v="43689.2412353125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9.19"/>
    <n v="725.2"/>
    <n v="59879.48"/>
    <n v="5"/>
    <m/>
    <m/>
    <m/>
    <m/>
    <m/>
    <m/>
    <m/>
    <m/>
    <m/>
    <n v="0"/>
    <m/>
    <m/>
    <m/>
    <m/>
    <m/>
    <m/>
    <m/>
    <m/>
    <m/>
    <m/>
    <m/>
    <m/>
    <n v="32697.08"/>
    <n v="-28896.670000000006"/>
    <m/>
    <m/>
    <m/>
    <m/>
    <n v="-28896.640000000003"/>
    <n v="0"/>
    <n v="31"/>
    <n v="-1647.7558975706852"/>
    <n v="0"/>
    <n v="0"/>
    <n v="0"/>
    <n v="0"/>
    <m/>
    <m/>
    <m/>
    <n v="-1647.75589757068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689.241235312576"/>
    <m/>
    <n v="0"/>
    <n v="0"/>
    <n v="-28896.639999999999"/>
    <m/>
    <n v="0"/>
    <m/>
    <n v="-27239.23341944148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0.10100000000000001"/>
    <n v="0.10100000000000001"/>
    <n v="0.10100000000000001"/>
    <n v="0.10100000000000001"/>
    <m/>
    <n v="2583.84"/>
    <n v="185.74"/>
    <m/>
    <n v="279.72758000000005"/>
    <n v="279.72758000000005"/>
    <n v="147.50747000000001"/>
    <n v="0"/>
    <n v="6.2968617748991305"/>
    <n v="0"/>
    <n v="0"/>
    <n v="0"/>
    <n v="45.425464405557051"/>
    <n v="204.63407172716779"/>
    <n v="18.760173081785169"/>
    <n v="0"/>
    <n v="0"/>
    <n v="0"/>
    <n v="0"/>
    <n v="0"/>
    <n v="0.97315461586264596"/>
    <m/>
    <n v="0.23945760217498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987004046300027"/>
    <n v="0"/>
    <n v="0"/>
    <n v="0"/>
    <n v="0"/>
    <n v="0"/>
    <m/>
    <m/>
    <m/>
    <m/>
    <m/>
    <m/>
    <m/>
    <m/>
    <m/>
    <n v="22.158873486415171"/>
    <m/>
    <m/>
    <m/>
    <m/>
    <m/>
    <m/>
    <m/>
    <m/>
    <m/>
    <m/>
    <m/>
    <m/>
    <n v="146.04700000000003"/>
    <n v="-133.71057999999999"/>
    <m/>
    <m/>
    <m/>
    <m/>
    <n v="-132.22011000000003"/>
    <n v="0"/>
    <n v="31"/>
    <n v="-4.6357765016305876"/>
    <n v="0"/>
    <n v="0"/>
    <n v="0"/>
    <n v="0"/>
    <n v="0"/>
    <n v="0"/>
    <n v="0"/>
    <n v="-4.1817144852863066"/>
    <n v="0"/>
    <n v="0"/>
    <n v="0"/>
    <n v="0"/>
    <n v="0"/>
    <n v="0"/>
    <n v="0"/>
    <n v="0"/>
    <n v="-0.38945262137524939"/>
    <m/>
    <n v="0"/>
    <n v="0"/>
    <n v="0"/>
    <n v="0"/>
    <n v="-5.2173149805166075E-2"/>
    <n v="-1.243624516387537E-2"/>
    <n v="0"/>
    <n v="0"/>
    <m/>
    <m/>
    <m/>
    <n v="204.63407172716779"/>
    <n v="0"/>
    <n v="0"/>
    <n v="-132.22011000000001"/>
    <n v="0"/>
    <n v="0"/>
    <n v="0"/>
    <n v="-127.58462009730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97599999999999998"/>
    <n v="0.97599999999999998"/>
    <n v="0.97599999999999998"/>
    <n v="0.97599999999999998"/>
    <m/>
    <n v="603.13"/>
    <n v="185.74"/>
    <m/>
    <n v="769.93711999999994"/>
    <n v="769.93711999999994"/>
    <n v="510.89696000000004"/>
    <n v="0"/>
    <n v="60.848882101995549"/>
    <n v="0"/>
    <n v="0"/>
    <n v="0"/>
    <n v="87.754894273948949"/>
    <n v="395.49119503583466"/>
    <n v="181.28642502794381"/>
    <n v="0"/>
    <n v="0"/>
    <n v="0"/>
    <n v="0"/>
    <n v="0"/>
    <n v="9.403949555266756"/>
    <m/>
    <n v="2.3139665319087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842887078404779"/>
    <n v="0"/>
    <n v="0"/>
    <n v="0"/>
    <n v="0"/>
    <n v="0"/>
    <m/>
    <m/>
    <m/>
    <m/>
    <m/>
    <m/>
    <m/>
    <m/>
    <m/>
    <n v="214.12931210634858"/>
    <m/>
    <m/>
    <m/>
    <m/>
    <m/>
    <m/>
    <m/>
    <m/>
    <m/>
    <m/>
    <m/>
    <m/>
    <n v="512.99080000000004"/>
    <n v="-256.97631999999987"/>
    <m/>
    <m/>
    <m/>
    <m/>
    <n v="-259.04015999999996"/>
    <n v="0"/>
    <n v="31"/>
    <n v="-12.46618611482711"/>
    <n v="0"/>
    <n v="0"/>
    <n v="0"/>
    <n v="0"/>
    <n v="0"/>
    <n v="0"/>
    <n v="0"/>
    <n v="-8.0784185113416953"/>
    <n v="0"/>
    <n v="0"/>
    <n v="0"/>
    <n v="0"/>
    <n v="0"/>
    <n v="0"/>
    <n v="0"/>
    <n v="0"/>
    <n v="-3.7634233511113209"/>
    <m/>
    <n v="0"/>
    <n v="0"/>
    <n v="0"/>
    <n v="0"/>
    <n v="-0.50416825950338762"/>
    <n v="-0.12017599287071645"/>
    <n v="0"/>
    <n v="0"/>
    <m/>
    <m/>
    <m/>
    <n v="395.49119503583466"/>
    <n v="0"/>
    <n v="0"/>
    <n v="-259.0401599999999"/>
    <n v="0"/>
    <n v="0"/>
    <n v="0"/>
    <n v="-246.57963087277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2"/>
    <n v="3.54"/>
    <n v="294.899999999999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7.0999999999999994E-2"/>
    <n v="7.0999999999999994E-2"/>
    <n v="7.0999999999999994E-2"/>
    <n v="7.0999999999999994E-2"/>
    <m/>
    <n v="1593.45"/>
    <n v="185.74"/>
    <m/>
    <n v="126.32248999999999"/>
    <n v="126.32248999999999"/>
    <n v="70.427030000000002"/>
    <n v="0"/>
    <n v="4.4265067922558234"/>
    <n v="0"/>
    <n v="0"/>
    <n v="0"/>
    <n v="19.155995944927195"/>
    <n v="86.310994931861401"/>
    <n v="13.187844443631157"/>
    <n v="0"/>
    <n v="0"/>
    <n v="0"/>
    <n v="0"/>
    <n v="0"/>
    <n v="0.68409878936879065"/>
    <m/>
    <n v="0.16833158172696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891854329577242"/>
    <n v="0"/>
    <n v="0"/>
    <n v="0"/>
    <n v="0"/>
    <n v="0"/>
    <m/>
    <m/>
    <m/>
    <m/>
    <m/>
    <m/>
    <m/>
    <m/>
    <m/>
    <n v="15.577029876588881"/>
    <m/>
    <m/>
    <m/>
    <m/>
    <m/>
    <m/>
    <m/>
    <m/>
    <m/>
    <m/>
    <m/>
    <m/>
    <n v="69.435100000000006"/>
    <n v="-56.917389999999997"/>
    <m/>
    <m/>
    <m/>
    <m/>
    <n v="-55.895459999999993"/>
    <n v="0"/>
    <n v="31"/>
    <n v="-2.0826282530078544"/>
    <n v="0"/>
    <n v="0"/>
    <n v="0"/>
    <n v="0"/>
    <n v="0"/>
    <n v="0"/>
    <n v="0"/>
    <n v="-1.7634361425084037"/>
    <n v="0"/>
    <n v="0"/>
    <n v="0"/>
    <n v="0"/>
    <n v="0"/>
    <n v="0"/>
    <n v="0"/>
    <n v="0"/>
    <n v="-0.27377362492715562"/>
    <m/>
    <n v="0"/>
    <n v="0"/>
    <n v="0"/>
    <n v="0"/>
    <n v="-3.6676174615512869E-2"/>
    <n v="-8.7423109567836832E-3"/>
    <n v="0"/>
    <n v="0"/>
    <m/>
    <m/>
    <m/>
    <n v="86.310994931861401"/>
    <n v="0"/>
    <n v="0"/>
    <n v="-55.895459999999993"/>
    <n v="0"/>
    <n v="0"/>
    <n v="0"/>
    <n v="-53.812912999572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1479.7449999999999"/>
    <n v="1479.7449999999999"/>
    <n v="1479.7449999999999"/>
    <n v="1479.7449999999999"/>
    <m/>
    <n v="825.6"/>
    <n v="185.74"/>
    <m/>
    <n v="1496525.3082999997"/>
    <n v="1496525.3082999997"/>
    <n v="930315.68149999983"/>
    <n v="0"/>
    <n v="92254.947793050611"/>
    <n v="0"/>
    <n v="0"/>
    <n v="0"/>
    <n v="192857.69066662868"/>
    <n v="869009.52448890498"/>
    <n v="274854.18135550682"/>
    <n v="0"/>
    <n v="0"/>
    <n v="0"/>
    <n v="0"/>
    <n v="0"/>
    <n v="14257.630465838325"/>
    <m/>
    <n v="3508.27910426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794.157725239827"/>
    <n v="0"/>
    <n v="806.52"/>
    <n v="3583.2"/>
    <n v="197067.17"/>
    <n v="5740"/>
    <m/>
    <m/>
    <m/>
    <m/>
    <m/>
    <n v="111631.96279999998"/>
    <m/>
    <m/>
    <m/>
    <n v="324648.33908074663"/>
    <m/>
    <m/>
    <m/>
    <m/>
    <m/>
    <m/>
    <m/>
    <m/>
    <m/>
    <m/>
    <m/>
    <m/>
    <n v="818686.48499999999"/>
    <n v="-498257.00009999971"/>
    <m/>
    <m/>
    <m/>
    <m/>
    <n v="-566209.62679999997"/>
    <n v="0"/>
    <n v="31"/>
    <n v="-24406.2617955358"/>
    <n v="0"/>
    <n v="0"/>
    <n v="0"/>
    <n v="0"/>
    <n v="0"/>
    <n v="0"/>
    <n v="0"/>
    <n v="-17753.826168056665"/>
    <n v="0"/>
    <n v="0"/>
    <n v="0"/>
    <n v="0"/>
    <n v="0"/>
    <n v="0"/>
    <n v="0"/>
    <n v="0"/>
    <n v="-5705.8472199694806"/>
    <m/>
    <n v="0"/>
    <n v="0"/>
    <n v="0"/>
    <n v="0"/>
    <n v="-764.38571840045006"/>
    <n v="-182.20268910909681"/>
    <n v="0"/>
    <n v="0"/>
    <m/>
    <m/>
    <m/>
    <n v="869009.52448890498"/>
    <n v="0"/>
    <n v="0"/>
    <n v="-566209.62679999997"/>
    <n v="0"/>
    <n v="0"/>
    <n v="0"/>
    <n v="-541807.37893288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4.7249999999999996"/>
    <n v="-4.7249999999999996"/>
    <n v="-4.7249999999999996"/>
    <n v="-4.7249999999999996"/>
    <m/>
    <n v="825.6"/>
    <n v="185.74"/>
    <m/>
    <n v="-4778.5815000000002"/>
    <n v="-4778.5815000000002"/>
    <n v="-2970.6075000000001"/>
    <n v="0"/>
    <n v="-294.58090976632064"/>
    <n v="0"/>
    <n v="0"/>
    <n v="0"/>
    <n v="-615.81731203674985"/>
    <n v="-2774.8497228982533"/>
    <n v="-877.64176050925653"/>
    <n v="0"/>
    <n v="0"/>
    <n v="0"/>
    <n v="0"/>
    <n v="0"/>
    <n v="-45.526292672782191"/>
    <m/>
    <n v="-11.202348220562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8.99860803838376"/>
    <n v="0"/>
    <n v="-3.07"/>
    <n v="-13.13"/>
    <n v="-1187.99"/>
    <n v="0"/>
    <m/>
    <m/>
    <m/>
    <m/>
    <m/>
    <n v="-356.45399999999995"/>
    <m/>
    <m/>
    <m/>
    <n v="-1036.6403685476403"/>
    <m/>
    <m/>
    <m/>
    <m/>
    <m/>
    <m/>
    <m/>
    <m/>
    <m/>
    <m/>
    <m/>
    <m/>
    <n v="-2616.9198000000001"/>
    <n v="1588.2056999999982"/>
    <m/>
    <m/>
    <m/>
    <m/>
    <n v="1807.9740000000002"/>
    <n v="0"/>
    <n v="31"/>
    <n v="77.93206733856573"/>
    <n v="0"/>
    <n v="0"/>
    <n v="0"/>
    <n v="0"/>
    <n v="0"/>
    <n v="0"/>
    <n v="0"/>
    <n v="56.690057168003705"/>
    <n v="0"/>
    <n v="0"/>
    <n v="0"/>
    <n v="0"/>
    <n v="0"/>
    <n v="0"/>
    <n v="0"/>
    <n v="0"/>
    <n v="18.219441940574768"/>
    <m/>
    <n v="0"/>
    <n v="0"/>
    <n v="0"/>
    <n v="0"/>
    <n v="2.440773592370391"/>
    <n v="0.58179463761694272"/>
    <n v="0"/>
    <n v="0"/>
    <m/>
    <m/>
    <m/>
    <n v="-2774.8497228982533"/>
    <n v="0"/>
    <n v="0"/>
    <n v="1807.9740000000002"/>
    <n v="0"/>
    <n v="0"/>
    <n v="0"/>
    <n v="1730.0547496074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0.302"/>
    <n v="20.302"/>
    <n v="20.302"/>
    <n v="20.302"/>
    <m/>
    <n v="825.6"/>
    <n v="185.74"/>
    <m/>
    <n v="20532.224679999999"/>
    <n v="20532.224679999999"/>
    <n v="12763.867399999999"/>
    <n v="0"/>
    <n v="1265.7315619208132"/>
    <n v="0"/>
    <n v="0"/>
    <n v="0"/>
    <n v="2645.9943003111316"/>
    <n v="11922.751126831819"/>
    <n v="3770.9805337267571"/>
    <n v="0"/>
    <n v="0"/>
    <n v="0"/>
    <n v="0"/>
    <n v="0"/>
    <n v="195.61371298260829"/>
    <m/>
    <n v="48.133348904520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3.17243182968627"/>
    <n v="0"/>
    <n v="10.73"/>
    <n v="47.36"/>
    <n v="7248.09"/>
    <n v="89"/>
    <m/>
    <m/>
    <m/>
    <m/>
    <m/>
    <n v="1531.5828799999999"/>
    <m/>
    <m/>
    <m/>
    <n v="4454.1529655564436"/>
    <m/>
    <m/>
    <m/>
    <m/>
    <m/>
    <m/>
    <m/>
    <m/>
    <m/>
    <m/>
    <m/>
    <m/>
    <n v="11231.178"/>
    <n v="-6837.2259599999998"/>
    <m/>
    <m/>
    <m/>
    <m/>
    <n v="-7768.3572800000011"/>
    <n v="0"/>
    <n v="31"/>
    <n v="-334.85223938784475"/>
    <n v="0"/>
    <n v="0"/>
    <n v="0"/>
    <n v="0"/>
    <n v="0"/>
    <n v="0"/>
    <n v="0"/>
    <n v="-243.5812784391137"/>
    <n v="0"/>
    <n v="0"/>
    <n v="0"/>
    <n v="0"/>
    <n v="0"/>
    <n v="0"/>
    <n v="0"/>
    <n v="0"/>
    <n v="-78.283832862973441"/>
    <m/>
    <n v="0"/>
    <n v="0"/>
    <n v="0"/>
    <n v="0"/>
    <n v="-10.487319676678055"/>
    <n v="-2.4998084090791934"/>
    <n v="0"/>
    <n v="0"/>
    <m/>
    <m/>
    <m/>
    <n v="11922.751126831819"/>
    <n v="0"/>
    <n v="0"/>
    <n v="-7768.357280000002"/>
    <n v="0"/>
    <n v="0"/>
    <n v="0"/>
    <n v="-7433.560111435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0.651"/>
    <n v="20.651"/>
    <n v="20.651"/>
    <n v="20.651"/>
    <m/>
    <n v="825.6"/>
    <n v="185.74"/>
    <m/>
    <n v="20885.182339999999"/>
    <n v="20885.182339999999"/>
    <n v="12983.2837"/>
    <n v="0"/>
    <n v="1287.4900248855636"/>
    <n v="0"/>
    <n v="0"/>
    <n v="0"/>
    <n v="2691.4800657927881"/>
    <n v="12127.708280967585"/>
    <n v="3835.8052902172822"/>
    <n v="0"/>
    <n v="0"/>
    <n v="0"/>
    <n v="0"/>
    <n v="0"/>
    <n v="198.97639576415347"/>
    <m/>
    <n v="48.960781609065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4.91645600014044"/>
    <n v="0"/>
    <n v="13.14"/>
    <n v="57.58"/>
    <n v="3413.85"/>
    <n v="90"/>
    <m/>
    <m/>
    <m/>
    <m/>
    <m/>
    <m/>
    <m/>
    <m/>
    <m/>
    <n v="4530.7217462174231"/>
    <m/>
    <m/>
    <m/>
    <m/>
    <m/>
    <m/>
    <m/>
    <m/>
    <m/>
    <m/>
    <m/>
    <m/>
    <n v="12982.654999999999"/>
    <n v="-7902.5573399999957"/>
    <m/>
    <m/>
    <m/>
    <m/>
    <n v="-7901.8986400000013"/>
    <n v="0"/>
    <n v="31"/>
    <n v="-340.60849155739925"/>
    <n v="0"/>
    <n v="0"/>
    <n v="0"/>
    <n v="0"/>
    <n v="0"/>
    <n v="0"/>
    <n v="0"/>
    <n v="-247.76854403734296"/>
    <n v="0"/>
    <n v="0"/>
    <n v="0"/>
    <n v="0"/>
    <n v="0"/>
    <n v="0"/>
    <n v="0"/>
    <n v="0"/>
    <n v="-79.629565188319475"/>
    <m/>
    <n v="0"/>
    <n v="0"/>
    <n v="0"/>
    <n v="0"/>
    <n v="-10.667601154717659"/>
    <n v="-2.5427811770216877"/>
    <n v="0"/>
    <n v="0"/>
    <m/>
    <m/>
    <m/>
    <n v="12127.708280967585"/>
    <n v="0"/>
    <n v="0"/>
    <n v="-7901.8986399999994"/>
    <n v="0"/>
    <n v="0"/>
    <n v="0"/>
    <n v="-7561.3461659562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87.48"/>
    <n v="375.05"/>
    <n v="31255.11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1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4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130.39699999999999"/>
    <n v="130.39699999999999"/>
    <n v="130.39699999999999"/>
    <n v="130.39699999999999"/>
    <m/>
    <n v="495.36"/>
    <n v="111.45"/>
    <m/>
    <n v="79126.203569999998"/>
    <n v="79126.203569999998"/>
    <n v="49189.660309999992"/>
    <n v="0"/>
    <n v="4877.7735734347807"/>
    <n v="0"/>
    <n v="0"/>
    <n v="0"/>
    <n v="10196.918100019844"/>
    <n v="45946.930706890686"/>
    <n v="14532.298748587342"/>
    <n v="0"/>
    <n v="0"/>
    <n v="0"/>
    <n v="0"/>
    <n v="0"/>
    <n v="753.84025214638416"/>
    <m/>
    <n v="185.49239376719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2.7544752229928"/>
    <n v="0"/>
    <n v="63.48"/>
    <n v="272.16000000000003"/>
    <n v="22680.51"/>
    <n v="6"/>
    <m/>
    <m/>
    <m/>
    <m/>
    <m/>
    <m/>
    <m/>
    <m/>
    <m/>
    <n v="17165.053223810333"/>
    <m/>
    <m/>
    <m/>
    <m/>
    <m/>
    <m/>
    <m/>
    <m/>
    <m/>
    <m/>
    <m/>
    <m/>
    <n v="49190.792000000001"/>
    <n v="-29935.441569999995"/>
    <m/>
    <m/>
    <m/>
    <m/>
    <n v="-29936.543260000002"/>
    <n v="0"/>
    <n v="31"/>
    <n v="-1290.4263853647099"/>
    <n v="0"/>
    <n v="0"/>
    <n v="0"/>
    <n v="0"/>
    <n v="0"/>
    <n v="0"/>
    <n v="0"/>
    <n v="-938.69376311571796"/>
    <n v="0"/>
    <n v="0"/>
    <n v="0"/>
    <n v="0"/>
    <n v="0"/>
    <n v="0"/>
    <n v="0"/>
    <n v="0"/>
    <n v="-301.68388199684523"/>
    <m/>
    <n v="0"/>
    <n v="0"/>
    <n v="0"/>
    <n v="0"/>
    <n v="-40.415181476103726"/>
    <n v="-9.6335587760422356"/>
    <n v="0"/>
    <n v="0"/>
    <m/>
    <m/>
    <m/>
    <n v="45946.930706890686"/>
    <n v="0"/>
    <n v="0"/>
    <n v="-29936.543260000006"/>
    <n v="0"/>
    <n v="0"/>
    <n v="0"/>
    <n v="-28646.850690103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5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8.4420000000000002"/>
    <n v="7.9354800000000001"/>
    <n v="8.4420000000000002"/>
    <n v="7.9354800000000001"/>
    <m/>
    <n v="825.6"/>
    <n v="185.74"/>
    <m/>
    <n v="8537.7322800000002"/>
    <n v="8537.7322800000002"/>
    <n v="5307.4853999999996"/>
    <n v="0"/>
    <n v="526.31789211582634"/>
    <n v="0"/>
    <n v="0"/>
    <n v="0"/>
    <n v="1100.2602641723265"/>
    <n v="4957.7315049115468"/>
    <n v="1568.0532787765385"/>
    <n v="0"/>
    <n v="0"/>
    <n v="0"/>
    <n v="0"/>
    <n v="0"/>
    <n v="81.340309575370867"/>
    <m/>
    <n v="20.014862154071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.07751302857901"/>
    <n v="0"/>
    <n v="3.92"/>
    <n v="16.91"/>
    <n v="0"/>
    <n v="5"/>
    <m/>
    <m/>
    <m/>
    <m/>
    <n v="318.44912400000004"/>
    <m/>
    <m/>
    <m/>
    <m/>
    <n v="1852.1307918051175"/>
    <m/>
    <m/>
    <m/>
    <m/>
    <m/>
    <m/>
    <m/>
    <m/>
    <m/>
    <m/>
    <m/>
    <m/>
    <n v="4991.8780000000006"/>
    <n v="-3033.6203432000002"/>
    <m/>
    <m/>
    <m/>
    <m/>
    <n v="-3230.2468800000006"/>
    <n v="0"/>
    <n v="31"/>
    <n v="-139.23862697823824"/>
    <n v="0"/>
    <n v="0"/>
    <n v="0"/>
    <n v="0"/>
    <n v="0"/>
    <n v="0"/>
    <n v="0"/>
    <n v="-101.28623547349991"/>
    <n v="0"/>
    <n v="0"/>
    <n v="0"/>
    <n v="0"/>
    <n v="0"/>
    <n v="0"/>
    <n v="0"/>
    <n v="0"/>
    <n v="-32.552069600493667"/>
    <m/>
    <n v="0"/>
    <n v="0"/>
    <n v="0"/>
    <n v="0"/>
    <n v="-4.3608488183684386"/>
    <n v="-1.0394730858756027"/>
    <n v="0"/>
    <n v="0"/>
    <m/>
    <m/>
    <m/>
    <n v="4957.7315049115468"/>
    <n v="0"/>
    <n v="0"/>
    <n v="-3230.2468800000006"/>
    <n v="0"/>
    <n v="0"/>
    <n v="0"/>
    <n v="-3091.031152631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6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504"/>
    <n v="0.504"/>
    <n v="0.504"/>
    <n v="0.504"/>
    <m/>
    <n v="825.6"/>
    <n v="185.74"/>
    <m/>
    <n v="509.71535999999998"/>
    <n v="509.71535999999998"/>
    <n v="316.8648"/>
    <n v="0"/>
    <n v="31.421963708407539"/>
    <n v="0"/>
    <n v="0"/>
    <n v="0"/>
    <n v="65.687179950586653"/>
    <n v="295.98397044248037"/>
    <n v="93.615121120987368"/>
    <n v="0"/>
    <n v="0"/>
    <n v="0"/>
    <n v="0"/>
    <n v="0"/>
    <n v="4.8561378850967678"/>
    <m/>
    <n v="1.1949171435266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59851524094269"/>
    <n v="0"/>
    <n v="0.34"/>
    <n v="1.54"/>
    <n v="128.52000000000001"/>
    <n v="4"/>
    <m/>
    <m/>
    <m/>
    <m/>
    <m/>
    <m/>
    <m/>
    <m/>
    <m/>
    <n v="110.57497264508163"/>
    <m/>
    <m/>
    <m/>
    <m/>
    <m/>
    <m/>
    <m/>
    <m/>
    <m/>
    <m/>
    <m/>
    <m/>
    <n v="314.35000000000002"/>
    <n v="-195.39535999999993"/>
    <m/>
    <m/>
    <m/>
    <m/>
    <n v="-192.85056000000003"/>
    <n v="0"/>
    <n v="31"/>
    <n v="-8.3127538494469775"/>
    <n v="0"/>
    <n v="0"/>
    <n v="0"/>
    <n v="0"/>
    <n v="0"/>
    <n v="0"/>
    <n v="0"/>
    <n v="-6.0469394312537261"/>
    <n v="0"/>
    <n v="0"/>
    <n v="0"/>
    <n v="0"/>
    <n v="0"/>
    <n v="0"/>
    <n v="0"/>
    <n v="0"/>
    <n v="-1.9434071403279773"/>
    <m/>
    <n v="0"/>
    <n v="0"/>
    <n v="0"/>
    <n v="0"/>
    <n v="-0.26034918318617528"/>
    <n v="-6.2058094679140696E-2"/>
    <n v="0"/>
    <n v="0"/>
    <m/>
    <m/>
    <m/>
    <n v="295.98397044248037"/>
    <n v="0"/>
    <n v="0"/>
    <n v="-192.85056"/>
    <n v="0"/>
    <n v="0"/>
    <n v="0"/>
    <n v="-184.53917329146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7"/>
    <s v="Regular"/>
    <s v="Convencional"/>
    <s v="B3"/>
    <s v="Serviço público"/>
    <s v="Tração elétrica"/>
    <s v="Não se aplica"/>
    <s v="Não se aplica"/>
    <s v="Não se aplica"/>
    <s v="CATIVO"/>
    <x v="1"/>
    <n v="0"/>
    <n v="0"/>
    <n v="5.8000000000000003E-2"/>
    <n v="5.8000000000000003E-2"/>
    <n v="5.8000000000000003E-2"/>
    <n v="5.8000000000000003E-2"/>
    <m/>
    <n v="825.6"/>
    <n v="185.74"/>
    <m/>
    <n v="58.657720000000005"/>
    <n v="58.657720000000005"/>
    <n v="36.464600000000004"/>
    <n v="0"/>
    <n v="3.6160196331103918"/>
    <n v="0"/>
    <n v="0"/>
    <n v="0"/>
    <n v="7.5592389625675125"/>
    <n v="34.061647392190203"/>
    <n v="10.773168700431087"/>
    <n v="0"/>
    <n v="0"/>
    <n v="0"/>
    <n v="0"/>
    <n v="0"/>
    <n v="0.55884126455478678"/>
    <m/>
    <n v="0.13751030619949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517289452330708"/>
    <n v="0"/>
    <n v="0.03"/>
    <n v="0.13"/>
    <n v="0"/>
    <n v="1"/>
    <m/>
    <m/>
    <m/>
    <m/>
    <m/>
    <m/>
    <m/>
    <m/>
    <m/>
    <n v="12.724897645664159"/>
    <m/>
    <m/>
    <m/>
    <m/>
    <m/>
    <m/>
    <m/>
    <m/>
    <m/>
    <m/>
    <m/>
    <m/>
    <n v="37.721999999999994"/>
    <n v="-20.965720000000005"/>
    <m/>
    <m/>
    <m/>
    <m/>
    <n v="-22.193120000000004"/>
    <n v="0"/>
    <n v="31"/>
    <n v="-0.95662643505541212"/>
    <n v="0"/>
    <n v="0"/>
    <n v="0"/>
    <n v="0"/>
    <n v="0"/>
    <n v="0"/>
    <n v="0"/>
    <n v="-0.69587795042205602"/>
    <n v="0"/>
    <n v="0"/>
    <n v="0"/>
    <n v="0"/>
    <n v="0"/>
    <n v="0"/>
    <n v="0"/>
    <n v="0"/>
    <n v="-0.22364605979964836"/>
    <m/>
    <n v="0"/>
    <n v="0"/>
    <n v="0"/>
    <n v="0"/>
    <n v="-2.9960818699996339E-2"/>
    <n v="-7.1416061337106207E-3"/>
    <n v="0"/>
    <n v="0"/>
    <m/>
    <m/>
    <m/>
    <n v="34.061647392190203"/>
    <n v="0"/>
    <n v="0"/>
    <n v="-22.193120000000004"/>
    <n v="0"/>
    <n v="0"/>
    <n v="0"/>
    <n v="-21.236650894652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8"/>
    <s v="Regular"/>
    <s v="Convencional"/>
    <s v="B1"/>
    <s v="Residencial"/>
    <s v="Residencial"/>
    <s v="Não se aplica"/>
    <s v="Não se aplica"/>
    <s v="Não se aplica"/>
    <s v="CATIVO"/>
    <x v="2"/>
    <n v="0"/>
    <n v="0"/>
    <n v="1202.6389999999999"/>
    <n v="1202.6389999999999"/>
    <n v="1202.6389999999999"/>
    <n v="1202.6389999999999"/>
    <m/>
    <n v="825.6"/>
    <n v="185.74"/>
    <m/>
    <n v="1216276.9262599999"/>
    <n v="1216276.9262599999"/>
    <n v="756099.13929999992"/>
    <n v="0"/>
    <n v="74978.728199038756"/>
    <n v="0"/>
    <n v="0"/>
    <n v="0"/>
    <n v="156741.99287419362"/>
    <n v="706273.54410510743"/>
    <n v="223383.32470203002"/>
    <n v="0"/>
    <n v="0"/>
    <n v="0"/>
    <n v="0"/>
    <n v="0"/>
    <n v="11587.660337291451"/>
    <m/>
    <n v="2851.2975368526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69.402533899221"/>
    <n v="0"/>
    <n v="700.06"/>
    <n v="3630.56"/>
    <n v="189048.81"/>
    <n v="8057"/>
    <m/>
    <m/>
    <m/>
    <m/>
    <m/>
    <m/>
    <m/>
    <m/>
    <m/>
    <n v="263852.72723592923"/>
    <m/>
    <m/>
    <m/>
    <m/>
    <m/>
    <m/>
    <m/>
    <m/>
    <m/>
    <m/>
    <m/>
    <m/>
    <n v="756099.76800000004"/>
    <n v="-460177.18825999985"/>
    <m/>
    <m/>
    <m/>
    <m/>
    <n v="-460177.78696"/>
    <n v="0"/>
    <n v="30"/>
    <n v="-19835.797572906944"/>
    <n v="0"/>
    <n v="0"/>
    <n v="0"/>
    <n v="0"/>
    <n v="0"/>
    <n v="0"/>
    <n v="0"/>
    <n v="-14429.137283062621"/>
    <n v="0"/>
    <n v="0"/>
    <n v="0"/>
    <n v="0"/>
    <n v="0"/>
    <n v="0"/>
    <n v="0"/>
    <n v="0"/>
    <n v="-4637.335753644642"/>
    <m/>
    <n v="0"/>
    <n v="0"/>
    <n v="0"/>
    <n v="0"/>
    <n v="-621.24222483698213"/>
    <n v="-148.08231136275162"/>
    <n v="0"/>
    <n v="0"/>
    <m/>
    <m/>
    <m/>
    <n v="706273.54410510743"/>
    <n v="0"/>
    <n v="0"/>
    <n v="-460177.78696000006"/>
    <n v="0"/>
    <n v="0"/>
    <n v="0"/>
    <n v="-440345.25164299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79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2.8410000000000002"/>
    <n v="-2.8410000000000002"/>
    <n v="-2.8410000000000002"/>
    <n v="-2.8410000000000002"/>
    <m/>
    <n v="825.6"/>
    <n v="185.74"/>
    <m/>
    <n v="-2873.2169400000002"/>
    <n v="-2873.2169400000002"/>
    <n v="-1786.1367"/>
    <n v="0"/>
    <n v="-177.12261685632109"/>
    <n v="0"/>
    <n v="0"/>
    <n v="0"/>
    <n v="-370.27237745955699"/>
    <n v="-1668.4334524346962"/>
    <n v="-527.69952203318485"/>
    <n v="0"/>
    <n v="0"/>
    <n v="0"/>
    <n v="0"/>
    <n v="0"/>
    <n v="-27.373586768968092"/>
    <m/>
    <n v="-6.7356341364270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5.601067817364736"/>
    <n v="0"/>
    <n v="-1.86"/>
    <n v="-8.2799999999999994"/>
    <n v="-596.24"/>
    <n v="0"/>
    <m/>
    <m/>
    <m/>
    <m/>
    <m/>
    <m/>
    <m/>
    <m/>
    <m/>
    <n v="-623.30058985054961"/>
    <m/>
    <m/>
    <m/>
    <m/>
    <m/>
    <m/>
    <m/>
    <m/>
    <m/>
    <m/>
    <m/>
    <m/>
    <n v="-1785.508"/>
    <n v="1087.6789399999996"/>
    <m/>
    <m/>
    <m/>
    <m/>
    <n v="1087.0802400000002"/>
    <n v="0"/>
    <n v="30"/>
    <n v="46.858201758490168"/>
    <n v="0"/>
    <n v="0"/>
    <n v="0"/>
    <n v="0"/>
    <n v="0"/>
    <n v="0"/>
    <n v="0"/>
    <n v="34.08602167498384"/>
    <n v="0"/>
    <n v="0"/>
    <n v="0"/>
    <n v="0"/>
    <n v="0"/>
    <n v="0"/>
    <n v="0"/>
    <n v="0"/>
    <n v="10.954800963634511"/>
    <m/>
    <n v="0"/>
    <n v="0"/>
    <n v="0"/>
    <n v="0"/>
    <n v="1.4675635504601665"/>
    <n v="0.34981556941158409"/>
    <n v="0"/>
    <n v="0"/>
    <m/>
    <m/>
    <m/>
    <n v="-1668.4334524346962"/>
    <n v="0"/>
    <n v="0"/>
    <n v="1087.0802400000002"/>
    <n v="0"/>
    <n v="0"/>
    <n v="0"/>
    <n v="1040.2297446846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0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8.9350000000000005"/>
    <n v="8.9350000000000005"/>
    <n v="8.9350000000000005"/>
    <n v="8.9350000000000005"/>
    <m/>
    <n v="825.6"/>
    <n v="185.74"/>
    <m/>
    <n v="9036.322900000001"/>
    <n v="9036.322900000001"/>
    <n v="5617.4345000000003"/>
    <n v="0"/>
    <n v="557.05405899726463"/>
    <n v="0"/>
    <n v="0"/>
    <n v="0"/>
    <n v="1164.5137953541505"/>
    <n v="5247.2555077451634"/>
    <n v="1659.6252127302027"/>
    <n v="0"/>
    <n v="0"/>
    <n v="0"/>
    <n v="0"/>
    <n v="0"/>
    <n v="86.09046032408655"/>
    <m/>
    <n v="21.183699756767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.66720906306017"/>
    <n v="0"/>
    <n v="4.53"/>
    <n v="23.32"/>
    <n v="3347.22"/>
    <n v="51"/>
    <m/>
    <m/>
    <m/>
    <m/>
    <m/>
    <m/>
    <m/>
    <m/>
    <m/>
    <n v="1960.292421793263"/>
    <m/>
    <m/>
    <m/>
    <m/>
    <m/>
    <m/>
    <m/>
    <m/>
    <m/>
    <m/>
    <m/>
    <m/>
    <n v="5620.5779999999995"/>
    <n v="-3415.7749000000022"/>
    <m/>
    <m/>
    <m/>
    <m/>
    <n v="-3418.8884000000007"/>
    <n v="0"/>
    <n v="30"/>
    <n v="-147.36995167620898"/>
    <n v="0"/>
    <n v="0"/>
    <n v="0"/>
    <n v="0"/>
    <n v="0"/>
    <n v="0"/>
    <n v="0"/>
    <n v="-107.20119805208742"/>
    <n v="0"/>
    <n v="0"/>
    <n v="0"/>
    <n v="0"/>
    <n v="0"/>
    <n v="0"/>
    <n v="0"/>
    <n v="0"/>
    <n v="-34.453061108790621"/>
    <m/>
    <n v="0"/>
    <n v="0"/>
    <n v="0"/>
    <n v="0"/>
    <n v="-4.6155157773184072"/>
    <n v="-1.100176738012145"/>
    <n v="0"/>
    <n v="0"/>
    <m/>
    <m/>
    <m/>
    <n v="5247.2555077451634"/>
    <n v="0"/>
    <n v="0"/>
    <n v="-3418.8884000000007"/>
    <n v="0"/>
    <n v="0"/>
    <n v="0"/>
    <n v="-3271.5426852365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1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6.03"/>
    <n v="6.03"/>
    <n v="6.03"/>
    <n v="6.03"/>
    <m/>
    <n v="753.62"/>
    <n v="185.74"/>
    <m/>
    <n v="5664.3407999999999"/>
    <n v="5664.3407999999999"/>
    <n v="3383.3727000000003"/>
    <n v="0"/>
    <n v="0"/>
    <n v="0"/>
    <n v="0"/>
    <n v="0"/>
    <n v="785.90018869451899"/>
    <n v="3541.2367892225334"/>
    <n v="1120.0380562689561"/>
    <n v="0"/>
    <n v="0"/>
    <n v="0"/>
    <n v="0"/>
    <n v="0"/>
    <n v="0"/>
    <m/>
    <n v="14.296330110051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91250930612787"/>
    <n v="0"/>
    <n v="0"/>
    <n v="4.1399999999999997"/>
    <n v="161.99"/>
    <n v="11"/>
    <m/>
    <m/>
    <m/>
    <m/>
    <m/>
    <m/>
    <m/>
    <n v="2199.2013000000002"/>
    <m/>
    <n v="1322.9505655750841"/>
    <m/>
    <m/>
    <m/>
    <m/>
    <m/>
    <m/>
    <m/>
    <m/>
    <m/>
    <m/>
    <m/>
    <m/>
    <n v="1184.1714000000002"/>
    <n v="-798.40199999999982"/>
    <m/>
    <m/>
    <m/>
    <m/>
    <n v="-2280.9681"/>
    <n v="0"/>
    <n v="30"/>
    <n v="-73.089791828125726"/>
    <n v="0"/>
    <n v="0"/>
    <n v="0"/>
    <n v="0"/>
    <n v="0"/>
    <n v="0"/>
    <n v="0"/>
    <n v="-72.347311052500004"/>
    <n v="0"/>
    <n v="0"/>
    <n v="0"/>
    <n v="0"/>
    <n v="0"/>
    <n v="0"/>
    <n v="0"/>
    <n v="0"/>
    <n v="0"/>
    <m/>
    <n v="0"/>
    <n v="0"/>
    <n v="0"/>
    <n v="0"/>
    <n v="0"/>
    <n v="-0.74248077562543102"/>
    <n v="0"/>
    <n v="0"/>
    <m/>
    <m/>
    <m/>
    <n v="3541.2367892225334"/>
    <n v="0"/>
    <n v="0"/>
    <n v="-2280.9680999999996"/>
    <n v="0"/>
    <n v="0"/>
    <n v="0"/>
    <n v="-2207.879394737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2"/>
    <s v="Refaturamento - 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-5.0000000000000001E-3"/>
    <n v="-5.0000000000000001E-3"/>
    <n v="-5.0000000000000001E-3"/>
    <n v="-5.0000000000000001E-3"/>
    <m/>
    <n v="753.62"/>
    <n v="185.74"/>
    <m/>
    <n v="-4.6967999999999996"/>
    <n v="-4.6967999999999996"/>
    <n v="-2.8054500000000004"/>
    <n v="0"/>
    <n v="0"/>
    <n v="0"/>
    <n v="0"/>
    <n v="0"/>
    <n v="-0.65165853125582007"/>
    <n v="-2.9363489131198452"/>
    <n v="-0.92872143969233512"/>
    <n v="0"/>
    <n v="0"/>
    <n v="0"/>
    <n v="0"/>
    <n v="0"/>
    <n v="0"/>
    <m/>
    <n v="-1.185433674133584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168252495278713"/>
    <n v="0"/>
    <n v="0"/>
    <n v="0.01"/>
    <n v="0.19"/>
    <n v="0"/>
    <m/>
    <m/>
    <m/>
    <m/>
    <m/>
    <m/>
    <m/>
    <n v="-1.8235500000000002"/>
    <m/>
    <n v="-1.0969739349710481"/>
    <m/>
    <m/>
    <m/>
    <m/>
    <m/>
    <m/>
    <m/>
    <m/>
    <m/>
    <m/>
    <m/>
    <m/>
    <n v="-1.9638"/>
    <n v="-0.3499000000000001"/>
    <m/>
    <m/>
    <m/>
    <m/>
    <n v="1.8913499999999999"/>
    <n v="0"/>
    <n v="30"/>
    <n v="6.0605134185842013E-2"/>
    <n v="0"/>
    <n v="0"/>
    <n v="0"/>
    <n v="0"/>
    <n v="0"/>
    <n v="0"/>
    <n v="0"/>
    <n v="5.9989478484660075E-2"/>
    <n v="0"/>
    <n v="0"/>
    <n v="0"/>
    <n v="0"/>
    <n v="0"/>
    <n v="0"/>
    <n v="0"/>
    <n v="0"/>
    <n v="0"/>
    <m/>
    <n v="0"/>
    <n v="0"/>
    <n v="0"/>
    <n v="0"/>
    <n v="0"/>
    <n v="6.1565570118194898E-4"/>
    <n v="0"/>
    <n v="0"/>
    <m/>
    <m/>
    <m/>
    <n v="-2.9363489131198452"/>
    <n v="0"/>
    <n v="0"/>
    <n v="1.8913499999999999"/>
    <n v="0"/>
    <n v="0"/>
    <n v="0"/>
    <n v="1.8307457667803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3"/>
    <s v="Sistema de Compensação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03"/>
    <n v="1.0500000000000001E-2"/>
    <n v="0.03"/>
    <n v="1.0500000000000001E-2"/>
    <m/>
    <n v="753.62"/>
    <n v="185.74"/>
    <m/>
    <n v="28.180799999999998"/>
    <n v="28.180799999999998"/>
    <n v="16.832700000000003"/>
    <n v="0"/>
    <n v="0"/>
    <n v="0"/>
    <n v="0"/>
    <n v="0"/>
    <n v="3.90995118753492"/>
    <n v="17.618093478719071"/>
    <n v="5.5723286381540102"/>
    <n v="0"/>
    <n v="0"/>
    <n v="0"/>
    <n v="0"/>
    <n v="0"/>
    <n v="0"/>
    <m/>
    <n v="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9514971672278"/>
    <n v="0"/>
    <n v="0"/>
    <n v="0.02"/>
    <n v="0.8"/>
    <n v="0"/>
    <m/>
    <m/>
    <m/>
    <m/>
    <m/>
    <m/>
    <m/>
    <n v="14.770709999999999"/>
    <m/>
    <n v="6.5818436098262882"/>
    <m/>
    <m/>
    <m/>
    <m/>
    <m/>
    <m/>
    <m/>
    <m/>
    <m/>
    <m/>
    <m/>
    <m/>
    <n v="1.9638"/>
    <n v="-1.5183899999999997"/>
    <m/>
    <m/>
    <m/>
    <m/>
    <n v="-11.348099999999999"/>
    <n v="0"/>
    <n v="30"/>
    <n v="-0.36363080511505075"/>
    <n v="0"/>
    <n v="0"/>
    <n v="0"/>
    <n v="0"/>
    <n v="0"/>
    <n v="0"/>
    <n v="0"/>
    <n v="-0.35993687090796023"/>
    <n v="0"/>
    <n v="0"/>
    <n v="0"/>
    <n v="0"/>
    <n v="0"/>
    <n v="0"/>
    <n v="0"/>
    <n v="0"/>
    <n v="0"/>
    <m/>
    <n v="0"/>
    <n v="0"/>
    <n v="0"/>
    <n v="0"/>
    <n v="0"/>
    <n v="-3.6939342070917008E-3"/>
    <n v="0"/>
    <n v="0"/>
    <m/>
    <m/>
    <m/>
    <n v="17.618093478719071"/>
    <n v="0"/>
    <n v="0"/>
    <n v="-11.348099999999999"/>
    <n v="0"/>
    <n v="0"/>
    <n v="0"/>
    <n v="-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4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2.07"/>
    <n v="12.07"/>
    <n v="12.07"/>
    <n v="12.07"/>
    <m/>
    <n v="753.62"/>
    <n v="185.74"/>
    <m/>
    <n v="11338.075199999999"/>
    <n v="11338.075199999999"/>
    <n v="6772.3563000000004"/>
    <n v="0"/>
    <n v="0"/>
    <n v="0"/>
    <n v="0"/>
    <n v="0"/>
    <n v="1573.1036944515497"/>
    <n v="7088.3462762713061"/>
    <n v="2241.9335554172967"/>
    <n v="0"/>
    <n v="0"/>
    <n v="0"/>
    <n v="0"/>
    <n v="0"/>
    <n v="0"/>
    <m/>
    <n v="28.616368893584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.16152360281319"/>
    <n v="0"/>
    <n v="3.34"/>
    <n v="16.36"/>
    <n v="572.91"/>
    <n v="48"/>
    <m/>
    <m/>
    <m/>
    <m/>
    <m/>
    <m/>
    <m/>
    <n v="2708.8701000000005"/>
    <m/>
    <n v="2648.09507902011"/>
    <m/>
    <m/>
    <m/>
    <m/>
    <m/>
    <m/>
    <m/>
    <m/>
    <m/>
    <m/>
    <m/>
    <m/>
    <n v="4063.4862000000003"/>
    <n v="-2739.4372000000012"/>
    <m/>
    <m/>
    <m/>
    <m/>
    <n v="-4565.7188999999998"/>
    <n v="0"/>
    <n v="30"/>
    <n v="-146.30079392462267"/>
    <n v="0"/>
    <n v="0"/>
    <n v="0"/>
    <n v="0"/>
    <n v="0"/>
    <n v="0"/>
    <n v="0"/>
    <n v="-144.81460106196937"/>
    <n v="0"/>
    <n v="0"/>
    <n v="0"/>
    <n v="0"/>
    <n v="0"/>
    <n v="0"/>
    <n v="0"/>
    <n v="0"/>
    <n v="0"/>
    <m/>
    <n v="0"/>
    <n v="0"/>
    <n v="0"/>
    <n v="0"/>
    <n v="0"/>
    <n v="-1.4861928626532261"/>
    <n v="0"/>
    <n v="0"/>
    <m/>
    <m/>
    <m/>
    <n v="7088.3462762713061"/>
    <n v="0"/>
    <n v="0"/>
    <n v="-4565.7188999999998"/>
    <n v="0"/>
    <n v="0"/>
    <n v="0"/>
    <n v="-4419.42028100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5"/>
    <s v="Refaturamento - 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-5.1999999999999998E-2"/>
    <n v="-5.1999999999999998E-2"/>
    <n v="-5.1999999999999998E-2"/>
    <n v="-5.1999999999999998E-2"/>
    <m/>
    <n v="753.62"/>
    <n v="185.74"/>
    <m/>
    <n v="-48.846720000000005"/>
    <n v="-48.846720000000005"/>
    <n v="-29.176680000000001"/>
    <n v="0"/>
    <n v="0"/>
    <n v="0"/>
    <n v="0"/>
    <n v="0"/>
    <n v="-6.7772487250605282"/>
    <n v="-30.538028696446389"/>
    <n v="-9.6587029728002847"/>
    <n v="0"/>
    <n v="0"/>
    <n v="0"/>
    <n v="0"/>
    <n v="0"/>
    <n v="0"/>
    <m/>
    <n v="-0.12328510210989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7498259508986151"/>
    <n v="0"/>
    <n v="-0.02"/>
    <n v="-0.08"/>
    <n v="-3.41"/>
    <n v="0"/>
    <m/>
    <m/>
    <m/>
    <m/>
    <m/>
    <m/>
    <m/>
    <n v="-11.670360000000001"/>
    <m/>
    <n v="-11.408528923698899"/>
    <m/>
    <m/>
    <m/>
    <m/>
    <m/>
    <m/>
    <m/>
    <m/>
    <m/>
    <m/>
    <m/>
    <m/>
    <n v="-16.833000000000002"/>
    <n v="12.445239999999995"/>
    <m/>
    <m/>
    <m/>
    <m/>
    <n v="19.670039999999997"/>
    <n v="0"/>
    <n v="30"/>
    <n v="0.63029339553275676"/>
    <n v="0"/>
    <n v="0"/>
    <n v="0"/>
    <n v="0"/>
    <n v="0"/>
    <n v="0"/>
    <n v="0"/>
    <n v="0.62389057624046451"/>
    <n v="0"/>
    <n v="0"/>
    <n v="0"/>
    <n v="0"/>
    <n v="0"/>
    <n v="0"/>
    <n v="0"/>
    <n v="0"/>
    <n v="0"/>
    <m/>
    <n v="0"/>
    <n v="0"/>
    <n v="0"/>
    <n v="0"/>
    <n v="0"/>
    <n v="6.4028192922922778E-3"/>
    <n v="0"/>
    <n v="0"/>
    <m/>
    <m/>
    <m/>
    <n v="-30.538028696446389"/>
    <n v="0"/>
    <n v="0"/>
    <n v="19.67004"/>
    <n v="0"/>
    <n v="0"/>
    <n v="0"/>
    <n v="19.03975597451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6"/>
    <s v="Sistema de Compensação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2.8000000000000001E-2"/>
    <n v="1.6799999999999999E-2"/>
    <n v="2.8000000000000001E-2"/>
    <n v="1.6799999999999999E-2"/>
    <m/>
    <n v="753.62"/>
    <n v="185.74"/>
    <m/>
    <n v="26.30208"/>
    <n v="26.30208"/>
    <n v="15.710520000000001"/>
    <n v="0"/>
    <n v="0"/>
    <n v="0"/>
    <n v="0"/>
    <n v="0"/>
    <n v="3.6492877750325925"/>
    <n v="16.443553913471135"/>
    <n v="5.2008400622770763"/>
    <n v="0"/>
    <n v="0"/>
    <n v="0"/>
    <n v="0"/>
    <n v="0"/>
    <n v="0"/>
    <m/>
    <n v="6.63842857514807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221397356079284"/>
    <n v="0"/>
    <n v="0.01"/>
    <n v="0.04"/>
    <n v="3.22"/>
    <n v="0"/>
    <m/>
    <m/>
    <m/>
    <m/>
    <m/>
    <m/>
    <m/>
    <n v="10.054632000000002"/>
    <m/>
    <n v="6.1430540358378689"/>
    <m/>
    <m/>
    <m/>
    <m/>
    <m/>
    <m/>
    <m/>
    <m/>
    <m/>
    <m/>
    <m/>
    <m/>
    <n v="6.7332000000000001"/>
    <n v="-2.7656159999999996"/>
    <m/>
    <m/>
    <m/>
    <m/>
    <n v="-10.591559999999999"/>
    <n v="0"/>
    <n v="30"/>
    <n v="-0.33938875144071545"/>
    <n v="0"/>
    <n v="0"/>
    <n v="0"/>
    <n v="0"/>
    <n v="0"/>
    <n v="0"/>
    <n v="0"/>
    <n v="-0.33594107951409624"/>
    <n v="0"/>
    <n v="0"/>
    <n v="0"/>
    <n v="0"/>
    <n v="0"/>
    <n v="0"/>
    <n v="0"/>
    <n v="0"/>
    <n v="0"/>
    <m/>
    <n v="0"/>
    <n v="0"/>
    <n v="0"/>
    <n v="0"/>
    <n v="0"/>
    <n v="-3.4476719266189199E-3"/>
    <n v="0"/>
    <n v="0"/>
    <m/>
    <m/>
    <m/>
    <n v="16.443553913471135"/>
    <n v="0"/>
    <n v="0"/>
    <n v="-10.591559999999999"/>
    <n v="0"/>
    <n v="0"/>
    <n v="0"/>
    <n v="-10.252176293970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7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0.247999999999999"/>
    <n v="10.247999999999999"/>
    <n v="10.247999999999999"/>
    <n v="10.247999999999999"/>
    <m/>
    <n v="753.62"/>
    <n v="185.74"/>
    <m/>
    <n v="9626.5612799999999"/>
    <n v="9626.5612799999999"/>
    <n v="5750.0503200000003"/>
    <n v="0"/>
    <n v="0"/>
    <n v="0"/>
    <n v="0"/>
    <n v="0"/>
    <n v="1335.6393256619288"/>
    <n v="6018.3407323304345"/>
    <n v="1903.5074627934098"/>
    <n v="0"/>
    <n v="0"/>
    <n v="0"/>
    <n v="0"/>
    <n v="0"/>
    <n v="0"/>
    <m/>
    <n v="24.296648585041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.85031432325013"/>
    <n v="0"/>
    <n v="4.7699999999999996"/>
    <n v="23.43"/>
    <n v="1252.42"/>
    <n v="106"/>
    <m/>
    <m/>
    <m/>
    <m/>
    <m/>
    <m/>
    <m/>
    <n v="574.91280000000052"/>
    <m/>
    <n v="2248.3577771166601"/>
    <m/>
    <m/>
    <m/>
    <m/>
    <m/>
    <m/>
    <m/>
    <m/>
    <m/>
    <m/>
    <m/>
    <m/>
    <n v="5176.1474999999991"/>
    <n v="-3487.8491400000003"/>
    <m/>
    <m/>
    <m/>
    <m/>
    <n v="-3876.5109599999996"/>
    <n v="0"/>
    <n v="30"/>
    <n v="-124.21628302730187"/>
    <n v="0"/>
    <n v="0"/>
    <n v="0"/>
    <n v="0"/>
    <n v="0"/>
    <n v="0"/>
    <n v="0"/>
    <n v="-122.95443510215932"/>
    <n v="0"/>
    <n v="0"/>
    <n v="0"/>
    <n v="0"/>
    <n v="0"/>
    <n v="0"/>
    <n v="0"/>
    <n v="0"/>
    <n v="0"/>
    <m/>
    <n v="0"/>
    <n v="0"/>
    <n v="0"/>
    <n v="0"/>
    <n v="0"/>
    <n v="-1.2618479251425221"/>
    <n v="0"/>
    <n v="0"/>
    <m/>
    <m/>
    <m/>
    <n v="6018.3407323304345"/>
    <n v="0"/>
    <n v="0"/>
    <n v="-3876.5109599999996"/>
    <n v="0"/>
    <n v="0"/>
    <n v="0"/>
    <n v="-3752.2965235930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8"/>
    <s v="Refaturamento - 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4.7E-2"/>
    <n v="4.7E-2"/>
    <n v="4.7E-2"/>
    <n v="4.7E-2"/>
    <m/>
    <n v="753.62"/>
    <n v="185.74"/>
    <m/>
    <n v="44.149920000000002"/>
    <n v="44.149920000000002"/>
    <n v="26.371230000000004"/>
    <n v="0"/>
    <n v="0"/>
    <n v="0"/>
    <n v="0"/>
    <n v="0"/>
    <n v="6.1255901938047082"/>
    <n v="27.601679783326546"/>
    <n v="8.7299815331079493"/>
    <n v="0"/>
    <n v="0"/>
    <n v="0"/>
    <n v="0"/>
    <n v="0"/>
    <n v="0"/>
    <m/>
    <n v="0.11143076536855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815734556199021"/>
    <n v="0"/>
    <n v="0.01"/>
    <n v="0.03"/>
    <n v="5.0999999999999996"/>
    <n v="0"/>
    <m/>
    <m/>
    <m/>
    <m/>
    <m/>
    <m/>
    <m/>
    <n v="2.6367000000000025"/>
    <m/>
    <n v="10.311554988727851"/>
    <m/>
    <m/>
    <m/>
    <m/>
    <m/>
    <m/>
    <m/>
    <m/>
    <m/>
    <m/>
    <m/>
    <m/>
    <n v="25.249500000000001"/>
    <n v="-14.515710000000002"/>
    <m/>
    <m/>
    <m/>
    <m/>
    <n v="-17.778689999999997"/>
    <n v="0"/>
    <n v="30"/>
    <n v="-0.56968826134691675"/>
    <n v="0"/>
    <n v="0"/>
    <n v="0"/>
    <n v="0"/>
    <n v="0"/>
    <n v="0"/>
    <n v="0"/>
    <n v="-0.56390109775580388"/>
    <n v="0"/>
    <n v="0"/>
    <n v="0"/>
    <n v="0"/>
    <n v="0"/>
    <n v="0"/>
    <n v="0"/>
    <n v="0"/>
    <n v="0"/>
    <m/>
    <n v="0"/>
    <n v="0"/>
    <n v="0"/>
    <n v="0"/>
    <n v="0"/>
    <n v="-5.7871635911103253E-3"/>
    <n v="0"/>
    <n v="0"/>
    <m/>
    <m/>
    <m/>
    <n v="27.601679783326546"/>
    <n v="0"/>
    <n v="0"/>
    <n v="-17.778690000000001"/>
    <n v="0"/>
    <n v="0"/>
    <n v="0"/>
    <n v="-17.209010207735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89"/>
    <s v="Sistema de Compensação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19000000000000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5720000000000001"/>
    <n v="2.5720000000000001"/>
    <n v="2.5720000000000001"/>
    <n v="2.5720000000000001"/>
    <m/>
    <n v="753.62"/>
    <n v="185.74"/>
    <m/>
    <n v="2416.0339200000003"/>
    <n v="2416.0339200000003"/>
    <n v="1443.1234800000002"/>
    <n v="0"/>
    <n v="0"/>
    <n v="0"/>
    <n v="0"/>
    <n v="0"/>
    <n v="335.21314847799385"/>
    <n v="1510.4578809088484"/>
    <n v="477.73430857773718"/>
    <n v="0"/>
    <n v="0"/>
    <n v="0"/>
    <n v="0"/>
    <n v="0"/>
    <n v="0"/>
    <m/>
    <n v="6.0978708197431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549083571369962"/>
    <n v="0"/>
    <n v="1.57"/>
    <n v="8.25"/>
    <n v="633.91"/>
    <n v="36"/>
    <m/>
    <m/>
    <m/>
    <m/>
    <m/>
    <m/>
    <m/>
    <m/>
    <m/>
    <n v="564.28339214910716"/>
    <m/>
    <m/>
    <m/>
    <m/>
    <m/>
    <m/>
    <m/>
    <m/>
    <m/>
    <m/>
    <m/>
    <m/>
    <n v="1442.0012999999999"/>
    <n v="-974.06262000000061"/>
    <m/>
    <m/>
    <m/>
    <m/>
    <n v="-972.91043999999999"/>
    <n v="0"/>
    <n v="30"/>
    <n v="-31.175281025197137"/>
    <n v="0"/>
    <n v="0"/>
    <n v="0"/>
    <n v="0"/>
    <n v="0"/>
    <n v="0"/>
    <n v="0"/>
    <n v="-30.858587732509136"/>
    <n v="0"/>
    <n v="0"/>
    <n v="0"/>
    <n v="0"/>
    <n v="0"/>
    <n v="0"/>
    <n v="0"/>
    <n v="0"/>
    <n v="0"/>
    <m/>
    <n v="0"/>
    <n v="0"/>
    <n v="0"/>
    <n v="0"/>
    <n v="0"/>
    <n v="-0.31669329268799462"/>
    <n v="0"/>
    <n v="0"/>
    <m/>
    <m/>
    <m/>
    <n v="1510.4578809088484"/>
    <n v="0"/>
    <n v="0"/>
    <n v="-972.91044000000011"/>
    <n v="0"/>
    <n v="0"/>
    <n v="0"/>
    <n v="-941.73562243182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1"/>
    <s v="Refaturamento - 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01"/>
    <n v="0.01"/>
    <n v="0.01"/>
    <n v="0.01"/>
    <m/>
    <n v="753.62"/>
    <n v="185.74"/>
    <m/>
    <n v="9.3935999999999993"/>
    <n v="9.3935999999999993"/>
    <n v="5.6109000000000009"/>
    <n v="0"/>
    <n v="0"/>
    <n v="0"/>
    <n v="0"/>
    <n v="0"/>
    <n v="1.3033170625116401"/>
    <n v="5.8726978262396905"/>
    <n v="1.8574428793846702"/>
    <n v="0"/>
    <n v="0"/>
    <n v="0"/>
    <n v="0"/>
    <n v="0"/>
    <n v="0"/>
    <m/>
    <n v="2.37086734826716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36504990557426"/>
    <n v="0"/>
    <n v="0.02"/>
    <n v="0.1"/>
    <n v="6.31"/>
    <n v="0"/>
    <m/>
    <m/>
    <m/>
    <m/>
    <m/>
    <m/>
    <m/>
    <m/>
    <m/>
    <n v="2.1939478699420962"/>
    <m/>
    <m/>
    <m/>
    <m/>
    <m/>
    <m/>
    <m/>
    <m/>
    <m/>
    <m/>
    <m/>
    <m/>
    <n v="5.6109000000000009"/>
    <n v="-3.8126999999999978"/>
    <m/>
    <m/>
    <m/>
    <m/>
    <n v="-3.7826999999999997"/>
    <n v="0"/>
    <n v="30"/>
    <n v="-0.12121026837168403"/>
    <n v="0"/>
    <n v="0"/>
    <n v="0"/>
    <n v="0"/>
    <n v="0"/>
    <n v="0"/>
    <n v="0"/>
    <n v="-0.11997895696932015"/>
    <n v="0"/>
    <n v="0"/>
    <n v="0"/>
    <n v="0"/>
    <n v="0"/>
    <n v="0"/>
    <n v="0"/>
    <n v="0"/>
    <n v="0"/>
    <m/>
    <n v="0"/>
    <n v="0"/>
    <n v="0"/>
    <n v="0"/>
    <n v="0"/>
    <n v="-1.231311402363898E-3"/>
    <n v="0"/>
    <n v="0"/>
    <m/>
    <m/>
    <m/>
    <n v="5.8726978262396905"/>
    <n v="0"/>
    <n v="0"/>
    <n v="-3.7826999999999997"/>
    <n v="0"/>
    <n v="0"/>
    <n v="0"/>
    <n v="-3.6614915335607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2"/>
    <s v="Regular"/>
    <s v="Branca"/>
    <s v="B1"/>
    <s v="Residencial"/>
    <s v="Residencial"/>
    <s v="Não se aplica"/>
    <s v="Não se aplica"/>
    <s v="Ponta"/>
    <s v="CATIVO"/>
    <x v="2"/>
    <n v="0"/>
    <n v="0"/>
    <n v="3.3000000000000002E-2"/>
    <n v="3.3000000000000002E-2"/>
    <n v="3.3000000000000002E-2"/>
    <n v="3.3000000000000002E-2"/>
    <m/>
    <n v="2045.69"/>
    <n v="185.74"/>
    <m/>
    <n v="73.637190000000004"/>
    <n v="73.637190000000004"/>
    <n v="39.795360000000002"/>
    <n v="0"/>
    <n v="2.0573904809076367"/>
    <n v="0"/>
    <n v="0"/>
    <n v="0"/>
    <n v="11.617867308244"/>
    <n v="52.325721307353454"/>
    <n v="6.1295615019694116"/>
    <n v="0"/>
    <n v="0"/>
    <n v="0"/>
    <n v="0"/>
    <n v="0"/>
    <n v="0.31796140914324078"/>
    <m/>
    <n v="7.82386224928166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104664688395058"/>
    <n v="0"/>
    <n v="0"/>
    <n v="0"/>
    <n v="0"/>
    <n v="0"/>
    <m/>
    <m/>
    <m/>
    <m/>
    <m/>
    <m/>
    <m/>
    <m/>
    <m/>
    <n v="7.2400279708089172"/>
    <m/>
    <m/>
    <m/>
    <m/>
    <m/>
    <m/>
    <m/>
    <m/>
    <m/>
    <m/>
    <m/>
    <m/>
    <n v="36.177599999999998"/>
    <n v="-37.489590000000021"/>
    <m/>
    <m/>
    <m/>
    <m/>
    <n v="-33.841830000000009"/>
    <n v="0"/>
    <n v="30"/>
    <n v="-1.2178584336568754"/>
    <n v="0"/>
    <n v="0"/>
    <n v="0"/>
    <n v="0"/>
    <n v="0"/>
    <n v="0"/>
    <n v="0"/>
    <n v="-1.069501537227552"/>
    <n v="0"/>
    <n v="0"/>
    <n v="0"/>
    <n v="0"/>
    <n v="0"/>
    <n v="0"/>
    <n v="0"/>
    <n v="0"/>
    <n v="-0.12724689609290341"/>
    <m/>
    <n v="0"/>
    <n v="0"/>
    <n v="0"/>
    <n v="0"/>
    <n v="-1.7046672708618649E-2"/>
    <n v="-4.0633276278008723E-3"/>
    <n v="0"/>
    <n v="0"/>
    <m/>
    <m/>
    <m/>
    <n v="52.325721307353454"/>
    <n v="0"/>
    <n v="0"/>
    <n v="-33.841830000000009"/>
    <n v="0"/>
    <n v="0"/>
    <n v="0"/>
    <n v="-32.62387938611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Fora ponta"/>
    <s v="CATIVO"/>
    <x v="2"/>
    <n v="0"/>
    <n v="0"/>
    <n v="0.51400000000000001"/>
    <n v="0.51400000000000001"/>
    <n v="0.51400000000000001"/>
    <n v="0.51400000000000001"/>
    <m/>
    <n v="495.6"/>
    <n v="185.74"/>
    <m/>
    <n v="350.20876000000004"/>
    <n v="350.20876000000004"/>
    <n v="242.93696"/>
    <n v="0"/>
    <n v="32.045415369288641"/>
    <n v="0"/>
    <n v="0"/>
    <n v="0"/>
    <n v="36.224516127937015"/>
    <n v="163.00242287922157"/>
    <n v="95.472564000372046"/>
    <n v="0"/>
    <n v="0"/>
    <n v="0"/>
    <n v="0"/>
    <n v="0"/>
    <n v="4.9524898272613864"/>
    <m/>
    <n v="1.2186258170093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96356514651698"/>
    <n v="0"/>
    <n v="0"/>
    <n v="0"/>
    <n v="0"/>
    <n v="0"/>
    <m/>
    <m/>
    <m/>
    <m/>
    <m/>
    <m/>
    <m/>
    <m/>
    <m/>
    <n v="112.76892051502375"/>
    <m/>
    <m/>
    <m/>
    <m/>
    <m/>
    <m/>
    <m/>
    <m/>
    <m/>
    <m/>
    <m/>
    <m/>
    <n v="241.04640000000001"/>
    <n v="-109.19236000000001"/>
    <m/>
    <m/>
    <m/>
    <m/>
    <n v="-107.27180000000003"/>
    <n v="0"/>
    <n v="30"/>
    <n v="-5.6454773860788237"/>
    <n v="0"/>
    <n v="0"/>
    <n v="0"/>
    <n v="0"/>
    <n v="0"/>
    <n v="0"/>
    <n v="0"/>
    <n v="-3.3347063326038864"/>
    <n v="0"/>
    <n v="0"/>
    <n v="0"/>
    <n v="0"/>
    <n v="0"/>
    <n v="0"/>
    <n v="0"/>
    <n v="0"/>
    <n v="-1.981966805810675"/>
    <m/>
    <n v="0"/>
    <n v="0"/>
    <n v="0"/>
    <n v="0"/>
    <n v="-0.26551484158272665"/>
    <n v="-6.3289406081504573E-2"/>
    <n v="0"/>
    <n v="0"/>
    <m/>
    <m/>
    <m/>
    <n v="163.00242287922157"/>
    <n v="0"/>
    <n v="0"/>
    <n v="-107.27180000000001"/>
    <n v="0"/>
    <n v="0"/>
    <n v="0"/>
    <n v="-101.62824803541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1"/>
    <n v="1.51"/>
    <n v="104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95"/>
    <s v="Regular"/>
    <s v="Branca"/>
    <s v="B1"/>
    <s v="Residencial"/>
    <s v="Residencial"/>
    <s v="Não se aplica"/>
    <s v="Não se aplica"/>
    <s v="Intermediário"/>
    <s v="CATIVO"/>
    <x v="2"/>
    <n v="0"/>
    <n v="0"/>
    <n v="2.7E-2"/>
    <n v="2.7E-2"/>
    <n v="2.7E-2"/>
    <n v="2.7E-2"/>
    <m/>
    <n v="1270.6099999999999"/>
    <n v="185.74"/>
    <m/>
    <n v="39.321449999999999"/>
    <n v="39.321449999999999"/>
    <n v="22.659750000000003"/>
    <n v="0"/>
    <n v="1.6833194843789754"/>
    <n v="0"/>
    <n v="0"/>
    <n v="0"/>
    <n v="5.7033172190565633"/>
    <n v="25.68718563451711"/>
    <n v="5.0150957743386089"/>
    <n v="0"/>
    <n v="0"/>
    <n v="0"/>
    <n v="0"/>
    <n v="0"/>
    <n v="0.26015024384446972"/>
    <m/>
    <n v="6.4013418403213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56347450505015"/>
    <n v="0"/>
    <n v="0"/>
    <n v="0"/>
    <n v="0"/>
    <n v="0"/>
    <m/>
    <m/>
    <m/>
    <m/>
    <m/>
    <m/>
    <m/>
    <m/>
    <m/>
    <n v="5.9236592488436592"/>
    <m/>
    <m/>
    <m/>
    <m/>
    <m/>
    <m/>
    <m/>
    <m/>
    <m/>
    <m/>
    <m/>
    <m/>
    <n v="25.177500000000002"/>
    <n v="-14.173949999999991"/>
    <m/>
    <m/>
    <m/>
    <m/>
    <n v="-16.661699999999996"/>
    <n v="0"/>
    <n v="30"/>
    <n v="-0.64641099237990041"/>
    <n v="0"/>
    <n v="0"/>
    <n v="0"/>
    <n v="0"/>
    <n v="0"/>
    <n v="0"/>
    <n v="0"/>
    <n v="-0.52502807711954702"/>
    <n v="0"/>
    <n v="0"/>
    <n v="0"/>
    <n v="0"/>
    <n v="0"/>
    <n v="0"/>
    <n v="0"/>
    <n v="0"/>
    <n v="-0.10411109680328456"/>
    <m/>
    <n v="0"/>
    <n v="0"/>
    <n v="0"/>
    <n v="0"/>
    <n v="-1.3947277670687985E-2"/>
    <n v="-3.3245407863825363E-3"/>
    <n v="0"/>
    <n v="0"/>
    <m/>
    <m/>
    <m/>
    <n v="25.68718563451711"/>
    <n v="0"/>
    <n v="0"/>
    <n v="-16.661699999999996"/>
    <n v="0"/>
    <n v="0"/>
    <n v="0"/>
    <n v="-16.015367298747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6"/>
    <s v="Regular"/>
    <s v="Convencional"/>
    <s v="B3"/>
    <s v="Industrial"/>
    <s v="Não se aplica"/>
    <s v="Não se aplica"/>
    <s v="Não se aplica"/>
    <s v="Não se aplica"/>
    <s v="CATIVO"/>
    <x v="2"/>
    <n v="0"/>
    <n v="0"/>
    <n v="41.173000000000002"/>
    <n v="41.173000000000002"/>
    <n v="41.173000000000002"/>
    <n v="41.173000000000002"/>
    <m/>
    <n v="825.6"/>
    <n v="185.74"/>
    <m/>
    <n v="41639.901819999999"/>
    <n v="41639.901819999999"/>
    <n v="25885.465100000001"/>
    <n v="0"/>
    <n v="2566.9375233457613"/>
    <n v="0"/>
    <n v="0"/>
    <n v="0"/>
    <n v="5366.1473414791762"/>
    <n v="24179.658759976679"/>
    <n v="7647.649567290503"/>
    <n v="0"/>
    <n v="0"/>
    <n v="0"/>
    <n v="0"/>
    <n v="0"/>
    <n v="396.70985147438341"/>
    <m/>
    <n v="97.615721330204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5.4919976220901"/>
    <n v="0"/>
    <n v="25.29"/>
    <n v="124.29"/>
    <n v="10626.78"/>
    <n v="48"/>
    <m/>
    <m/>
    <m/>
    <m/>
    <m/>
    <m/>
    <m/>
    <m/>
    <m/>
    <n v="9033.1415649125938"/>
    <m/>
    <m/>
    <m/>
    <m/>
    <m/>
    <m/>
    <m/>
    <m/>
    <m/>
    <m/>
    <m/>
    <m/>
    <n v="25883.578999999998"/>
    <n v="-15756.352820000007"/>
    <m/>
    <m/>
    <m/>
    <m/>
    <n v="-15754.436720000003"/>
    <n v="0"/>
    <n v="30"/>
    <n v="-679.08931397476408"/>
    <n v="0"/>
    <n v="0"/>
    <n v="0"/>
    <n v="0"/>
    <n v="0"/>
    <n v="0"/>
    <n v="0"/>
    <n v="-493.98935952978172"/>
    <n v="0"/>
    <n v="0"/>
    <n v="0"/>
    <n v="0"/>
    <n v="0"/>
    <n v="0"/>
    <n v="0"/>
    <n v="0"/>
    <n v="-158.76171069191241"/>
    <m/>
    <n v="0"/>
    <n v="0"/>
    <n v="0"/>
    <n v="0"/>
    <n v="-21.268565316119862"/>
    <n v="-5.06967843695287"/>
    <n v="0"/>
    <n v="0"/>
    <m/>
    <m/>
    <m/>
    <n v="24179.658759976679"/>
    <n v="0"/>
    <n v="0"/>
    <n v="-15754.436720000002"/>
    <n v="0"/>
    <n v="0"/>
    <n v="0"/>
    <n v="-15075.459091129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7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2.7549999999999999"/>
    <n v="2.7549999999999999"/>
    <n v="2.7549999999999999"/>
    <n v="2.7549999999999999"/>
    <m/>
    <n v="825.6"/>
    <n v="185.74"/>
    <m/>
    <n v="2786.2416999999996"/>
    <n v="2786.2416999999996"/>
    <n v="1732.0684999999999"/>
    <n v="0"/>
    <n v="171.7609325727436"/>
    <n v="0"/>
    <n v="0"/>
    <n v="0"/>
    <n v="359.06385072195684"/>
    <n v="1617.9282511290346"/>
    <n v="511.7255132704766"/>
    <n v="0"/>
    <n v="0"/>
    <n v="0"/>
    <n v="0"/>
    <n v="0"/>
    <n v="26.54496006635237"/>
    <m/>
    <n v="6.5317395444760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707124898570854"/>
    <n v="0"/>
    <n v="1.64"/>
    <n v="8.07"/>
    <n v="1735.33"/>
    <n v="3"/>
    <m/>
    <m/>
    <m/>
    <m/>
    <m/>
    <m/>
    <m/>
    <m/>
    <m/>
    <n v="604.43263816904744"/>
    <m/>
    <m/>
    <m/>
    <m/>
    <m/>
    <m/>
    <m/>
    <m/>
    <m/>
    <m/>
    <m/>
    <m/>
    <n v="1735.2119999999998"/>
    <n v="-1051.0597000000005"/>
    <m/>
    <m/>
    <m/>
    <m/>
    <n v="-1054.1732000000002"/>
    <n v="0"/>
    <n v="30"/>
    <n v="-45.439755665132225"/>
    <n v="0"/>
    <n v="0"/>
    <n v="0"/>
    <n v="0"/>
    <n v="0"/>
    <n v="0"/>
    <n v="0"/>
    <n v="-33.054202645047667"/>
    <n v="0"/>
    <n v="0"/>
    <n v="0"/>
    <n v="0"/>
    <n v="0"/>
    <n v="0"/>
    <n v="0"/>
    <n v="0"/>
    <n v="-10.623187840483297"/>
    <m/>
    <n v="0"/>
    <n v="0"/>
    <n v="0"/>
    <n v="0"/>
    <n v="-1.4231388882498273"/>
    <n v="-0.33922629135125426"/>
    <n v="0"/>
    <n v="0"/>
    <m/>
    <m/>
    <m/>
    <n v="1617.9282511290346"/>
    <n v="0"/>
    <n v="0"/>
    <n v="-1054.1732"/>
    <n v="0"/>
    <n v="0"/>
    <n v="0"/>
    <n v="-1008.7409174959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Ponta"/>
    <s v="CATIVO"/>
    <x v="2"/>
    <n v="0"/>
    <n v="0"/>
    <n v="2.52"/>
    <n v="2.52"/>
    <n v="2.52"/>
    <n v="2.52"/>
    <m/>
    <n v="4433.21"/>
    <n v="185.74"/>
    <m/>
    <n v="11639.754000000001"/>
    <n v="11639.754000000001"/>
    <n v="6074.7624000000005"/>
    <n v="0"/>
    <n v="136.68554213157262"/>
    <n v="0"/>
    <n v="0"/>
    <n v="0"/>
    <n v="2423.2898968182249"/>
    <n v="8552.0825622229295"/>
    <n v="468.07560560493687"/>
    <n v="0"/>
    <n v="0"/>
    <n v="0"/>
    <n v="0"/>
    <n v="0"/>
    <n v="24.280689425483839"/>
    <m/>
    <n v="2.6104211873831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74027796962465"/>
    <n v="0"/>
    <n v="0"/>
    <n v="0"/>
    <n v="0"/>
    <n v="0"/>
    <m/>
    <m/>
    <m/>
    <m/>
    <m/>
    <m/>
    <m/>
    <m/>
    <m/>
    <n v="500.8158835745615"/>
    <m/>
    <m/>
    <m/>
    <m/>
    <m/>
    <m/>
    <m/>
    <m/>
    <m/>
    <m/>
    <m/>
    <m/>
    <n v="6074.7624000000005"/>
    <n v="-5565.0216000000009"/>
    <m/>
    <m/>
    <m/>
    <m/>
    <n v="-5564.9916000000003"/>
    <n v="0"/>
    <n v="30"/>
    <n v="-232.97100428099293"/>
    <n v="0"/>
    <n v="0"/>
    <n v="0"/>
    <n v="0"/>
    <n v="0"/>
    <n v="0"/>
    <n v="0"/>
    <n v="-223.07986492116424"/>
    <n v="0"/>
    <n v="0"/>
    <n v="0"/>
    <n v="0"/>
    <n v="0"/>
    <n v="0"/>
    <n v="0"/>
    <n v="0"/>
    <n v="-8.4538210604266339"/>
    <m/>
    <n v="0"/>
    <n v="0"/>
    <n v="0"/>
    <n v="0"/>
    <n v="-1.3017459159308764"/>
    <n v="-0.13557238347165912"/>
    <n v="0"/>
    <n v="0"/>
    <m/>
    <m/>
    <m/>
    <n v="8552.0825622229295"/>
    <n v="0"/>
    <n v="0"/>
    <n v="-5564.9916000000003"/>
    <n v="0"/>
    <n v="0"/>
    <n v="0"/>
    <n v="-5332.0260674712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Fora ponta"/>
    <s v="CATIVO"/>
    <x v="2"/>
    <n v="0"/>
    <n v="0"/>
    <n v="57.822000000000003"/>
    <n v="57.822000000000003"/>
    <n v="57.822000000000003"/>
    <n v="57.822000000000003"/>
    <m/>
    <n v="77.900000000000006"/>
    <n v="185.74"/>
    <m/>
    <n v="15244.192080000001"/>
    <n v="15244.192080000001"/>
    <n v="15017.529840000001"/>
    <n v="0"/>
    <n v="3136.2823083856319"/>
    <n v="0"/>
    <n v="0"/>
    <n v="0"/>
    <n v="0"/>
    <n v="0"/>
    <n v="10740.10621717804"/>
    <n v="0"/>
    <n v="0"/>
    <n v="0"/>
    <n v="0"/>
    <n v="0"/>
    <n v="557.12619998425657"/>
    <m/>
    <n v="59.8967356733615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1.23347331731611"/>
    <n v="0"/>
    <n v="0"/>
    <n v="0"/>
    <n v="0"/>
    <n v="0"/>
    <m/>
    <m/>
    <m/>
    <m/>
    <m/>
    <m/>
    <m/>
    <m/>
    <m/>
    <n v="11491.339690495355"/>
    <m/>
    <m/>
    <m/>
    <m/>
    <m/>
    <m/>
    <m/>
    <m/>
    <m/>
    <m/>
    <m/>
    <m/>
    <n v="15017.010400000001"/>
    <n v="-227.21168000000034"/>
    <m/>
    <m/>
    <m/>
    <m/>
    <n v="-226.66224000000011"/>
    <n v="0"/>
    <n v="30"/>
    <n v="-226.95454764446185"/>
    <n v="0"/>
    <n v="0"/>
    <n v="0"/>
    <n v="0"/>
    <n v="0"/>
    <n v="0"/>
    <n v="0"/>
    <n v="0"/>
    <n v="0"/>
    <n v="0"/>
    <n v="0"/>
    <n v="0"/>
    <n v="0"/>
    <n v="0"/>
    <n v="0"/>
    <n v="0"/>
    <n v="-193.97493704602766"/>
    <m/>
    <n v="0"/>
    <n v="0"/>
    <n v="0"/>
    <n v="0"/>
    <n v="-29.868869980537738"/>
    <n v="-3.1107406178961412"/>
    <n v="0"/>
    <n v="0"/>
    <m/>
    <m/>
    <m/>
    <n v="0"/>
    <n v="0"/>
    <n v="0"/>
    <n v="-226.66223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0"/>
    <s v="Regular"/>
    <s v="Verde"/>
    <s v="A4"/>
    <s v="Industrial"/>
    <s v="Não se aplica"/>
    <s v="Não se aplica"/>
    <s v="Não se aplica"/>
    <s v="Não se aplica"/>
    <s v="CATIVO"/>
    <x v="2"/>
    <n v="341"/>
    <n v="341"/>
    <n v="0"/>
    <n v="0"/>
    <n v="0"/>
    <n v="0"/>
    <n v="55.59"/>
    <m/>
    <m/>
    <n v="18956.190000000002"/>
    <m/>
    <n v="18956.190000000002"/>
    <n v="10062.91"/>
    <n v="0"/>
    <n v="0"/>
    <n v="0"/>
    <n v="0"/>
    <n v="0"/>
    <n v="5508.7427522715479"/>
    <n v="13445.8765895682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.76"/>
    <n v="159.81"/>
    <n v="13333.37"/>
    <n v="5"/>
    <m/>
    <m/>
    <m/>
    <m/>
    <m/>
    <m/>
    <m/>
    <m/>
    <m/>
    <n v="0"/>
    <m/>
    <m/>
    <m/>
    <m/>
    <m/>
    <m/>
    <m/>
    <m/>
    <m/>
    <m/>
    <m/>
    <m/>
    <n v="10062.91"/>
    <n v="-8893.3099999999977"/>
    <m/>
    <m/>
    <m/>
    <m/>
    <n v="-8893.2800000000007"/>
    <n v="0"/>
    <n v="30"/>
    <n v="-507.11621035343342"/>
    <n v="0"/>
    <n v="0"/>
    <n v="0"/>
    <n v="0"/>
    <m/>
    <m/>
    <m/>
    <n v="-507.116210353433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445.876589568221"/>
    <m/>
    <n v="0"/>
    <n v="0"/>
    <n v="-8893.2800000000025"/>
    <m/>
    <n v="0"/>
    <m/>
    <n v="-8383.1936787270261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02"/>
    <s v="Regular"/>
    <s v="Convencional"/>
    <s v="B3"/>
    <s v="Comercial"/>
    <s v="Não se aplica"/>
    <s v="Não se aplica"/>
    <s v="Não se aplica"/>
    <s v="Não se aplica"/>
    <s v="CATIVO"/>
    <x v="2"/>
    <n v="0"/>
    <n v="0"/>
    <n v="148.084"/>
    <n v="148.084"/>
    <n v="148.084"/>
    <n v="148.084"/>
    <m/>
    <n v="825.6"/>
    <n v="185.74"/>
    <m/>
    <n v="149763.27256000001"/>
    <n v="149763.27256000001"/>
    <n v="93100.410799999998"/>
    <n v="0"/>
    <n v="9232.3215749917108"/>
    <n v="0"/>
    <n v="0"/>
    <n v="0"/>
    <n v="19300.040388497371"/>
    <n v="86965.258490087828"/>
    <n v="27505.757135079948"/>
    <n v="0"/>
    <n v="0"/>
    <n v="0"/>
    <n v="0"/>
    <n v="0"/>
    <n v="1426.8181003505354"/>
    <m/>
    <n v="351.0875204007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3.1005021705869"/>
    <n v="0"/>
    <n v="89.89"/>
    <n v="446.97"/>
    <n v="37665.89"/>
    <n v="368"/>
    <m/>
    <m/>
    <m/>
    <m/>
    <m/>
    <m/>
    <m/>
    <m/>
    <m/>
    <n v="32488.857637250534"/>
    <m/>
    <m/>
    <m/>
    <m/>
    <m/>
    <m/>
    <m/>
    <m/>
    <m/>
    <m/>
    <m/>
    <m/>
    <n v="93097.896000000008"/>
    <n v="-56665.406560000003"/>
    <m/>
    <m/>
    <m/>
    <m/>
    <n v="-56662.861760000007"/>
    <n v="0"/>
    <n v="30"/>
    <n v="-2442.4322242887138"/>
    <n v="0"/>
    <n v="0"/>
    <n v="0"/>
    <n v="0"/>
    <n v="0"/>
    <n v="0"/>
    <n v="0"/>
    <n v="-1776.6963863844794"/>
    <n v="0"/>
    <n v="0"/>
    <n v="0"/>
    <n v="0"/>
    <n v="0"/>
    <n v="0"/>
    <n v="0"/>
    <n v="0"/>
    <n v="-571.00695033398551"/>
    <m/>
    <n v="0"/>
    <n v="0"/>
    <n v="0"/>
    <n v="0"/>
    <n v="-76.495135799487343"/>
    <n v="-18.233751770765593"/>
    <n v="0"/>
    <n v="0"/>
    <m/>
    <m/>
    <m/>
    <n v="86965.258490087828"/>
    <n v="0"/>
    <n v="0"/>
    <n v="-56662.861760000014"/>
    <n v="0"/>
    <n v="0"/>
    <n v="0"/>
    <n v="-54220.831225580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3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4.8929999999999998"/>
    <n v="4.8929999999999998"/>
    <n v="4.8929999999999998"/>
    <n v="4.8929999999999998"/>
    <m/>
    <n v="825.6"/>
    <n v="185.74"/>
    <m/>
    <n v="4948.4866199999997"/>
    <n v="4948.4866199999997"/>
    <n v="3076.2291"/>
    <n v="0"/>
    <n v="305.05489766912319"/>
    <n v="0"/>
    <n v="0"/>
    <n v="0"/>
    <n v="637.71303868694542"/>
    <n v="2873.5110463790802"/>
    <n v="908.84680088291907"/>
    <n v="0"/>
    <n v="0"/>
    <n v="0"/>
    <n v="0"/>
    <n v="0"/>
    <n v="47.145005301147783"/>
    <m/>
    <n v="11.600653935071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65189187974855"/>
    <n v="0"/>
    <n v="2.83"/>
    <n v="14.07"/>
    <n v="2666.38"/>
    <n v="10"/>
    <m/>
    <m/>
    <m/>
    <m/>
    <m/>
    <m/>
    <m/>
    <m/>
    <m/>
    <n v="1073.4986927626676"/>
    <m/>
    <m/>
    <m/>
    <m/>
    <m/>
    <m/>
    <m/>
    <m/>
    <m/>
    <m/>
    <m/>
    <m/>
    <n v="3074.3429999999998"/>
    <n v="-1874.1736200000005"/>
    <m/>
    <m/>
    <m/>
    <m/>
    <n v="-1872.2575200000001"/>
    <n v="0"/>
    <n v="30"/>
    <n v="-80.702985288381342"/>
    <n v="0"/>
    <n v="0"/>
    <n v="0"/>
    <n v="0"/>
    <n v="0"/>
    <n v="0"/>
    <n v="0"/>
    <n v="-58.705703645088306"/>
    <n v="0"/>
    <n v="0"/>
    <n v="0"/>
    <n v="0"/>
    <n v="0"/>
    <n v="0"/>
    <n v="0"/>
    <n v="0"/>
    <n v="-18.867244320684108"/>
    <m/>
    <n v="0"/>
    <n v="0"/>
    <n v="0"/>
    <n v="0"/>
    <n v="-2.5275566534324483"/>
    <n v="-0.60248066917665533"/>
    <n v="0"/>
    <n v="0"/>
    <m/>
    <m/>
    <m/>
    <n v="2873.5110463790802"/>
    <n v="0"/>
    <n v="0"/>
    <n v="-1872.2575200000001"/>
    <n v="0"/>
    <n v="0"/>
    <n v="0"/>
    <n v="-1791.56780737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Ponta"/>
    <s v="CATIVO"/>
    <x v="2"/>
    <n v="555"/>
    <n v="555"/>
    <n v="30.646999999999998"/>
    <n v="30.646999999999998"/>
    <n v="30.646999999999998"/>
    <n v="30.646999999999998"/>
    <n v="181.08"/>
    <n v="77.900000000000006"/>
    <n v="185.74"/>
    <n v="100499.40000000001"/>
    <n v="8079.7750799999994"/>
    <n v="108579.17508"/>
    <n v="57587.738839999998"/>
    <n v="0"/>
    <n v="1662.3023054390103"/>
    <n v="0"/>
    <n v="0"/>
    <n v="0"/>
    <n v="22182.471957302732"/>
    <n v="78315.71691169063"/>
    <n v="5692.5051924501986"/>
    <n v="0"/>
    <n v="0"/>
    <n v="0"/>
    <n v="0"/>
    <n v="0"/>
    <n v="295.28979715190604"/>
    <m/>
    <n v="31.746657987989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17115037106612"/>
    <n v="0"/>
    <n v="0"/>
    <n v="0"/>
    <n v="0"/>
    <n v="0"/>
    <m/>
    <m/>
    <m/>
    <m/>
    <m/>
    <m/>
    <m/>
    <m/>
    <m/>
    <n v="6090.6763428212644"/>
    <m/>
    <m/>
    <m/>
    <m/>
    <m/>
    <m/>
    <m/>
    <m/>
    <m/>
    <m/>
    <m/>
    <m/>
    <n v="57588.517999999996"/>
    <n v="-50990.687079999989"/>
    <m/>
    <m/>
    <m/>
    <m/>
    <n v="-50991.436240000003"/>
    <n v="0"/>
    <n v="30"/>
    <n v="-2162.3344492327269"/>
    <n v="0"/>
    <n v="0"/>
    <n v="0"/>
    <n v="0"/>
    <n v="0"/>
    <n v="0"/>
    <n v="0"/>
    <n v="-2042.0432794070621"/>
    <n v="0"/>
    <n v="0"/>
    <n v="0"/>
    <n v="0"/>
    <n v="0"/>
    <n v="0"/>
    <n v="0"/>
    <n v="0"/>
    <n v="-102.81121192019646"/>
    <m/>
    <n v="0"/>
    <n v="0"/>
    <n v="0"/>
    <n v="0"/>
    <n v="-15.831193287910196"/>
    <n v="-1.6487646175618806"/>
    <n v="0"/>
    <n v="0"/>
    <m/>
    <m/>
    <n v="78315.71691169063"/>
    <n v="0"/>
    <n v="0"/>
    <n v="0"/>
    <n v="-50991.43624000001"/>
    <n v="0"/>
    <n v="0"/>
    <n v="0"/>
    <n v="-48828.041711198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5"/>
    <s v="Regular"/>
    <s v="Azul"/>
    <s v="A4"/>
    <s v="Comercial"/>
    <s v="Não se aplica"/>
    <s v="Não se aplica"/>
    <s v="Não se aplica"/>
    <s v="Fora ponta"/>
    <s v="CATIVO"/>
    <x v="2"/>
    <n v="555"/>
    <n v="555"/>
    <n v="329.20600000000002"/>
    <n v="329.20600000000002"/>
    <n v="329.20600000000002"/>
    <n v="329.20600000000002"/>
    <n v="55.59"/>
    <n v="77.900000000000006"/>
    <n v="185.74"/>
    <n v="30852.45"/>
    <n v="86791.869839999999"/>
    <n v="117644.31984000001"/>
    <n v="101879.43232000001"/>
    <n v="0"/>
    <n v="17856.23039006607"/>
    <n v="0"/>
    <n v="0"/>
    <n v="0"/>
    <n v="8965.8423094155678"/>
    <n v="21884.051340792852"/>
    <n v="61148.134055070972"/>
    <n v="0"/>
    <n v="0"/>
    <n v="0"/>
    <n v="0"/>
    <n v="0"/>
    <n v="3171.9637472245367"/>
    <m/>
    <n v="341.01837992606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7.1015671699415"/>
    <n v="0"/>
    <n v="0"/>
    <n v="0"/>
    <n v="0"/>
    <n v="0"/>
    <m/>
    <m/>
    <m/>
    <m/>
    <m/>
    <m/>
    <m/>
    <m/>
    <m/>
    <n v="65425.235622240914"/>
    <m/>
    <m/>
    <m/>
    <m/>
    <m/>
    <m/>
    <m/>
    <m/>
    <m/>
    <m/>
    <m/>
    <m/>
    <n v="101880.4712"/>
    <n v="-15763.878639999995"/>
    <m/>
    <m/>
    <m/>
    <m/>
    <n v="-15764.887520000002"/>
    <n v="0"/>
    <n v="30"/>
    <n v="-2117.5168486892508"/>
    <n v="0"/>
    <n v="0"/>
    <n v="0"/>
    <n v="0"/>
    <n v="0"/>
    <n v="0"/>
    <n v="0"/>
    <n v="-825.36509309722805"/>
    <n v="0"/>
    <n v="0"/>
    <n v="0"/>
    <n v="0"/>
    <n v="0"/>
    <n v="0"/>
    <n v="0"/>
    <n v="0"/>
    <n v="-1104.3843714360373"/>
    <m/>
    <n v="0"/>
    <n v="0"/>
    <n v="0"/>
    <n v="0"/>
    <n v="-170.05657380950015"/>
    <n v="-17.71081034649643"/>
    <n v="0"/>
    <n v="0"/>
    <m/>
    <m/>
    <n v="21884.051340792852"/>
    <n v="0"/>
    <n v="0"/>
    <n v="0"/>
    <n v="-15764.887519999997"/>
    <n v="0"/>
    <n v="0"/>
    <n v="0"/>
    <n v="-13644.200855406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6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74.6"/>
    <n v="851.18"/>
    <n v="72750.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Ponta"/>
    <s v="CATIVO"/>
    <x v="2"/>
    <n v="0"/>
    <n v="0"/>
    <n v="12.542999999999999"/>
    <n v="12.542999999999999"/>
    <n v="12.542999999999999"/>
    <n v="12.542999999999999"/>
    <m/>
    <n v="4433.21"/>
    <n v="185.74"/>
    <m/>
    <n v="57935.489849999998"/>
    <n v="57935.489849999998"/>
    <n v="30236.406660000001"/>
    <n v="0"/>
    <n v="680.33601387155363"/>
    <n v="0"/>
    <n v="0"/>
    <n v="0"/>
    <n v="12061.636974520234"/>
    <n v="42566.972848397694"/>
    <n v="2329.7906036121917"/>
    <n v="0"/>
    <n v="0"/>
    <n v="0"/>
    <n v="0"/>
    <n v="0"/>
    <n v="120.85424105708086"/>
    <m/>
    <n v="12.993060695772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.96083594166745"/>
    <n v="0"/>
    <n v="0"/>
    <n v="0"/>
    <n v="0"/>
    <n v="0"/>
    <m/>
    <m/>
    <m/>
    <m/>
    <m/>
    <m/>
    <m/>
    <m/>
    <m/>
    <n v="2492.7514395538592"/>
    <m/>
    <m/>
    <m/>
    <m/>
    <m/>
    <m/>
    <m/>
    <m/>
    <m/>
    <m/>
    <m/>
    <m/>
    <n v="30229.174800000001"/>
    <n v="-27706.345050000004"/>
    <m/>
    <m/>
    <m/>
    <m/>
    <n v="-27699.083189999998"/>
    <n v="0"/>
    <n v="30"/>
    <n v="-1159.5854391652774"/>
    <n v="0"/>
    <n v="0"/>
    <n v="0"/>
    <n v="0"/>
    <n v="0"/>
    <n v="0"/>
    <n v="0"/>
    <n v="-1110.3534705183174"/>
    <n v="0"/>
    <n v="0"/>
    <n v="0"/>
    <n v="0"/>
    <n v="0"/>
    <n v="0"/>
    <n v="0"/>
    <n v="0"/>
    <n v="-42.077887921004503"/>
    <m/>
    <n v="0"/>
    <n v="0"/>
    <n v="0"/>
    <n v="0"/>
    <n v="-6.4792853267940416"/>
    <n v="-0.67479539916072184"/>
    <n v="0"/>
    <n v="0"/>
    <m/>
    <m/>
    <m/>
    <n v="42566.972848397694"/>
    <n v="0"/>
    <n v="0"/>
    <n v="-27699.083190000001"/>
    <n v="0"/>
    <n v="0"/>
    <n v="0"/>
    <n v="-26539.52498583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8"/>
    <s v="Regular"/>
    <s v="Verde"/>
    <s v="A4"/>
    <s v="Comercial"/>
    <s v="Não se aplica"/>
    <s v="Não se aplica"/>
    <s v="Não se aplica"/>
    <s v="Fora ponta"/>
    <s v="CATIVO"/>
    <x v="2"/>
    <n v="0"/>
    <n v="0"/>
    <n v="341.13799999999998"/>
    <n v="341.13799999999998"/>
    <n v="341.13799999999998"/>
    <n v="341.13799999999998"/>
    <m/>
    <n v="77.900000000000006"/>
    <n v="185.74"/>
    <m/>
    <n v="89937.622319999995"/>
    <n v="89937.622319999995"/>
    <n v="88600.361359999995"/>
    <n v="0"/>
    <n v="18503.425584000164"/>
    <n v="0"/>
    <n v="0"/>
    <n v="0"/>
    <n v="0"/>
    <n v="0"/>
    <n v="63364.434898752756"/>
    <n v="0"/>
    <n v="0"/>
    <n v="0"/>
    <n v="0"/>
    <n v="0"/>
    <n v="3286.930884615359"/>
    <m/>
    <n v="353.37851707203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32.1241849213548"/>
    <n v="0"/>
    <n v="0"/>
    <n v="0"/>
    <n v="0"/>
    <n v="0"/>
    <m/>
    <m/>
    <m/>
    <m/>
    <m/>
    <m/>
    <m/>
    <m/>
    <m/>
    <n v="67796.559083674103"/>
    <m/>
    <m/>
    <m/>
    <m/>
    <m/>
    <m/>
    <m/>
    <m/>
    <m/>
    <m/>
    <m/>
    <m/>
    <n v="88600.880799999999"/>
    <n v="-1336.7715199999948"/>
    <m/>
    <m/>
    <m/>
    <m/>
    <n v="-1337.2609600000005"/>
    <n v="0"/>
    <n v="30"/>
    <n v="-1338.9855154497636"/>
    <n v="0"/>
    <n v="0"/>
    <n v="0"/>
    <n v="0"/>
    <n v="0"/>
    <n v="0"/>
    <n v="0"/>
    <n v="0"/>
    <n v="0"/>
    <n v="0"/>
    <n v="0"/>
    <n v="0"/>
    <n v="0"/>
    <n v="0"/>
    <n v="0"/>
    <n v="0"/>
    <n v="-1144.4125432189758"/>
    <m/>
    <n v="0"/>
    <n v="0"/>
    <n v="0"/>
    <n v="0"/>
    <n v="-176.22023740826444"/>
    <n v="-18.352734822521825"/>
    <n v="0"/>
    <n v="0"/>
    <m/>
    <m/>
    <m/>
    <n v="0"/>
    <n v="0"/>
    <n v="0"/>
    <n v="-1337.260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09"/>
    <s v="Regular"/>
    <s v="Verde"/>
    <s v="A4"/>
    <s v="Comercial"/>
    <s v="Não se aplica"/>
    <s v="Não se aplica"/>
    <s v="Não se aplica"/>
    <s v="Não se aplica"/>
    <s v="CATIVO"/>
    <x v="2"/>
    <n v="1131"/>
    <n v="1131"/>
    <n v="0"/>
    <n v="0"/>
    <n v="0"/>
    <n v="0"/>
    <n v="55.59"/>
    <m/>
    <m/>
    <n v="62872.29"/>
    <m/>
    <n v="62872.29"/>
    <n v="33375.810000000005"/>
    <n v="0"/>
    <n v="0"/>
    <n v="0"/>
    <n v="0"/>
    <n v="0"/>
    <n v="18270.932706214429"/>
    <n v="44596.1478674535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2.69"/>
    <n v="793.23"/>
    <n v="67045.899999999994"/>
    <n v="5"/>
    <m/>
    <m/>
    <m/>
    <m/>
    <m/>
    <m/>
    <m/>
    <m/>
    <m/>
    <n v="0"/>
    <m/>
    <m/>
    <m/>
    <m/>
    <m/>
    <m/>
    <m/>
    <m/>
    <m/>
    <m/>
    <m/>
    <m/>
    <n v="33375.810000000005"/>
    <n v="-29496.510000000002"/>
    <m/>
    <m/>
    <m/>
    <m/>
    <n v="-29496.480000000003"/>
    <n v="0"/>
    <n v="30"/>
    <n v="-1681.9602167440826"/>
    <n v="0"/>
    <n v="0"/>
    <n v="0"/>
    <n v="0"/>
    <m/>
    <m/>
    <m/>
    <n v="-1681.9602167440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596.147867453546"/>
    <m/>
    <n v="0"/>
    <n v="0"/>
    <n v="-29496.479999999996"/>
    <m/>
    <n v="0"/>
    <m/>
    <n v="-27804.668770206063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Ponta"/>
    <s v="CATIVO"/>
    <x v="2"/>
    <n v="0"/>
    <n v="0"/>
    <n v="0.10299999999999999"/>
    <n v="0.10299999999999999"/>
    <n v="0.10299999999999999"/>
    <n v="0.10299999999999999"/>
    <m/>
    <n v="2583.84"/>
    <n v="185.74"/>
    <m/>
    <n v="285.26673999999997"/>
    <n v="285.26673999999997"/>
    <n v="150.42840999999999"/>
    <n v="0"/>
    <n v="6.4215521070753496"/>
    <n v="0"/>
    <n v="0"/>
    <n v="0"/>
    <n v="46.324978552201742"/>
    <n v="208.68623156334931"/>
    <n v="19.1316616576621"/>
    <n v="0"/>
    <n v="0"/>
    <n v="0"/>
    <n v="0"/>
    <n v="0"/>
    <n v="0.99242500429556957"/>
    <m/>
    <n v="0.24419933687151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660014027414876"/>
    <n v="0"/>
    <n v="0"/>
    <n v="0"/>
    <n v="0"/>
    <n v="0"/>
    <m/>
    <m/>
    <m/>
    <m/>
    <m/>
    <m/>
    <m/>
    <m/>
    <m/>
    <n v="22.597663060403587"/>
    <m/>
    <m/>
    <m/>
    <m/>
    <m/>
    <m/>
    <m/>
    <m/>
    <m/>
    <m/>
    <m/>
    <m/>
    <n v="146.04700000000003"/>
    <n v="-139.24973999999992"/>
    <m/>
    <m/>
    <m/>
    <m/>
    <n v="-134.83833000000001"/>
    <n v="0"/>
    <n v="30"/>
    <n v="-4.7275740561183426"/>
    <n v="0"/>
    <n v="0"/>
    <n v="0"/>
    <n v="0"/>
    <n v="0"/>
    <n v="0"/>
    <n v="0"/>
    <n v="-4.2645207127177187"/>
    <n v="0"/>
    <n v="0"/>
    <n v="0"/>
    <n v="0"/>
    <n v="0"/>
    <n v="0"/>
    <n v="0"/>
    <n v="0"/>
    <n v="-0.39716455447178856"/>
    <m/>
    <n v="0"/>
    <n v="0"/>
    <n v="0"/>
    <n v="0"/>
    <n v="-5.320628148447637E-2"/>
    <n v="-1.2682507444348179E-2"/>
    <n v="0"/>
    <n v="0"/>
    <m/>
    <m/>
    <m/>
    <n v="208.68623156334931"/>
    <n v="0"/>
    <n v="0"/>
    <n v="-134.83832999999998"/>
    <n v="0"/>
    <n v="0"/>
    <n v="0"/>
    <n v="-130.11104821804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Fora ponta"/>
    <s v="CATIVO"/>
    <x v="2"/>
    <n v="0"/>
    <n v="0"/>
    <n v="0.91500000000000004"/>
    <n v="0.91500000000000004"/>
    <n v="0.91500000000000004"/>
    <n v="0.91500000000000004"/>
    <m/>
    <n v="603.13"/>
    <n v="185.74"/>
    <m/>
    <n v="721.81605000000002"/>
    <n v="721.81605000000002"/>
    <n v="478.96590000000003"/>
    <n v="0"/>
    <n v="57.04582697062083"/>
    <n v="0"/>
    <n v="0"/>
    <n v="0"/>
    <n v="82.270213381827148"/>
    <n v="370.772995346095"/>
    <n v="169.95602346369733"/>
    <n v="0"/>
    <n v="0"/>
    <n v="0"/>
    <n v="0"/>
    <n v="0"/>
    <n v="8.8162027080625851"/>
    <m/>
    <n v="2.1693436236644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90206636004481"/>
    <n v="0"/>
    <n v="0"/>
    <n v="0"/>
    <n v="0"/>
    <n v="0"/>
    <m/>
    <m/>
    <m/>
    <m/>
    <m/>
    <m/>
    <m/>
    <m/>
    <m/>
    <n v="200.74623009970182"/>
    <m/>
    <m/>
    <m/>
    <m/>
    <m/>
    <m/>
    <m/>
    <m/>
    <m/>
    <m/>
    <m/>
    <m/>
    <n v="481.58320000000003"/>
    <n v="-240.26284999999996"/>
    <m/>
    <m/>
    <m/>
    <m/>
    <n v="-242.85014999999999"/>
    <n v="0"/>
    <n v="30"/>
    <n v="-11.687049482650366"/>
    <n v="0"/>
    <n v="0"/>
    <n v="0"/>
    <n v="0"/>
    <n v="0"/>
    <n v="0"/>
    <n v="0"/>
    <n v="-7.5735173543828438"/>
    <n v="0"/>
    <n v="0"/>
    <n v="0"/>
    <n v="0"/>
    <n v="0"/>
    <n v="0"/>
    <n v="0"/>
    <n v="0"/>
    <n v="-3.5282093916668629"/>
    <m/>
    <n v="0"/>
    <n v="0"/>
    <n v="0"/>
    <n v="0"/>
    <n v="-0.47265774328442589"/>
    <n v="-0.11266499331629687"/>
    <n v="0"/>
    <n v="0"/>
    <m/>
    <m/>
    <m/>
    <n v="370.772995346095"/>
    <n v="0"/>
    <n v="0"/>
    <n v="-242.85014999999999"/>
    <n v="0"/>
    <n v="0"/>
    <n v="0"/>
    <n v="-231.168403943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2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8"/>
    <n v="3.33"/>
    <n v="284.6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13"/>
    <s v="Regular"/>
    <s v="Branca"/>
    <s v="B3"/>
    <s v="Comercial"/>
    <s v="Não se aplica"/>
    <s v="Não se aplica"/>
    <s v="Não se aplica"/>
    <s v="Intermediário"/>
    <s v="CATIVO"/>
    <x v="2"/>
    <n v="0"/>
    <n v="0"/>
    <n v="6.7000000000000004E-2"/>
    <n v="6.7000000000000004E-2"/>
    <n v="6.7000000000000004E-2"/>
    <n v="6.7000000000000004E-2"/>
    <m/>
    <n v="1593.45"/>
    <n v="185.74"/>
    <m/>
    <n v="119.20573000000002"/>
    <n v="119.20573000000002"/>
    <n v="66.459310000000016"/>
    <n v="0"/>
    <n v="4.1771261279033833"/>
    <n v="0"/>
    <n v="0"/>
    <n v="0"/>
    <n v="18.076784905776368"/>
    <n v="81.448403668094571"/>
    <n v="12.444867291877291"/>
    <n v="0"/>
    <n v="0"/>
    <n v="0"/>
    <n v="0"/>
    <n v="0"/>
    <n v="0.64555801250294331"/>
    <m/>
    <n v="0.15884811233390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545834367347544"/>
    <n v="0"/>
    <n v="0"/>
    <n v="0"/>
    <n v="0"/>
    <n v="0"/>
    <m/>
    <m/>
    <m/>
    <m/>
    <m/>
    <m/>
    <m/>
    <m/>
    <m/>
    <n v="14.699450728612046"/>
    <m/>
    <m/>
    <m/>
    <m/>
    <m/>
    <m/>
    <m/>
    <m/>
    <m/>
    <m/>
    <m/>
    <m/>
    <n v="69.435100000000006"/>
    <n v="-49.800630000000027"/>
    <m/>
    <m/>
    <m/>
    <m/>
    <n v="-52.746420000000001"/>
    <n v="0"/>
    <n v="30"/>
    <n v="-1.9652970838243107"/>
    <n v="0"/>
    <n v="0"/>
    <n v="0"/>
    <n v="0"/>
    <n v="0"/>
    <n v="0"/>
    <n v="0"/>
    <n v="-1.6640876274375067"/>
    <n v="0"/>
    <n v="0"/>
    <n v="0"/>
    <n v="0"/>
    <n v="0"/>
    <n v="0"/>
    <n v="0"/>
    <n v="0"/>
    <n v="-0.2583497587340764"/>
    <m/>
    <n v="0"/>
    <n v="0"/>
    <n v="0"/>
    <n v="0"/>
    <n v="-3.4609911256892278E-2"/>
    <n v="-8.2497863958381212E-3"/>
    <n v="0"/>
    <n v="0"/>
    <m/>
    <m/>
    <m/>
    <n v="81.448403668094571"/>
    <n v="0"/>
    <n v="0"/>
    <n v="-52.746420000000008"/>
    <n v="0"/>
    <n v="0"/>
    <n v="0"/>
    <n v="-50.781199591145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4"/>
    <s v="Regular"/>
    <s v="Convencional"/>
    <s v="B2"/>
    <s v="Rural"/>
    <s v="Não se aplica"/>
    <s v="Não se aplica"/>
    <s v="Não se aplica"/>
    <s v="Não se aplica"/>
    <s v="CATIVO"/>
    <x v="2"/>
    <n v="0"/>
    <n v="0"/>
    <n v="1591.5719999999999"/>
    <n v="1591.5719999999999"/>
    <n v="1591.5719999999999"/>
    <n v="1591.5719999999999"/>
    <m/>
    <n v="825.6"/>
    <n v="185.74"/>
    <m/>
    <n v="1609620.4264799999"/>
    <n v="1609620.4264799999"/>
    <n v="1000621.3163999999"/>
    <n v="0"/>
    <n v="99226.820681185709"/>
    <n v="0"/>
    <n v="0"/>
    <n v="0"/>
    <n v="207432.29438157758"/>
    <n v="934682.14247039554"/>
    <n v="295625.40784280183"/>
    <n v="0"/>
    <n v="0"/>
    <n v="0"/>
    <n v="0"/>
    <n v="0"/>
    <n v="15335.105329482603"/>
    <m/>
    <n v="3773.4060872162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557.192083146358"/>
    <n v="0"/>
    <n v="859.74"/>
    <n v="4333.99"/>
    <n v="227075.4"/>
    <n v="5726"/>
    <m/>
    <m/>
    <m/>
    <m/>
    <m/>
    <n v="120068.19167999999"/>
    <m/>
    <m/>
    <m/>
    <n v="349182.59992594819"/>
    <m/>
    <m/>
    <m/>
    <m/>
    <m/>
    <m/>
    <m/>
    <m/>
    <m/>
    <m/>
    <m/>
    <m/>
    <n v="880552.01819999993"/>
    <n v="-535915.26036000007"/>
    <m/>
    <m/>
    <m/>
    <m/>
    <n v="-608999.11008000001"/>
    <n v="0"/>
    <n v="30"/>
    <n v="-26250.687043000129"/>
    <n v="0"/>
    <n v="0"/>
    <n v="0"/>
    <n v="0"/>
    <n v="0"/>
    <n v="0"/>
    <n v="0"/>
    <n v="-19095.514850157459"/>
    <n v="0"/>
    <n v="0"/>
    <n v="0"/>
    <n v="0"/>
    <n v="0"/>
    <n v="0"/>
    <n v="0"/>
    <n v="0"/>
    <n v="-6137.0483911628544"/>
    <m/>
    <n v="0"/>
    <n v="0"/>
    <n v="0"/>
    <n v="0"/>
    <n v="-822.1517265515613"/>
    <n v="-195.97207512831164"/>
    <n v="0"/>
    <n v="0"/>
    <m/>
    <m/>
    <m/>
    <n v="934682.14247039554"/>
    <n v="0"/>
    <n v="0"/>
    <n v="-608999.11008000013"/>
    <n v="0"/>
    <n v="0"/>
    <n v="0"/>
    <n v="-582752.740305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5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4.9260000000000002"/>
    <n v="-4.9260000000000002"/>
    <n v="-4.9260000000000002"/>
    <n v="-4.9260000000000002"/>
    <m/>
    <n v="825.6"/>
    <n v="185.74"/>
    <m/>
    <n v="-4981.8608400000003"/>
    <n v="-4981.8608400000003"/>
    <n v="-3096.9762000000001"/>
    <n v="0"/>
    <n v="-307.11228815003085"/>
    <n v="0"/>
    <n v="0"/>
    <n v="0"/>
    <n v="-642.01398499323398"/>
    <n v="-2892.8909492056714"/>
    <n v="-914.97636238488849"/>
    <n v="0"/>
    <n v="0"/>
    <n v="0"/>
    <n v="0"/>
    <n v="0"/>
    <n v="-47.462966710291028"/>
    <m/>
    <n v="-11.67889255756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5.76235834858807"/>
    <n v="0"/>
    <n v="-2.58"/>
    <n v="-12.45"/>
    <n v="-1076.7"/>
    <n v="0"/>
    <m/>
    <m/>
    <m/>
    <m/>
    <m/>
    <n v="-371.61743999999999"/>
    <m/>
    <m/>
    <m/>
    <n v="-1080.7387207334766"/>
    <m/>
    <m/>
    <m/>
    <m/>
    <m/>
    <m/>
    <m/>
    <m/>
    <m/>
    <m/>
    <m/>
    <m/>
    <n v="-2727.5717999999997"/>
    <n v="1656.4396799999995"/>
    <m/>
    <m/>
    <m/>
    <m/>
    <n v="1884.8846400000002"/>
    <n v="0"/>
    <n v="30"/>
    <n v="81.247272742809855"/>
    <n v="0"/>
    <n v="0"/>
    <n v="0"/>
    <n v="0"/>
    <n v="0"/>
    <n v="0"/>
    <n v="0"/>
    <n v="59.101634203087087"/>
    <n v="0"/>
    <n v="0"/>
    <n v="0"/>
    <n v="0"/>
    <n v="0"/>
    <n v="0"/>
    <n v="0"/>
    <n v="0"/>
    <n v="18.994491216777021"/>
    <m/>
    <n v="0"/>
    <n v="0"/>
    <n v="0"/>
    <n v="0"/>
    <n v="2.5446033261410719"/>
    <n v="0.60654399680445792"/>
    <n v="0"/>
    <n v="0"/>
    <m/>
    <m/>
    <m/>
    <n v="-2892.8909492056714"/>
    <n v="0"/>
    <n v="0"/>
    <n v="1884.8846400000002"/>
    <n v="0"/>
    <n v="0"/>
    <n v="0"/>
    <n v="1803.6507294320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9.436"/>
    <n v="19.436"/>
    <n v="19.436"/>
    <n v="19.436"/>
    <m/>
    <n v="825.6"/>
    <n v="185.74"/>
    <m/>
    <n v="19656.40424"/>
    <n v="19656.40424"/>
    <n v="12219.413199999999"/>
    <n v="0"/>
    <n v="1211.7406480885097"/>
    <n v="0"/>
    <n v="0"/>
    <n v="0"/>
    <n v="2533.1270426976234"/>
    <n v="11414.175495079462"/>
    <n v="3610.125980372045"/>
    <n v="0"/>
    <n v="0"/>
    <n v="0"/>
    <n v="0"/>
    <n v="0"/>
    <n v="187.26963479115233"/>
    <m/>
    <n v="46.080177780920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4.03109964741316"/>
    <n v="0"/>
    <n v="8.6199999999999992"/>
    <n v="43.89"/>
    <n v="7772.2"/>
    <n v="105"/>
    <m/>
    <m/>
    <m/>
    <m/>
    <m/>
    <n v="1466.2518399999999"/>
    <m/>
    <m/>
    <m/>
    <n v="4264.1570800194586"/>
    <m/>
    <m/>
    <m/>
    <m/>
    <m/>
    <m/>
    <m/>
    <m/>
    <m/>
    <m/>
    <m/>
    <m/>
    <n v="10755.374400000001"/>
    <n v="-6542.3068799999965"/>
    <m/>
    <m/>
    <m/>
    <m/>
    <n v="-7436.9910400000008"/>
    <n v="0"/>
    <n v="30"/>
    <n v="-320.5688170989124"/>
    <n v="0"/>
    <n v="0"/>
    <n v="0"/>
    <n v="0"/>
    <n v="0"/>
    <n v="0"/>
    <n v="0"/>
    <n v="-233.19110076557035"/>
    <n v="0"/>
    <n v="0"/>
    <n v="0"/>
    <n v="0"/>
    <n v="0"/>
    <n v="0"/>
    <n v="0"/>
    <n v="0"/>
    <n v="-74.944565832171747"/>
    <m/>
    <n v="0"/>
    <n v="0"/>
    <n v="0"/>
    <n v="0"/>
    <n v="-10.039973659536713"/>
    <n v="-2.3931768416344781"/>
    <n v="0"/>
    <n v="0"/>
    <m/>
    <m/>
    <m/>
    <n v="11414.175495079462"/>
    <n v="0"/>
    <n v="0"/>
    <n v="-7436.9910400000008"/>
    <n v="0"/>
    <n v="0"/>
    <n v="0"/>
    <n v="-7116.4749446286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7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-1.0269999999999999"/>
    <n v="-1.0269999999999999"/>
    <n v="-1.0269999999999999"/>
    <n v="-1.0269999999999999"/>
    <m/>
    <n v="825.6"/>
    <n v="185.74"/>
    <m/>
    <n v="-1038.64618"/>
    <n v="-1038.64618"/>
    <n v="-645.67489999999998"/>
    <n v="0"/>
    <n v="-64.028485572489174"/>
    <n v="0"/>
    <n v="0"/>
    <n v="0"/>
    <n v="-133.85066231994543"/>
    <n v="-603.12606675481618"/>
    <n v="-190.7593837128056"/>
    <n v="0"/>
    <n v="0"/>
    <n v="0"/>
    <n v="0"/>
    <n v="0"/>
    <n v="-9.8953444603063101"/>
    <m/>
    <n v="-2.4348807666703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559062530247644"/>
    <n v="0"/>
    <n v="-0.71"/>
    <n v="-3.01"/>
    <n v="-265.95999999999998"/>
    <n v="2"/>
    <m/>
    <m/>
    <m/>
    <m/>
    <m/>
    <n v="-77.476879999999994"/>
    <m/>
    <m/>
    <m/>
    <n v="-225.31844624305324"/>
    <m/>
    <m/>
    <m/>
    <m/>
    <m/>
    <m/>
    <m/>
    <m/>
    <m/>
    <m/>
    <m/>
    <m/>
    <n v="-569.8578"/>
    <n v="344.12165999999979"/>
    <m/>
    <m/>
    <m/>
    <m/>
    <n v="392.97128000000004"/>
    <n v="0"/>
    <n v="30"/>
    <n v="16.93888532417094"/>
    <n v="0"/>
    <n v="0"/>
    <n v="0"/>
    <n v="0"/>
    <n v="0"/>
    <n v="0"/>
    <n v="0"/>
    <n v="12.321838880749169"/>
    <n v="0"/>
    <n v="0"/>
    <n v="0"/>
    <n v="0"/>
    <n v="0"/>
    <n v="0"/>
    <n v="0"/>
    <n v="0"/>
    <n v="3.9600776450730919"/>
    <m/>
    <n v="0"/>
    <n v="0"/>
    <n v="0"/>
    <n v="0"/>
    <n v="0.53051311732579798"/>
    <n v="0.12645568102277238"/>
    <n v="0"/>
    <n v="0"/>
    <m/>
    <m/>
    <m/>
    <n v="-603.12606675481618"/>
    <n v="0"/>
    <n v="0"/>
    <n v="392.97127999999998"/>
    <n v="0"/>
    <n v="0"/>
    <n v="0"/>
    <n v="376.0351804966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8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0.763000000000002"/>
    <n v="20.763000000000002"/>
    <n v="20.763000000000002"/>
    <n v="20.763000000000002"/>
    <m/>
    <n v="825.6"/>
    <n v="185.74"/>
    <m/>
    <n v="20998.452420000001"/>
    <n v="20998.452420000001"/>
    <n v="13053.698100000001"/>
    <n v="0"/>
    <n v="1294.4726834874321"/>
    <n v="0"/>
    <n v="0"/>
    <n v="0"/>
    <n v="2706.0772168929184"/>
    <n v="12193.482496621469"/>
    <n v="3856.6086504663908"/>
    <n v="0"/>
    <n v="0"/>
    <n v="0"/>
    <n v="0"/>
    <n v="0"/>
    <n v="200.05553751639721"/>
    <m/>
    <n v="49.226318752071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8.68531189438363"/>
    <n v="0"/>
    <n v="12.27"/>
    <n v="62.67"/>
    <n v="4216.38"/>
    <n v="91"/>
    <m/>
    <m/>
    <m/>
    <m/>
    <m/>
    <m/>
    <m/>
    <m/>
    <m/>
    <n v="4555.2939623607745"/>
    <m/>
    <m/>
    <m/>
    <m/>
    <m/>
    <m/>
    <m/>
    <m/>
    <m/>
    <m/>
    <m/>
    <m/>
    <n v="13051.812"/>
    <n v="-7946.6704199999967"/>
    <m/>
    <m/>
    <m/>
    <m/>
    <n v="-7944.7543200000018"/>
    <n v="0"/>
    <n v="30"/>
    <n v="-342.45577019061238"/>
    <n v="0"/>
    <n v="0"/>
    <n v="0"/>
    <n v="0"/>
    <n v="0"/>
    <n v="0"/>
    <n v="0"/>
    <n v="-249.11230835539891"/>
    <n v="0"/>
    <n v="0"/>
    <n v="0"/>
    <n v="0"/>
    <n v="0"/>
    <n v="0"/>
    <n v="0"/>
    <n v="0"/>
    <n v="-80.06143344172574"/>
    <m/>
    <n v="0"/>
    <n v="0"/>
    <n v="0"/>
    <n v="0"/>
    <n v="-10.725456528759054"/>
    <n v="-2.5565718647281628"/>
    <n v="0"/>
    <n v="0"/>
    <m/>
    <m/>
    <m/>
    <n v="12193.482496621469"/>
    <n v="0"/>
    <n v="0"/>
    <n v="-7944.7543200000018"/>
    <n v="0"/>
    <n v="0"/>
    <n v="0"/>
    <n v="-7602.3548711321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19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74.95"/>
    <n v="365.58"/>
    <n v="31247.79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0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0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54.47"/>
    <n v="265.66000000000003"/>
    <n v="22705.79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n v="30"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1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7.4219999999999997"/>
    <n v="6.9766799999999991"/>
    <n v="7.4219999999999997"/>
    <n v="6.9766799999999991"/>
    <m/>
    <n v="825.6"/>
    <n v="185.74"/>
    <m/>
    <n v="7506.1654799999997"/>
    <n v="7506.1654799999997"/>
    <n v="4666.2114000000001"/>
    <n v="0"/>
    <n v="462.72582270595387"/>
    <n v="0"/>
    <n v="0"/>
    <n v="0"/>
    <n v="967.32192379613923"/>
    <n v="4358.7163266350981"/>
    <n v="1378.5941050793022"/>
    <n v="0"/>
    <n v="0"/>
    <n v="0"/>
    <n v="0"/>
    <n v="0"/>
    <n v="71.512411474579778"/>
    <m/>
    <n v="17.596577458838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75400399172156"/>
    <n v="0"/>
    <n v="4.01"/>
    <n v="19.670000000000002"/>
    <n v="0"/>
    <n v="5"/>
    <m/>
    <m/>
    <m/>
    <m/>
    <n v="279.97268400000036"/>
    <m/>
    <m/>
    <m/>
    <m/>
    <n v="1628.3481090710238"/>
    <m/>
    <m/>
    <m/>
    <m/>
    <m/>
    <m/>
    <m/>
    <m/>
    <m/>
    <m/>
    <m/>
    <m/>
    <n v="4388.326"/>
    <n v="-2667.4995511999996"/>
    <m/>
    <m/>
    <m/>
    <m/>
    <n v="-2839.9540800000004"/>
    <n v="0"/>
    <n v="30"/>
    <n v="-122.41519656864239"/>
    <n v="0"/>
    <n v="0"/>
    <n v="0"/>
    <n v="0"/>
    <n v="0"/>
    <n v="0"/>
    <n v="0"/>
    <n v="-89.048381862629299"/>
    <n v="0"/>
    <n v="0"/>
    <n v="0"/>
    <n v="0"/>
    <n v="0"/>
    <n v="0"/>
    <n v="0"/>
    <n v="0"/>
    <n v="-28.618983721258473"/>
    <m/>
    <n v="0"/>
    <n v="0"/>
    <n v="0"/>
    <n v="0"/>
    <n v="-3.8339516619202243"/>
    <n v="-0.91387932283448592"/>
    <n v="0"/>
    <n v="0"/>
    <m/>
    <m/>
    <m/>
    <n v="4358.7163266350981"/>
    <n v="0"/>
    <n v="0"/>
    <n v="-2839.95408"/>
    <n v="0"/>
    <n v="0"/>
    <n v="0"/>
    <n v="-2717.559016208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2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48899999999999999"/>
    <n v="0.48899999999999999"/>
    <n v="0.48899999999999999"/>
    <n v="0.48899999999999999"/>
    <m/>
    <n v="825.6"/>
    <n v="185.74"/>
    <m/>
    <n v="494.54526000000004"/>
    <n v="494.54526000000004"/>
    <n v="307.43430000000001"/>
    <n v="0"/>
    <n v="30.486786217085886"/>
    <n v="0"/>
    <n v="0"/>
    <n v="0"/>
    <n v="63.732204356819196"/>
    <n v="287.17492370312084"/>
    <n v="90.828956801910365"/>
    <n v="0"/>
    <n v="0"/>
    <n v="0"/>
    <n v="0"/>
    <n v="0"/>
    <n v="4.7116099718498399"/>
    <m/>
    <n v="1.159354133302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55094038258132"/>
    <n v="0"/>
    <n v="0.28000000000000003"/>
    <n v="1.47"/>
    <n v="126.18"/>
    <n v="4"/>
    <m/>
    <m/>
    <m/>
    <m/>
    <m/>
    <m/>
    <m/>
    <m/>
    <m/>
    <n v="107.2840508401685"/>
    <m/>
    <m/>
    <m/>
    <m/>
    <m/>
    <m/>
    <m/>
    <m/>
    <m/>
    <m/>
    <m/>
    <m/>
    <n v="308.06299999999999"/>
    <n v="-186.51226000000003"/>
    <m/>
    <m/>
    <m/>
    <m/>
    <n v="-187.11096000000001"/>
    <n v="0"/>
    <n v="30"/>
    <n v="-8.0653504610706079"/>
    <n v="0"/>
    <n v="0"/>
    <n v="0"/>
    <n v="0"/>
    <n v="0"/>
    <n v="0"/>
    <n v="0"/>
    <n v="-5.8669709957997469"/>
    <n v="0"/>
    <n v="0"/>
    <n v="0"/>
    <n v="0"/>
    <n v="0"/>
    <n v="0"/>
    <n v="0"/>
    <n v="0"/>
    <n v="-1.8855676421039327"/>
    <m/>
    <n v="0"/>
    <n v="0"/>
    <n v="0"/>
    <n v="0"/>
    <n v="-0.25260069559134823"/>
    <n v="-6.0211127575594769E-2"/>
    <n v="0"/>
    <n v="0"/>
    <m/>
    <m/>
    <m/>
    <n v="287.17492370312084"/>
    <n v="0"/>
    <n v="0"/>
    <n v="-187.11096000000003"/>
    <n v="0"/>
    <n v="0"/>
    <n v="0"/>
    <n v="-179.0469359911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3"/>
    <s v="Regular"/>
    <s v="Convencional"/>
    <s v="B3"/>
    <s v="Serviço público"/>
    <s v="Tração elétrica"/>
    <s v="Não se aplica"/>
    <s v="Não se aplica"/>
    <s v="Não se aplica"/>
    <s v="CATIVO"/>
    <x v="2"/>
    <n v="0"/>
    <n v="0"/>
    <n v="4.2000000000000003E-2"/>
    <n v="4.2000000000000003E-2"/>
    <n v="4.2000000000000003E-2"/>
    <n v="4.2000000000000003E-2"/>
    <m/>
    <n v="825.6"/>
    <n v="185.74"/>
    <m/>
    <n v="42.476280000000003"/>
    <n v="42.476280000000003"/>
    <n v="26.4054"/>
    <n v="0"/>
    <n v="2.6184969757006282"/>
    <n v="0"/>
    <n v="0"/>
    <n v="0"/>
    <n v="5.473931662548889"/>
    <n v="24.665330870206702"/>
    <n v="7.8012600934156149"/>
    <n v="0"/>
    <n v="0"/>
    <n v="0"/>
    <n v="0"/>
    <n v="0"/>
    <n v="0.40467815709139732"/>
    <m/>
    <n v="9.957642862722114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133209603411894"/>
    <n v="0"/>
    <n v="0.02"/>
    <n v="0.13"/>
    <n v="0"/>
    <n v="1"/>
    <m/>
    <m/>
    <m/>
    <m/>
    <m/>
    <m/>
    <m/>
    <m/>
    <m/>
    <n v="9.2145810537568043"/>
    <m/>
    <m/>
    <m/>
    <m/>
    <m/>
    <m/>
    <m/>
    <m/>
    <m/>
    <m/>
    <m/>
    <m/>
    <n v="25.148"/>
    <n v="-17.358279999999997"/>
    <m/>
    <m/>
    <m/>
    <m/>
    <n v="-16.070880000000002"/>
    <n v="0"/>
    <n v="30"/>
    <n v="-0.69272948745391361"/>
    <n v="0"/>
    <n v="0"/>
    <n v="0"/>
    <n v="0"/>
    <n v="0"/>
    <n v="0"/>
    <n v="0"/>
    <n v="-0.50391161927114414"/>
    <n v="0"/>
    <n v="0"/>
    <n v="0"/>
    <n v="0"/>
    <n v="0"/>
    <n v="0"/>
    <n v="0"/>
    <n v="0"/>
    <n v="-0.16195059502733145"/>
    <m/>
    <n v="0"/>
    <n v="0"/>
    <n v="0"/>
    <n v="0"/>
    <n v="-2.1695765265514588E-2"/>
    <n v="-5.1715078899283867E-3"/>
    <n v="0"/>
    <n v="0"/>
    <m/>
    <m/>
    <m/>
    <n v="24.665330870206702"/>
    <n v="0"/>
    <n v="0"/>
    <n v="-16.070880000000002"/>
    <n v="0"/>
    <n v="0"/>
    <n v="0"/>
    <n v="-15.378264440955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4"/>
    <s v="Regular"/>
    <s v="Convencional"/>
    <s v="B1"/>
    <s v="Residencial"/>
    <s v="Residencial"/>
    <s v="Não se aplica"/>
    <s v="Não se aplica"/>
    <s v="Não se aplica"/>
    <s v="CATIVO"/>
    <x v="3"/>
    <n v="0"/>
    <n v="0"/>
    <n v="1188.22"/>
    <n v="1188.22"/>
    <n v="1188.22"/>
    <n v="1188.22"/>
    <m/>
    <n v="825.6"/>
    <n v="185.74"/>
    <m/>
    <n v="1201694.4148000001"/>
    <n v="1201694.4148000001"/>
    <n v="747033.91399999999"/>
    <n v="0"/>
    <n v="74079.773249214297"/>
    <n v="0"/>
    <n v="0"/>
    <n v="0"/>
    <n v="154862.74000175809"/>
    <n v="697805.70110945252"/>
    <n v="220705.07781424528"/>
    <n v="0"/>
    <n v="0"/>
    <n v="0"/>
    <n v="0"/>
    <n v="0"/>
    <n v="11448.730471884288"/>
    <m/>
    <n v="2817.1120005580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84.195988014471"/>
    <n v="0"/>
    <n v="512.20000000000005"/>
    <n v="2670.75"/>
    <n v="186926.97"/>
    <n v="8096"/>
    <m/>
    <m/>
    <m/>
    <m/>
    <m/>
    <m/>
    <m/>
    <m/>
    <m/>
    <n v="260689.27380225976"/>
    <m/>
    <m/>
    <m/>
    <m/>
    <m/>
    <m/>
    <m/>
    <m/>
    <m/>
    <m/>
    <m/>
    <m/>
    <n v="747033.91399999999"/>
    <n v="-454660.53080000018"/>
    <m/>
    <m/>
    <m/>
    <m/>
    <n v="-454660.50080000004"/>
    <n v="0"/>
    <m/>
    <n v="-19597.976942440378"/>
    <n v="0"/>
    <n v="0"/>
    <n v="0"/>
    <n v="0"/>
    <n v="0"/>
    <n v="0"/>
    <n v="0"/>
    <n v="-14256.139625008538"/>
    <n v="0"/>
    <n v="0"/>
    <n v="0"/>
    <n v="0"/>
    <n v="0"/>
    <n v="0"/>
    <n v="0"/>
    <n v="0"/>
    <n v="-4581.7365719851368"/>
    <m/>
    <n v="0"/>
    <n v="0"/>
    <n v="0"/>
    <n v="0"/>
    <n v="-613.79386199499459"/>
    <n v="-146.30688345168301"/>
    <n v="0"/>
    <n v="0"/>
    <m/>
    <m/>
    <m/>
    <n v="697805.70110945252"/>
    <n v="0"/>
    <n v="0"/>
    <n v="-454660.50080000004"/>
    <n v="0"/>
    <n v="0"/>
    <n v="0"/>
    <n v="-435065.7470007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5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7.8010000000000002"/>
    <n v="-7.8010000000000002"/>
    <n v="-7.8010000000000002"/>
    <n v="-7.8010000000000002"/>
    <m/>
    <n v="825.6"/>
    <n v="185.74"/>
    <m/>
    <n v="-7889.4633400000002"/>
    <n v="-7889.4633400000002"/>
    <n v="-4904.4886999999999"/>
    <n v="0"/>
    <n v="-486.35464065334764"/>
    <n v="0"/>
    <n v="0"/>
    <n v="0"/>
    <n v="-1016.7176404653304"/>
    <n v="-4581.2915742495825"/>
    <n v="-1448.9911902079812"/>
    <n v="0"/>
    <n v="0"/>
    <n v="0"/>
    <n v="0"/>
    <n v="0"/>
    <n v="-75.164150082618818"/>
    <m/>
    <n v="-18.495136183832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62.507543133848"/>
    <n v="0"/>
    <n v="-3.67"/>
    <n v="-17.66"/>
    <n v="-1973.27"/>
    <n v="0"/>
    <m/>
    <m/>
    <m/>
    <m/>
    <m/>
    <m/>
    <m/>
    <m/>
    <m/>
    <n v="-1711.4987333418292"/>
    <m/>
    <m/>
    <m/>
    <m/>
    <m/>
    <m/>
    <m/>
    <m/>
    <m/>
    <m/>
    <m/>
    <m/>
    <n v="-4903.8599999999997"/>
    <n v="2985.5733399999999"/>
    <m/>
    <m/>
    <m/>
    <m/>
    <n v="2984.9746400000004"/>
    <n v="0"/>
    <m/>
    <n v="128.66625551495281"/>
    <n v="0"/>
    <n v="0"/>
    <n v="0"/>
    <n v="0"/>
    <n v="0"/>
    <n v="0"/>
    <n v="0"/>
    <n v="93.595584331766531"/>
    <n v="0"/>
    <n v="0"/>
    <n v="0"/>
    <n v="0"/>
    <n v="0"/>
    <n v="0"/>
    <n v="0"/>
    <n v="0"/>
    <n v="30.080395043052704"/>
    <m/>
    <n v="0"/>
    <n v="0"/>
    <n v="0"/>
    <n v="0"/>
    <n v="4.0297301151495049"/>
    <n v="0.96054602498407604"/>
    <n v="0"/>
    <n v="0"/>
    <m/>
    <m/>
    <m/>
    <n v="-4581.2915742495825"/>
    <n v="0"/>
    <n v="0"/>
    <n v="2984.9746400000004"/>
    <n v="0"/>
    <n v="0"/>
    <n v="0"/>
    <n v="2856.3295453307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6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7.101"/>
    <n v="7.101"/>
    <n v="7.101"/>
    <n v="7.101"/>
    <m/>
    <n v="825.6"/>
    <n v="185.74"/>
    <m/>
    <n v="7181.5253400000001"/>
    <n v="7181.5253400000001"/>
    <n v="4464.3986999999997"/>
    <n v="0"/>
    <n v="442.7130243916705"/>
    <n v="0"/>
    <n v="0"/>
    <n v="0"/>
    <n v="925.48544608951556"/>
    <n v="4170.2027264128037"/>
    <n v="1318.9701886510543"/>
    <n v="0"/>
    <n v="0"/>
    <n v="0"/>
    <n v="0"/>
    <n v="0"/>
    <n v="68.419514131095525"/>
    <m/>
    <n v="16.835529040045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95219379482819"/>
    <n v="0"/>
    <n v="2.31"/>
    <n v="12.54"/>
    <n v="3518.31"/>
    <n v="58"/>
    <m/>
    <m/>
    <m/>
    <m/>
    <m/>
    <m/>
    <m/>
    <m/>
    <m/>
    <n v="1557.9223824458825"/>
    <m/>
    <m/>
    <m/>
    <m/>
    <m/>
    <m/>
    <m/>
    <m/>
    <m/>
    <m/>
    <m/>
    <m/>
    <n v="4463.7699999999995"/>
    <n v="-2717.7853400000013"/>
    <m/>
    <m/>
    <m/>
    <m/>
    <n v="-2717.1266400000004"/>
    <n v="0"/>
    <m/>
    <n v="-117.12076405738753"/>
    <n v="0"/>
    <n v="0"/>
    <n v="0"/>
    <n v="0"/>
    <n v="0"/>
    <n v="0"/>
    <n v="0"/>
    <n v="-85.197057343914139"/>
    <n v="0"/>
    <n v="0"/>
    <n v="0"/>
    <n v="0"/>
    <n v="0"/>
    <n v="0"/>
    <n v="0"/>
    <n v="0"/>
    <n v="-27.381218459263835"/>
    <m/>
    <n v="0"/>
    <n v="0"/>
    <n v="0"/>
    <n v="0"/>
    <n v="-3.6681340273909342"/>
    <n v="-0.87435422681860508"/>
    <n v="0"/>
    <n v="0"/>
    <m/>
    <m/>
    <m/>
    <n v="4170.2027264128037"/>
    <n v="0"/>
    <n v="0"/>
    <n v="-2717.1266400000004"/>
    <n v="0"/>
    <n v="0"/>
    <n v="0"/>
    <n v="-2600.0251379814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7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6.03"/>
    <n v="6.03"/>
    <n v="6.03"/>
    <n v="6.03"/>
    <m/>
    <n v="753.62"/>
    <n v="185.74"/>
    <m/>
    <n v="5664.3407999999999"/>
    <n v="5664.3407999999999"/>
    <n v="3383.3727000000003"/>
    <n v="0"/>
    <n v="0"/>
    <n v="0"/>
    <n v="0"/>
    <n v="0"/>
    <n v="785.90018869451899"/>
    <n v="3541.2367892225334"/>
    <n v="1120.0380562689561"/>
    <n v="0"/>
    <n v="0"/>
    <n v="0"/>
    <n v="0"/>
    <n v="0"/>
    <n v="0"/>
    <m/>
    <n v="14.296330110051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91250930612787"/>
    <n v="0"/>
    <n v="0"/>
    <n v="4.0199999999999996"/>
    <n v="161.47"/>
    <n v="12"/>
    <m/>
    <m/>
    <m/>
    <m/>
    <m/>
    <m/>
    <m/>
    <n v="2199.2013000000002"/>
    <m/>
    <n v="1322.9505655750841"/>
    <m/>
    <m/>
    <m/>
    <m/>
    <m/>
    <m/>
    <m/>
    <m/>
    <m/>
    <m/>
    <m/>
    <m/>
    <n v="1184.1714000000002"/>
    <n v="-798.40199999999982"/>
    <m/>
    <m/>
    <m/>
    <m/>
    <n v="-2280.9681"/>
    <n v="0"/>
    <m/>
    <n v="-73.089791828125726"/>
    <n v="0"/>
    <n v="0"/>
    <n v="0"/>
    <n v="0"/>
    <n v="0"/>
    <n v="0"/>
    <n v="0"/>
    <n v="-72.347311052500004"/>
    <n v="0"/>
    <n v="0"/>
    <n v="0"/>
    <n v="0"/>
    <n v="0"/>
    <n v="0"/>
    <n v="0"/>
    <n v="0"/>
    <n v="0"/>
    <m/>
    <n v="0"/>
    <n v="0"/>
    <n v="0"/>
    <n v="0"/>
    <n v="0"/>
    <n v="-0.74248077562543102"/>
    <n v="0"/>
    <n v="0"/>
    <m/>
    <m/>
    <m/>
    <n v="3541.2367892225334"/>
    <n v="0"/>
    <n v="0"/>
    <n v="-2280.9680999999996"/>
    <n v="0"/>
    <n v="0"/>
    <n v="0"/>
    <n v="-2207.879394737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28"/>
    <s v="Sistema de Compensação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29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2.305999999999999"/>
    <n v="12.305999999999999"/>
    <n v="12.305999999999999"/>
    <n v="12.305999999999999"/>
    <m/>
    <n v="753.62"/>
    <n v="185.74"/>
    <m/>
    <n v="11559.764159999999"/>
    <n v="11559.764159999999"/>
    <n v="6904.7735400000001"/>
    <n v="0"/>
    <n v="0"/>
    <n v="0"/>
    <n v="0"/>
    <n v="0"/>
    <n v="1603.8619771268241"/>
    <n v="7226.9419449705629"/>
    <n v="2285.7692073707749"/>
    <n v="0"/>
    <n v="0"/>
    <n v="0"/>
    <n v="0"/>
    <n v="0"/>
    <n v="0"/>
    <m/>
    <n v="29.1758935877757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4.10304137996843"/>
    <n v="0"/>
    <n v="1.81"/>
    <n v="12.27"/>
    <n v="571"/>
    <n v="36"/>
    <m/>
    <m/>
    <m/>
    <m/>
    <m/>
    <m/>
    <m/>
    <n v="2761.8355799999999"/>
    <m/>
    <n v="2699.8722487507434"/>
    <m/>
    <m/>
    <m/>
    <m/>
    <m/>
    <m/>
    <m/>
    <m/>
    <m/>
    <m/>
    <m/>
    <m/>
    <n v="4144.2846000000009"/>
    <n v="-2791.6531199999999"/>
    <m/>
    <m/>
    <m/>
    <m/>
    <n v="-4654.9906199999996"/>
    <n v="0"/>
    <m/>
    <n v="-149.16135625819516"/>
    <n v="0"/>
    <n v="0"/>
    <n v="0"/>
    <n v="0"/>
    <n v="0"/>
    <n v="0"/>
    <n v="0"/>
    <n v="-147.64610444644518"/>
    <n v="0"/>
    <n v="0"/>
    <n v="0"/>
    <n v="0"/>
    <n v="0"/>
    <n v="0"/>
    <n v="0"/>
    <n v="0"/>
    <n v="0"/>
    <m/>
    <n v="0"/>
    <n v="0"/>
    <n v="0"/>
    <n v="0"/>
    <n v="0"/>
    <n v="-1.5152518117490139"/>
    <n v="0"/>
    <n v="0"/>
    <m/>
    <m/>
    <m/>
    <n v="7226.9419449705629"/>
    <n v="0"/>
    <n v="0"/>
    <n v="-4654.9906199999987"/>
    <n v="0"/>
    <n v="0"/>
    <n v="0"/>
    <n v="-4505.8314811998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.2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1.436999999999999"/>
    <n v="11.436999999999999"/>
    <n v="11.436999999999999"/>
    <n v="11.436999999999999"/>
    <m/>
    <n v="753.62"/>
    <n v="185.74"/>
    <m/>
    <n v="10743.46032"/>
    <n v="10743.46032"/>
    <n v="6417.1863300000005"/>
    <n v="0"/>
    <n v="0"/>
    <n v="0"/>
    <n v="0"/>
    <n v="0"/>
    <n v="1490.6037243945627"/>
    <n v="6716.6045038703332"/>
    <n v="2124.3574211522473"/>
    <n v="0"/>
    <n v="0"/>
    <n v="0"/>
    <n v="0"/>
    <n v="0"/>
    <n v="0"/>
    <m/>
    <n v="27.115609862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.8607577005281"/>
    <n v="0"/>
    <n v="3.79"/>
    <n v="17.02"/>
    <n v="1329.97"/>
    <n v="111"/>
    <m/>
    <m/>
    <m/>
    <m/>
    <m/>
    <m/>
    <m/>
    <n v="641.61570000000052"/>
    <m/>
    <n v="2509.2181788527755"/>
    <m/>
    <m/>
    <m/>
    <m/>
    <m/>
    <m/>
    <m/>
    <m/>
    <m/>
    <m/>
    <m/>
    <m/>
    <n v="5777.0855999999994"/>
    <n v="-3892.1273100000008"/>
    <m/>
    <m/>
    <m/>
    <m/>
    <n v="-4326.2739899999997"/>
    <n v="0"/>
    <m/>
    <n v="-138.62818393669477"/>
    <n v="0"/>
    <n v="0"/>
    <n v="0"/>
    <n v="0"/>
    <n v="0"/>
    <n v="0"/>
    <n v="0"/>
    <n v="-137.21993308581136"/>
    <n v="0"/>
    <n v="0"/>
    <n v="0"/>
    <n v="0"/>
    <n v="0"/>
    <n v="0"/>
    <n v="0"/>
    <n v="0"/>
    <n v="0"/>
    <m/>
    <n v="0"/>
    <n v="0"/>
    <n v="0"/>
    <n v="0"/>
    <n v="0"/>
    <n v="-1.4082508508835936"/>
    <n v="0"/>
    <n v="0"/>
    <m/>
    <m/>
    <m/>
    <n v="6716.6045038703332"/>
    <n v="0"/>
    <n v="0"/>
    <n v="-4326.2739899999997"/>
    <n v="0"/>
    <n v="0"/>
    <n v="0"/>
    <n v="-4187.6478669334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2"/>
    <s v="Sistema de Compensação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84999999999999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3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.5059999999999998"/>
    <n v="2.5059999999999998"/>
    <n v="2.5059999999999998"/>
    <n v="2.5059999999999998"/>
    <m/>
    <n v="753.62"/>
    <n v="185.74"/>
    <m/>
    <n v="2354.0361599999997"/>
    <n v="2354.0361599999997"/>
    <n v="1406.0915399999999"/>
    <n v="0"/>
    <n v="0"/>
    <n v="0"/>
    <n v="0"/>
    <n v="0"/>
    <n v="326.61125586541698"/>
    <n v="1471.6980752556663"/>
    <n v="465.47518557379829"/>
    <n v="0"/>
    <n v="0"/>
    <n v="0"/>
    <n v="0"/>
    <n v="0"/>
    <n v="0"/>
    <m/>
    <n v="5.9413935747575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328150633690953"/>
    <n v="0"/>
    <n v="1.19"/>
    <n v="4.3600000000000003"/>
    <n v="499.08"/>
    <n v="43"/>
    <m/>
    <m/>
    <m/>
    <m/>
    <m/>
    <m/>
    <m/>
    <m/>
    <m/>
    <n v="549.80333620748922"/>
    <m/>
    <m/>
    <m/>
    <m/>
    <m/>
    <m/>
    <m/>
    <m/>
    <m/>
    <m/>
    <m/>
    <m/>
    <n v="1408.3359"/>
    <n v="-945.73026000000027"/>
    <m/>
    <m/>
    <m/>
    <m/>
    <n v="-947.94461999999987"/>
    <n v="0"/>
    <m/>
    <n v="-30.375293253943937"/>
    <n v="0"/>
    <n v="0"/>
    <n v="0"/>
    <n v="0"/>
    <n v="0"/>
    <n v="0"/>
    <n v="0"/>
    <n v="-30.06672661651163"/>
    <n v="0"/>
    <n v="0"/>
    <n v="0"/>
    <n v="0"/>
    <n v="0"/>
    <n v="0"/>
    <n v="0"/>
    <n v="0"/>
    <n v="0"/>
    <m/>
    <n v="0"/>
    <n v="0"/>
    <n v="0"/>
    <n v="0"/>
    <n v="0"/>
    <n v="-0.30856663743239388"/>
    <n v="0"/>
    <n v="0"/>
    <m/>
    <m/>
    <m/>
    <n v="1471.6980752556663"/>
    <n v="0"/>
    <n v="0"/>
    <n v="-947.94461999999999"/>
    <n v="0"/>
    <n v="0"/>
    <n v="0"/>
    <n v="-917.5697783103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4"/>
    <s v="Regular"/>
    <s v="Branca"/>
    <s v="B1"/>
    <s v="Residencial"/>
    <s v="Residencial"/>
    <s v="Não se aplica"/>
    <s v="Não se aplica"/>
    <s v="Ponta"/>
    <s v="CATIVO"/>
    <x v="3"/>
    <n v="0"/>
    <n v="0"/>
    <n v="4.5999999999999999E-2"/>
    <n v="4.5999999999999999E-2"/>
    <n v="4.5999999999999999E-2"/>
    <n v="4.5999999999999999E-2"/>
    <m/>
    <n v="2045.69"/>
    <n v="185.74"/>
    <m/>
    <n v="102.64578"/>
    <n v="102.64578"/>
    <n v="55.472319999999996"/>
    <n v="0"/>
    <n v="2.8678776400530692"/>
    <n v="0"/>
    <n v="0"/>
    <n v="0"/>
    <n v="16.194602914521937"/>
    <n v="72.938884246613895"/>
    <n v="8.5442372451694819"/>
    <n v="0"/>
    <n v="0"/>
    <n v="0"/>
    <n v="0"/>
    <n v="0"/>
    <n v="0.44321893395724465"/>
    <m/>
    <n v="0.10905989802028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479229565641595"/>
    <n v="0"/>
    <n v="0"/>
    <n v="0"/>
    <n v="0"/>
    <n v="0"/>
    <m/>
    <m/>
    <m/>
    <m/>
    <m/>
    <m/>
    <m/>
    <m/>
    <m/>
    <n v="10.092160201733641"/>
    <m/>
    <m/>
    <m/>
    <m/>
    <m/>
    <m/>
    <m/>
    <m/>
    <m/>
    <m/>
    <m/>
    <m/>
    <n v="60.295999999999999"/>
    <n v="-42.379780000000018"/>
    <m/>
    <m/>
    <m/>
    <m/>
    <n v="-47.173460000000006"/>
    <n v="0"/>
    <m/>
    <n v="-1.697620846915644"/>
    <n v="0"/>
    <n v="0"/>
    <n v="0"/>
    <n v="0"/>
    <n v="0"/>
    <n v="0"/>
    <n v="0"/>
    <n v="-1.4908203246202234"/>
    <n v="0"/>
    <n v="0"/>
    <n v="0"/>
    <n v="0"/>
    <n v="0"/>
    <n v="0"/>
    <n v="0"/>
    <n v="0"/>
    <n v="-0.17737446122041112"/>
    <m/>
    <n v="0"/>
    <n v="0"/>
    <n v="0"/>
    <n v="0"/>
    <n v="-2.3762028624135068E-2"/>
    <n v="-5.6640324508739348E-3"/>
    <n v="0"/>
    <n v="0"/>
    <m/>
    <m/>
    <m/>
    <n v="72.938884246613895"/>
    <n v="0"/>
    <n v="0"/>
    <n v="-47.173460000000013"/>
    <n v="0"/>
    <n v="0"/>
    <n v="0"/>
    <n v="-45.475710659430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5"/>
    <s v="Regular"/>
    <s v="Branca"/>
    <s v="B1"/>
    <s v="Residencial"/>
    <s v="Residencial"/>
    <s v="Não se aplica"/>
    <s v="Não se aplica"/>
    <s v="Fora ponta"/>
    <s v="CATIVO"/>
    <x v="3"/>
    <n v="0"/>
    <n v="0"/>
    <n v="0.625"/>
    <n v="0.625"/>
    <n v="0.625"/>
    <n v="0.625"/>
    <m/>
    <n v="495.6"/>
    <n v="185.74"/>
    <m/>
    <n v="425.83749999999998"/>
    <n v="425.83749999999998"/>
    <n v="295.39999999999998"/>
    <n v="0"/>
    <n v="38.965728805068871"/>
    <n v="0"/>
    <n v="0"/>
    <n v="0"/>
    <n v="44.047320194475937"/>
    <n v="198.20333521306125"/>
    <n v="116.09017996154188"/>
    <n v="0"/>
    <n v="0"/>
    <n v="0"/>
    <n v="0"/>
    <n v="0"/>
    <n v="6.0219963852886504"/>
    <m/>
    <n v="1.4817920926669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031561909839127"/>
    <n v="0"/>
    <n v="0"/>
    <n v="0"/>
    <n v="0"/>
    <n v="0"/>
    <m/>
    <m/>
    <m/>
    <m/>
    <m/>
    <m/>
    <m/>
    <m/>
    <m/>
    <n v="137.121741871381"/>
    <m/>
    <m/>
    <m/>
    <m/>
    <m/>
    <m/>
    <m/>
    <m/>
    <m/>
    <m/>
    <m/>
    <m/>
    <n v="297.76319999999998"/>
    <n v="-128.10429999999997"/>
    <m/>
    <m/>
    <m/>
    <m/>
    <n v="-130.43750000000003"/>
    <n v="0"/>
    <m/>
    <n v="-6.864636899414819"/>
    <n v="0"/>
    <n v="0"/>
    <n v="0"/>
    <n v="0"/>
    <n v="0"/>
    <n v="0"/>
    <n v="0"/>
    <n v="-4.054847194314064"/>
    <n v="0"/>
    <n v="0"/>
    <n v="0"/>
    <n v="0"/>
    <n v="0"/>
    <n v="0"/>
    <n v="0"/>
    <n v="0"/>
    <n v="-2.4099790926686211"/>
    <m/>
    <n v="0"/>
    <n v="0"/>
    <n v="0"/>
    <n v="0"/>
    <n v="-0.32285364978444342"/>
    <n v="-7.6956962647743765E-2"/>
    <n v="0"/>
    <n v="0"/>
    <m/>
    <m/>
    <m/>
    <n v="198.20333521306125"/>
    <n v="0"/>
    <n v="0"/>
    <n v="-130.4375"/>
    <n v="0"/>
    <n v="0"/>
    <n v="0"/>
    <n v="-123.57520432322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6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8000000000000003"/>
    <n v="1.4"/>
    <n v="133.2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Intermediário"/>
    <s v="CATIVO"/>
    <x v="3"/>
    <n v="0"/>
    <n v="0"/>
    <n v="3.5000000000000003E-2"/>
    <n v="3.5000000000000003E-2"/>
    <n v="3.5000000000000003E-2"/>
    <n v="3.5000000000000003E-2"/>
    <m/>
    <n v="1270.6099999999999"/>
    <n v="185.74"/>
    <m/>
    <n v="50.972250000000003"/>
    <n v="50.972250000000003"/>
    <n v="29.373750000000005"/>
    <n v="0"/>
    <n v="2.1820808130838572"/>
    <n v="0"/>
    <n v="0"/>
    <n v="0"/>
    <n v="7.3931889876659165"/>
    <n v="33.298203600299964"/>
    <n v="6.5010500778463456"/>
    <n v="0"/>
    <n v="0"/>
    <n v="0"/>
    <n v="0"/>
    <n v="0"/>
    <n v="0.33723179757616445"/>
    <m/>
    <n v="8.29803571893509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777674669509912"/>
    <n v="0"/>
    <n v="0"/>
    <n v="0"/>
    <n v="0"/>
    <n v="0"/>
    <m/>
    <m/>
    <m/>
    <m/>
    <m/>
    <m/>
    <m/>
    <m/>
    <m/>
    <n v="7.6788175447973366"/>
    <m/>
    <m/>
    <m/>
    <m/>
    <m/>
    <m/>
    <m/>
    <m/>
    <m/>
    <m/>
    <m/>
    <m/>
    <n v="33.57"/>
    <n v="-17.432249999999996"/>
    <m/>
    <m/>
    <m/>
    <m/>
    <n v="-21.598499999999998"/>
    <n v="0"/>
    <m/>
    <n v="-0.83794017530728127"/>
    <n v="0"/>
    <n v="0"/>
    <n v="0"/>
    <n v="0"/>
    <n v="0"/>
    <n v="0"/>
    <n v="0"/>
    <n v="-0.68059195182163545"/>
    <n v="0"/>
    <n v="0"/>
    <n v="0"/>
    <n v="0"/>
    <n v="0"/>
    <n v="0"/>
    <n v="0"/>
    <n v="0"/>
    <n v="-0.13495882918944302"/>
    <m/>
    <n v="0"/>
    <n v="0"/>
    <n v="0"/>
    <n v="0"/>
    <n v="-1.8079804387928833E-2"/>
    <n v="-4.3095899082736533E-3"/>
    <n v="0"/>
    <n v="0"/>
    <m/>
    <m/>
    <m/>
    <n v="33.298203600299964"/>
    <n v="0"/>
    <n v="0"/>
    <n v="-21.598499999999998"/>
    <n v="0"/>
    <n v="0"/>
    <n v="0"/>
    <n v="-20.760661313191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8"/>
    <s v="Regular"/>
    <s v="Convencional"/>
    <s v="B3"/>
    <s v="Industrial"/>
    <s v="Não se aplica"/>
    <s v="Não se aplica"/>
    <s v="Não se aplica"/>
    <s v="Não se aplica"/>
    <s v="CATIVO"/>
    <x v="3"/>
    <n v="0"/>
    <n v="0"/>
    <n v="37.765999999999998"/>
    <n v="37.765999999999998"/>
    <n v="37.765999999999998"/>
    <n v="37.765999999999998"/>
    <m/>
    <n v="825.6"/>
    <n v="185.74"/>
    <m/>
    <n v="38194.266439999999"/>
    <n v="38194.266439999999"/>
    <n v="23743.484199999999"/>
    <n v="0"/>
    <n v="2354.5275424835695"/>
    <n v="0"/>
    <n v="0"/>
    <n v="0"/>
    <n v="4922.1072182814596"/>
    <n v="22178.830610576813"/>
    <n v="7014.8187782841451"/>
    <n v="0"/>
    <n v="0"/>
    <n v="0"/>
    <n v="0"/>
    <n v="0"/>
    <n v="363.88274477889786"/>
    <m/>
    <n v="89.538176274657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0.844747339175"/>
    <n v="0"/>
    <n v="17.260000000000002"/>
    <n v="84.79"/>
    <n v="9735.67"/>
    <n v="47"/>
    <m/>
    <m/>
    <m/>
    <m/>
    <m/>
    <m/>
    <m/>
    <m/>
    <m/>
    <n v="8285.6635256233203"/>
    <m/>
    <m/>
    <m/>
    <m/>
    <m/>
    <m/>
    <m/>
    <m/>
    <m/>
    <m/>
    <m/>
    <m/>
    <n v="23745.999000000003"/>
    <n v="-14448.297439999995"/>
    <m/>
    <m/>
    <m/>
    <m/>
    <n v="-14450.78224"/>
    <n v="0"/>
    <m/>
    <n v="-622.89575769487055"/>
    <n v="0"/>
    <n v="0"/>
    <n v="0"/>
    <n v="0"/>
    <n v="0"/>
    <n v="0"/>
    <n v="0"/>
    <n v="-453.11252889033403"/>
    <n v="0"/>
    <n v="0"/>
    <n v="0"/>
    <n v="0"/>
    <n v="0"/>
    <n v="0"/>
    <n v="0"/>
    <n v="0"/>
    <n v="-145.62443266195714"/>
    <m/>
    <n v="0"/>
    <n v="0"/>
    <n v="0"/>
    <n v="0"/>
    <n v="-19.508625500414894"/>
    <n v="-4.6501706421674953"/>
    <n v="0"/>
    <n v="0"/>
    <m/>
    <m/>
    <m/>
    <n v="22178.830610576813"/>
    <n v="0"/>
    <n v="0"/>
    <n v="-14450.78224"/>
    <n v="0"/>
    <n v="0"/>
    <n v="0"/>
    <n v="-13827.988925645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39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63300000000000001"/>
    <n v="0.63300000000000001"/>
    <n v="0.63300000000000001"/>
    <n v="0.63300000000000001"/>
    <m/>
    <n v="825.6"/>
    <n v="185.74"/>
    <m/>
    <n v="640.17822000000012"/>
    <n v="640.17822000000012"/>
    <n v="397.96710000000002"/>
    <n v="0"/>
    <n v="39.464490133773758"/>
    <n v="0"/>
    <n v="0"/>
    <n v="0"/>
    <n v="82.499970056986811"/>
    <n v="371.74177240097242"/>
    <n v="117.57613426504962"/>
    <n v="0"/>
    <n v="0"/>
    <n v="0"/>
    <n v="0"/>
    <n v="0"/>
    <n v="6.0990779390203453"/>
    <m/>
    <n v="1.5007590314531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300765902285065"/>
    <n v="0"/>
    <n v="0.2"/>
    <n v="1.05"/>
    <n v="1413.9"/>
    <n v="3"/>
    <m/>
    <m/>
    <m/>
    <m/>
    <m/>
    <m/>
    <m/>
    <m/>
    <m/>
    <n v="138.87690016733467"/>
    <m/>
    <m/>
    <m/>
    <m/>
    <m/>
    <m/>
    <m/>
    <m/>
    <m/>
    <m/>
    <m/>
    <m/>
    <n v="396.08100000000002"/>
    <n v="-244.12722000000008"/>
    <m/>
    <m/>
    <m/>
    <m/>
    <n v="-242.21112000000002"/>
    <n v="0"/>
    <m/>
    <n v="-10.440422989484091"/>
    <n v="0"/>
    <n v="0"/>
    <n v="0"/>
    <n v="0"/>
    <n v="0"/>
    <n v="0"/>
    <n v="0"/>
    <n v="-7.5946679761579503"/>
    <n v="0"/>
    <n v="0"/>
    <n v="0"/>
    <n v="0"/>
    <n v="0"/>
    <n v="0"/>
    <n v="0"/>
    <n v="0"/>
    <n v="-2.4408268250547849"/>
    <m/>
    <n v="0"/>
    <n v="0"/>
    <n v="0"/>
    <n v="0"/>
    <n v="-0.32698617650168504"/>
    <n v="-7.7942011769634778E-2"/>
    <n v="0"/>
    <n v="0"/>
    <m/>
    <m/>
    <m/>
    <n v="371.74177240097242"/>
    <n v="0"/>
    <n v="0"/>
    <n v="-242.21112000000005"/>
    <n v="0"/>
    <n v="0"/>
    <n v="0"/>
    <n v="-231.77241407439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0"/>
    <s v="Regular"/>
    <s v="Verde"/>
    <s v="A4"/>
    <s v="Industrial"/>
    <s v="Não se aplica"/>
    <s v="Não se aplica"/>
    <s v="Não se aplica"/>
    <s v="Ponta"/>
    <s v="CATIVO"/>
    <x v="3"/>
    <n v="0"/>
    <n v="0"/>
    <n v="1.0369999999999999"/>
    <n v="1.0369999999999999"/>
    <n v="1.0369999999999999"/>
    <n v="1.0369999999999999"/>
    <m/>
    <n v="4433.21"/>
    <n v="185.74"/>
    <m/>
    <n v="4789.8511499999995"/>
    <n v="4789.8511499999995"/>
    <n v="2499.8129399999998"/>
    <n v="0"/>
    <n v="56.247185393032062"/>
    <n v="0"/>
    <n v="0"/>
    <n v="0"/>
    <n v="997.20302500019795"/>
    <n v="3519.2498480258637"/>
    <n v="192.61682659219028"/>
    <n v="0"/>
    <n v="0"/>
    <n v="0"/>
    <n v="0"/>
    <n v="0"/>
    <n v="9.9916964024709287"/>
    <m/>
    <n v="1.0742090362366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72884227976493"/>
    <n v="0"/>
    <n v="0"/>
    <n v="0"/>
    <n v="0"/>
    <n v="0"/>
    <m/>
    <m/>
    <m/>
    <m/>
    <m/>
    <m/>
    <m/>
    <m/>
    <m/>
    <n v="206.08971082016677"/>
    <m/>
    <m/>
    <m/>
    <m/>
    <m/>
    <m/>
    <m/>
    <m/>
    <m/>
    <m/>
    <m/>
    <m/>
    <n v="2507.0448000000006"/>
    <n v="-2282.8363499999996"/>
    <m/>
    <m/>
    <m/>
    <m/>
    <n v="-2290.0382099999997"/>
    <n v="0"/>
    <m/>
    <n v="-95.869417237853213"/>
    <n v="0"/>
    <n v="0"/>
    <n v="0"/>
    <n v="0"/>
    <n v="0"/>
    <n v="0"/>
    <n v="0"/>
    <n v="-91.799134890177584"/>
    <n v="0"/>
    <n v="0"/>
    <n v="0"/>
    <n v="0"/>
    <n v="0"/>
    <n v="0"/>
    <n v="0"/>
    <n v="0"/>
    <n v="-3.4788144601835"/>
    <m/>
    <n v="0"/>
    <n v="0"/>
    <n v="0"/>
    <n v="0"/>
    <n v="-0.53567877572234934"/>
    <n v="-5.5789111769885213E-2"/>
    <n v="0"/>
    <n v="0"/>
    <m/>
    <m/>
    <m/>
    <n v="3519.2498480258637"/>
    <n v="0"/>
    <n v="0"/>
    <n v="-2290.0382100000002"/>
    <n v="0"/>
    <n v="0"/>
    <n v="0"/>
    <n v="-2194.1710444316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1"/>
    <s v="Regular"/>
    <s v="Verde"/>
    <s v="A4"/>
    <s v="Industrial"/>
    <s v="Não se aplica"/>
    <s v="Não se aplica"/>
    <s v="Não se aplica"/>
    <s v="Fora ponta"/>
    <s v="CATIVO"/>
    <x v="3"/>
    <n v="0"/>
    <n v="0"/>
    <n v="37.273000000000003"/>
    <n v="37.273000000000003"/>
    <n v="37.273000000000003"/>
    <n v="37.273000000000003"/>
    <m/>
    <n v="77.900000000000006"/>
    <n v="185.74"/>
    <m/>
    <n v="9826.6537200000021"/>
    <n v="9826.6537200000021"/>
    <n v="9680.5435600000019"/>
    <n v="0"/>
    <n v="2021.6984967738517"/>
    <n v="0"/>
    <n v="0"/>
    <n v="0"/>
    <n v="0"/>
    <n v="0"/>
    <n v="6923.2468443304815"/>
    <n v="0"/>
    <n v="0"/>
    <n v="0"/>
    <n v="0"/>
    <n v="0"/>
    <n v="359.13259403018225"/>
    <m/>
    <n v="38.610408300529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2572939531031"/>
    <n v="0"/>
    <n v="0"/>
    <n v="0"/>
    <n v="0"/>
    <n v="0"/>
    <m/>
    <m/>
    <m/>
    <m/>
    <m/>
    <m/>
    <m/>
    <m/>
    <m/>
    <n v="7407.5041382835843"/>
    <m/>
    <m/>
    <m/>
    <m/>
    <m/>
    <m/>
    <m/>
    <m/>
    <m/>
    <m/>
    <m/>
    <m/>
    <n v="9679.7644000000018"/>
    <n v="-146.91932000000088"/>
    <m/>
    <m/>
    <m/>
    <m/>
    <n v="-146.11016000000006"/>
    <n v="0"/>
    <m/>
    <n v="-146.29858625353518"/>
    <n v="0"/>
    <n v="0"/>
    <n v="0"/>
    <n v="0"/>
    <n v="0"/>
    <n v="0"/>
    <n v="0"/>
    <n v="0"/>
    <n v="0"/>
    <n v="0"/>
    <n v="0"/>
    <n v="0"/>
    <n v="0"/>
    <n v="0"/>
    <n v="0"/>
    <n v="0"/>
    <n v="-125.0393938036832"/>
    <m/>
    <n v="0"/>
    <n v="0"/>
    <n v="0"/>
    <n v="0"/>
    <n v="-19.253958541464954"/>
    <n v="-2.0052339083885542"/>
    <n v="0"/>
    <n v="0"/>
    <m/>
    <m/>
    <m/>
    <n v="0"/>
    <n v="0"/>
    <n v="0"/>
    <n v="-146.11015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Não se aplica"/>
    <s v="CATIVO"/>
    <x v="3"/>
    <n v="337"/>
    <n v="337"/>
    <n v="0"/>
    <n v="0"/>
    <n v="0"/>
    <n v="0"/>
    <n v="55.59"/>
    <m/>
    <m/>
    <n v="18733.830000000002"/>
    <m/>
    <n v="18733.830000000002"/>
    <n v="9944.8700000000008"/>
    <n v="0"/>
    <n v="0"/>
    <n v="0"/>
    <n v="0"/>
    <n v="0"/>
    <n v="5444.1240689604447"/>
    <n v="13288.1536970219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18"/>
    <n v="83.13"/>
    <n v="9181.1299999999992"/>
    <n v="5"/>
    <m/>
    <m/>
    <m/>
    <m/>
    <m/>
    <m/>
    <m/>
    <m/>
    <m/>
    <n v="0"/>
    <m/>
    <m/>
    <m/>
    <m/>
    <m/>
    <m/>
    <m/>
    <m/>
    <m/>
    <m/>
    <m/>
    <m/>
    <n v="9944.8700000000008"/>
    <n v="-8788.9899999999961"/>
    <m/>
    <m/>
    <m/>
    <m/>
    <n v="-8788.9600000000009"/>
    <n v="0"/>
    <m/>
    <n v="-501.16763310588522"/>
    <n v="0"/>
    <n v="0"/>
    <n v="0"/>
    <n v="0"/>
    <m/>
    <m/>
    <m/>
    <n v="-501.167633105885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288.153697021966"/>
    <m/>
    <n v="0"/>
    <n v="0"/>
    <n v="-8788.9600000000009"/>
    <m/>
    <n v="0"/>
    <m/>
    <n v="-8284.8570959853605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43"/>
    <s v="Regular"/>
    <s v="Convencional"/>
    <s v="B3"/>
    <s v="Comercial"/>
    <s v="Não se aplica"/>
    <s v="Não se aplica"/>
    <s v="Não se aplica"/>
    <s v="Não se aplica"/>
    <s v="CATIVO"/>
    <x v="3"/>
    <n v="0"/>
    <n v="0"/>
    <n v="154.45699999999999"/>
    <n v="154.45699999999999"/>
    <n v="154.45699999999999"/>
    <n v="154.45699999999999"/>
    <m/>
    <n v="825.6"/>
    <n v="185.74"/>
    <m/>
    <n v="156208.54238"/>
    <n v="156208.54238"/>
    <n v="97107.11589999999"/>
    <n v="0"/>
    <n v="9629.6473184712358"/>
    <n v="0"/>
    <n v="0"/>
    <n v="0"/>
    <n v="20130.644352436037"/>
    <n v="90707.928814750383"/>
    <n v="28689.505482111799"/>
    <n v="0"/>
    <n v="0"/>
    <n v="0"/>
    <n v="0"/>
    <n v="0"/>
    <n v="1488.2231930920464"/>
    <m/>
    <n v="366.19705801130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7.5551326528348"/>
    <n v="0"/>
    <n v="69.86"/>
    <n v="346.79"/>
    <n v="38759.279999999999"/>
    <n v="369"/>
    <m/>
    <m/>
    <m/>
    <m/>
    <m/>
    <m/>
    <m/>
    <m/>
    <m/>
    <n v="33887.060614764632"/>
    <m/>
    <m/>
    <m/>
    <m/>
    <m/>
    <m/>
    <m/>
    <m/>
    <m/>
    <m/>
    <m/>
    <m/>
    <n v="97109.001999999993"/>
    <n v="-59099.570380000005"/>
    <m/>
    <m/>
    <m/>
    <m/>
    <n v="-59101.426480000002"/>
    <n v="0"/>
    <m/>
    <n v="-2547.545677230235"/>
    <n v="0"/>
    <n v="0"/>
    <n v="0"/>
    <n v="0"/>
    <n v="0"/>
    <n v="0"/>
    <n v="0"/>
    <n v="-1853.1589756610265"/>
    <n v="0"/>
    <n v="0"/>
    <n v="0"/>
    <n v="0"/>
    <n v="0"/>
    <n v="0"/>
    <n v="0"/>
    <n v="0"/>
    <n v="-595.581025146108"/>
    <m/>
    <n v="0"/>
    <n v="0"/>
    <n v="0"/>
    <n v="0"/>
    <n v="-79.787209895609294"/>
    <n v="-19.01846652749208"/>
    <n v="0"/>
    <n v="0"/>
    <m/>
    <m/>
    <m/>
    <n v="90707.928814750383"/>
    <n v="0"/>
    <n v="0"/>
    <n v="-59101.426480000009"/>
    <n v="0"/>
    <n v="0"/>
    <n v="0"/>
    <n v="-56554.299779919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4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4.7809999999999997"/>
    <n v="4.7809999999999997"/>
    <n v="4.7809999999999997"/>
    <n v="4.7809999999999997"/>
    <m/>
    <n v="825.6"/>
    <n v="185.74"/>
    <m/>
    <n v="4835.2165400000004"/>
    <n v="4835.2165400000004"/>
    <n v="3005.8146999999994"/>
    <n v="0"/>
    <n v="298.07223906725483"/>
    <n v="0"/>
    <n v="0"/>
    <n v="0"/>
    <n v="623.11588758681512"/>
    <n v="2807.7368307251959"/>
    <n v="888.04344063381075"/>
    <n v="0"/>
    <n v="0"/>
    <n v="0"/>
    <n v="0"/>
    <n v="0"/>
    <n v="46.065863548904055"/>
    <m/>
    <n v="11.335116792065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88303598550536"/>
    <n v="0"/>
    <n v="2"/>
    <n v="9.99"/>
    <n v="2610.2800000000002"/>
    <n v="10"/>
    <m/>
    <m/>
    <m/>
    <m/>
    <m/>
    <m/>
    <m/>
    <m/>
    <m/>
    <n v="1048.9264766193162"/>
    <m/>
    <m/>
    <m/>
    <m/>
    <m/>
    <m/>
    <m/>
    <m/>
    <m/>
    <m/>
    <m/>
    <m/>
    <n v="3005.1860000000001"/>
    <n v="-1830.0605400000009"/>
    <m/>
    <m/>
    <m/>
    <m/>
    <n v="-1829.40184"/>
    <n v="0"/>
    <m/>
    <n v="-78.855706655170934"/>
    <n v="0"/>
    <n v="0"/>
    <n v="0"/>
    <n v="0"/>
    <n v="0"/>
    <n v="0"/>
    <n v="0"/>
    <n v="-57.361939327031905"/>
    <n v="0"/>
    <n v="0"/>
    <n v="0"/>
    <n v="0"/>
    <n v="0"/>
    <n v="0"/>
    <n v="0"/>
    <n v="0"/>
    <n v="-18.4353760672779"/>
    <m/>
    <n v="0"/>
    <n v="0"/>
    <n v="0"/>
    <n v="0"/>
    <n v="-2.4697012793910744"/>
    <n v="-0.58868998147018026"/>
    <n v="0"/>
    <n v="0"/>
    <m/>
    <m/>
    <m/>
    <n v="2807.7368307251959"/>
    <n v="0"/>
    <n v="0"/>
    <n v="-1829.4018400000004"/>
    <n v="0"/>
    <n v="0"/>
    <n v="0"/>
    <n v="-1750.559102195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5"/>
    <s v="Regular"/>
    <s v="Azul"/>
    <s v="A4"/>
    <s v="Comercial"/>
    <s v="Não se aplica"/>
    <s v="Não se aplica"/>
    <s v="Não se aplica"/>
    <s v="Ponta"/>
    <s v="CATIVO"/>
    <x v="3"/>
    <n v="544"/>
    <n v="544"/>
    <n v="33.9"/>
    <n v="33.9"/>
    <n v="33.9"/>
    <n v="33.9"/>
    <n v="181.08"/>
    <n v="77.900000000000006"/>
    <n v="185.74"/>
    <n v="98507.520000000004"/>
    <n v="8937.3960000000006"/>
    <n v="107444.916"/>
    <n v="57448.988000000005"/>
    <n v="0"/>
    <n v="1838.7459834366316"/>
    <n v="0"/>
    <n v="0"/>
    <n v="0"/>
    <n v="21742.819359950787"/>
    <n v="76763.513513440907"/>
    <n v="6296.7313611140316"/>
    <n v="0"/>
    <n v="0"/>
    <n v="0"/>
    <n v="0"/>
    <n v="0"/>
    <n v="326.63308393805636"/>
    <m/>
    <n v="35.116380258845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.43469173423637"/>
    <n v="0"/>
    <n v="0"/>
    <n v="0"/>
    <n v="0"/>
    <n v="0"/>
    <m/>
    <m/>
    <m/>
    <m/>
    <m/>
    <m/>
    <m/>
    <m/>
    <m/>
    <n v="6737.166052848268"/>
    <m/>
    <m/>
    <m/>
    <m/>
    <m/>
    <m/>
    <m/>
    <m/>
    <m/>
    <m/>
    <m/>
    <m/>
    <n v="57448.988000000005"/>
    <n v="-49995.957999999977"/>
    <m/>
    <m/>
    <m/>
    <m/>
    <n v="-49995.928000000007"/>
    <n v="0"/>
    <m/>
    <n v="-2134.6297242664514"/>
    <n v="0"/>
    <n v="0"/>
    <n v="0"/>
    <n v="0"/>
    <n v="0"/>
    <n v="0"/>
    <n v="0"/>
    <n v="-2001.5703495449416"/>
    <n v="0"/>
    <n v="0"/>
    <n v="0"/>
    <n v="0"/>
    <n v="0"/>
    <n v="0"/>
    <n v="0"/>
    <n v="0"/>
    <n v="-113.72402140812028"/>
    <m/>
    <n v="0"/>
    <n v="0"/>
    <n v="0"/>
    <n v="0"/>
    <n v="-17.51158196430822"/>
    <n v="-1.8237713490830316"/>
    <n v="0"/>
    <n v="0"/>
    <m/>
    <m/>
    <n v="76763.513513440907"/>
    <n v="0"/>
    <n v="0"/>
    <n v="0"/>
    <n v="-49995.928"/>
    <n v="0"/>
    <n v="0"/>
    <n v="0"/>
    <n v="-47860.278722327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6"/>
    <s v="Regular"/>
    <s v="Azul"/>
    <s v="A4"/>
    <s v="Comercial"/>
    <s v="Não se aplica"/>
    <s v="Não se aplica"/>
    <s v="Não se aplica"/>
    <s v="Fora ponta"/>
    <s v="CATIVO"/>
    <x v="3"/>
    <n v="571"/>
    <n v="571"/>
    <n v="339.89699999999999"/>
    <n v="339.89699999999999"/>
    <n v="339.89699999999999"/>
    <n v="339.89699999999999"/>
    <n v="55.59"/>
    <n v="77.900000000000006"/>
    <n v="185.74"/>
    <n v="31741.890000000003"/>
    <n v="89610.445080000005"/>
    <n v="121352.33508000002"/>
    <n v="105128.25883999999"/>
    <n v="0"/>
    <n v="18436.113378529815"/>
    <n v="0"/>
    <n v="0"/>
    <n v="0"/>
    <n v="9224.3170426599809"/>
    <n v="22514.942910977872"/>
    <n v="63133.926237421118"/>
    <n v="0"/>
    <n v="0"/>
    <n v="0"/>
    <n v="0"/>
    <n v="0"/>
    <n v="3274.9736085927302"/>
    <m/>
    <n v="352.0929882253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16.0008972386941"/>
    <n v="0"/>
    <n v="0"/>
    <n v="0"/>
    <n v="0"/>
    <n v="0"/>
    <m/>
    <m/>
    <m/>
    <m/>
    <m/>
    <m/>
    <m/>
    <m/>
    <m/>
    <n v="67549.927134659811"/>
    <m/>
    <m/>
    <m/>
    <m/>
    <m/>
    <m/>
    <m/>
    <m/>
    <m/>
    <m/>
    <m/>
    <m/>
    <n v="105129.038"/>
    <n v="-16223.327080000003"/>
    <m/>
    <m/>
    <m/>
    <m/>
    <n v="-16224.07624"/>
    <n v="0"/>
    <m/>
    <n v="-2183.2739239079674"/>
    <n v="0"/>
    <n v="0"/>
    <n v="0"/>
    <n v="0"/>
    <n v="0"/>
    <n v="0"/>
    <n v="0"/>
    <n v="-849.15940208741813"/>
    <n v="0"/>
    <n v="0"/>
    <n v="0"/>
    <n v="0"/>
    <n v="0"/>
    <n v="0"/>
    <n v="0"/>
    <n v="0"/>
    <n v="-1140.2493718158075"/>
    <m/>
    <n v="0"/>
    <n v="0"/>
    <n v="0"/>
    <n v="0"/>
    <n v="-175.57917920125283"/>
    <n v="-18.285970803518467"/>
    <n v="0"/>
    <n v="0"/>
    <m/>
    <m/>
    <n v="22514.942910977872"/>
    <n v="0"/>
    <n v="0"/>
    <n v="0"/>
    <n v="-16224.076240000009"/>
    <n v="0"/>
    <n v="0"/>
    <n v="0"/>
    <n v="-14037.547186372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7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1.41"/>
    <n v="635.15"/>
    <n v="73006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48"/>
    <s v="Regular"/>
    <s v="Verde"/>
    <s v="A4"/>
    <s v="Comercial"/>
    <s v="Não se aplica"/>
    <s v="Não se aplica"/>
    <s v="Não se aplica"/>
    <s v="Ponta"/>
    <s v="CATIVO"/>
    <x v="3"/>
    <n v="0"/>
    <n v="0"/>
    <n v="9.2059999999999995"/>
    <n v="9.2059999999999995"/>
    <n v="9.2059999999999995"/>
    <n v="9.2059999999999995"/>
    <m/>
    <n v="4433.21"/>
    <n v="185.74"/>
    <m/>
    <n v="42522.053699999997"/>
    <n v="42522.053699999997"/>
    <n v="22192.167719999998"/>
    <n v="0"/>
    <n v="499.33615113621329"/>
    <n v="0"/>
    <n v="0"/>
    <n v="0"/>
    <n v="8852.7011071859433"/>
    <n v="31242.25082056519"/>
    <n v="1709.9619147615272"/>
    <n v="0"/>
    <n v="0"/>
    <n v="0"/>
    <n v="0"/>
    <n v="0"/>
    <n v="88.701597956747705"/>
    <m/>
    <n v="9.5363243853371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60595197950974"/>
    <n v="0"/>
    <n v="0"/>
    <n v="0"/>
    <n v="0"/>
    <n v="0"/>
    <m/>
    <m/>
    <m/>
    <m/>
    <m/>
    <m/>
    <m/>
    <m/>
    <m/>
    <n v="1829.5678667410368"/>
    <m/>
    <m/>
    <m/>
    <m/>
    <m/>
    <m/>
    <m/>
    <m/>
    <m/>
    <m/>
    <m/>
    <m/>
    <n v="22201.810200000004"/>
    <n v="-20320.273499999999"/>
    <m/>
    <m/>
    <m/>
    <m/>
    <n v="-20329.885979999999"/>
    <n v="0"/>
    <m/>
    <n v="-851.0837561154076"/>
    <n v="0"/>
    <n v="0"/>
    <n v="0"/>
    <n v="0"/>
    <n v="0"/>
    <n v="0"/>
    <n v="0"/>
    <n v="-814.94969700961883"/>
    <n v="0"/>
    <n v="0"/>
    <n v="0"/>
    <n v="0"/>
    <n v="0"/>
    <n v="0"/>
    <n v="0"/>
    <n v="0"/>
    <n v="-30.883284397733178"/>
    <m/>
    <n v="0"/>
    <n v="0"/>
    <n v="0"/>
    <n v="0"/>
    <n v="-4.7555051198649494"/>
    <n v="-0.49526958819051359"/>
    <n v="0"/>
    <n v="0"/>
    <m/>
    <m/>
    <m/>
    <n v="31242.25082056519"/>
    <n v="0"/>
    <n v="0"/>
    <n v="-20329.885979999995"/>
    <n v="0"/>
    <n v="0"/>
    <n v="0"/>
    <n v="-19478.82221315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49"/>
    <s v="Regular"/>
    <s v="Verde"/>
    <s v="A4"/>
    <s v="Comercial"/>
    <s v="Não se aplica"/>
    <s v="Não se aplica"/>
    <s v="Não se aplica"/>
    <s v="Fora ponta"/>
    <s v="CATIVO"/>
    <x v="3"/>
    <n v="0"/>
    <n v="0"/>
    <n v="341.05599999999998"/>
    <n v="341.05599999999998"/>
    <n v="341.05599999999998"/>
    <n v="341.05599999999998"/>
    <m/>
    <n v="77.900000000000006"/>
    <n v="185.74"/>
    <m/>
    <n v="89916.00383999999"/>
    <n v="89916.00383999999"/>
    <n v="88579.064320000005"/>
    <n v="0"/>
    <n v="18498.977879851438"/>
    <n v="0"/>
    <n v="0"/>
    <n v="0"/>
    <n v="0"/>
    <n v="0"/>
    <n v="63349.203867141805"/>
    <n v="0"/>
    <n v="0"/>
    <n v="0"/>
    <n v="0"/>
    <n v="0"/>
    <n v="3286.1407986896093"/>
    <m/>
    <n v="353.29357479530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31.0588266699624"/>
    <n v="0"/>
    <n v="0"/>
    <n v="0"/>
    <n v="0"/>
    <n v="0"/>
    <m/>
    <m/>
    <m/>
    <m/>
    <m/>
    <m/>
    <m/>
    <m/>
    <m/>
    <n v="67780.262693811761"/>
    <m/>
    <m/>
    <m/>
    <m/>
    <m/>
    <m/>
    <m/>
    <m/>
    <m/>
    <m/>
    <m/>
    <m/>
    <n v="88580.103199999998"/>
    <n v="-1335.9306399999914"/>
    <m/>
    <m/>
    <m/>
    <m/>
    <n v="-1336.9395200000006"/>
    <n v="0"/>
    <m/>
    <n v="-1338.6636609150446"/>
    <n v="0"/>
    <n v="0"/>
    <n v="0"/>
    <n v="0"/>
    <n v="0"/>
    <n v="0"/>
    <n v="0"/>
    <n v="0"/>
    <n v="0"/>
    <n v="0"/>
    <n v="0"/>
    <n v="0"/>
    <n v="0"/>
    <n v="0"/>
    <n v="0"/>
    <n v="0"/>
    <n v="-1144.137458565423"/>
    <m/>
    <n v="0"/>
    <n v="0"/>
    <n v="0"/>
    <n v="0"/>
    <n v="-176.17787900941312"/>
    <n v="-18.348323340202455"/>
    <n v="0"/>
    <n v="0"/>
    <m/>
    <m/>
    <m/>
    <n v="0"/>
    <n v="0"/>
    <n v="0"/>
    <n v="-1336.939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0"/>
    <s v="Regular"/>
    <s v="Verde"/>
    <s v="A4"/>
    <s v="Comercial"/>
    <s v="Não se aplica"/>
    <s v="Não se aplica"/>
    <s v="Não se aplica"/>
    <s v="Não se aplica"/>
    <s v="CATIVO"/>
    <x v="3"/>
    <n v="1178"/>
    <n v="1178"/>
    <n v="0"/>
    <n v="0"/>
    <n v="0"/>
    <n v="0"/>
    <n v="55.59"/>
    <m/>
    <m/>
    <n v="65485.020000000004"/>
    <m/>
    <n v="65485.020000000004"/>
    <n v="34762.78"/>
    <n v="0"/>
    <n v="0"/>
    <n v="0"/>
    <n v="0"/>
    <n v="0"/>
    <n v="19030.20223511989"/>
    <n v="46449.3918548720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0.04"/>
    <n v="580.29"/>
    <n v="66394.91"/>
    <n v="5"/>
    <m/>
    <m/>
    <m/>
    <m/>
    <m/>
    <m/>
    <m/>
    <m/>
    <m/>
    <n v="0"/>
    <m/>
    <m/>
    <m/>
    <m/>
    <m/>
    <m/>
    <m/>
    <m/>
    <m/>
    <m/>
    <m/>
    <m/>
    <n v="34762.78"/>
    <n v="-30722.270000000011"/>
    <m/>
    <m/>
    <m/>
    <m/>
    <n v="-30722.240000000002"/>
    <n v="0"/>
    <m/>
    <n v="-1751.8559994027673"/>
    <n v="0"/>
    <n v="0"/>
    <n v="0"/>
    <n v="0"/>
    <m/>
    <m/>
    <m/>
    <n v="-1751.85599940276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449.391854872039"/>
    <m/>
    <n v="0"/>
    <n v="0"/>
    <n v="-30722.240000000005"/>
    <m/>
    <n v="0"/>
    <m/>
    <n v="-28960.123617420639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51"/>
    <s v="Regular"/>
    <s v="Branca"/>
    <s v="B3"/>
    <s v="Comercial"/>
    <s v="Não se aplica"/>
    <s v="Não se aplica"/>
    <s v="Não se aplica"/>
    <s v="Ponta"/>
    <s v="CATIVO"/>
    <x v="3"/>
    <n v="0"/>
    <n v="0"/>
    <n v="9.2999999999999999E-2"/>
    <n v="9.2999999999999999E-2"/>
    <n v="9.2999999999999999E-2"/>
    <n v="9.2999999999999999E-2"/>
    <m/>
    <n v="2583.84"/>
    <n v="185.74"/>
    <m/>
    <n v="257.57094000000001"/>
    <n v="257.57094000000001"/>
    <n v="135.82371000000001"/>
    <n v="0"/>
    <n v="5.7981004461942485"/>
    <n v="0"/>
    <n v="0"/>
    <n v="0"/>
    <n v="41.827407818978273"/>
    <n v="188.42543238244161"/>
    <n v="17.274218778277433"/>
    <n v="0"/>
    <n v="0"/>
    <n v="0"/>
    <n v="0"/>
    <n v="0"/>
    <n v="0.89607306213095117"/>
    <m/>
    <n v="0.22049066338884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294964121840616"/>
    <n v="0"/>
    <n v="0"/>
    <n v="0"/>
    <n v="0"/>
    <n v="0"/>
    <m/>
    <m/>
    <m/>
    <m/>
    <m/>
    <m/>
    <m/>
    <m/>
    <m/>
    <n v="20.403715190461494"/>
    <m/>
    <m/>
    <m/>
    <m/>
    <m/>
    <m/>
    <m/>
    <m/>
    <m/>
    <m/>
    <m/>
    <m/>
    <n v="131.44229999999999"/>
    <n v="-126.15863999999999"/>
    <m/>
    <m/>
    <m/>
    <m/>
    <n v="-121.74723000000002"/>
    <n v="0"/>
    <m/>
    <n v="-4.2685862836796531"/>
    <n v="0"/>
    <n v="0"/>
    <n v="0"/>
    <n v="0"/>
    <n v="0"/>
    <n v="0"/>
    <n v="0"/>
    <n v="-3.8504895755606583"/>
    <n v="0"/>
    <n v="0"/>
    <n v="0"/>
    <n v="0"/>
    <n v="0"/>
    <n v="0"/>
    <n v="0"/>
    <n v="0"/>
    <n v="-0.35860488898909182"/>
    <m/>
    <n v="0"/>
    <n v="0"/>
    <n v="0"/>
    <n v="0"/>
    <n v="-4.8040623087925227E-2"/>
    <n v="-1.1451196041984274E-2"/>
    <n v="0"/>
    <n v="0"/>
    <m/>
    <m/>
    <m/>
    <n v="188.42543238244161"/>
    <n v="0"/>
    <n v="0"/>
    <n v="-121.74723"/>
    <n v="0"/>
    <n v="0"/>
    <n v="0"/>
    <n v="-117.47890761435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2"/>
    <s v="Regular"/>
    <s v="Branca"/>
    <s v="B3"/>
    <s v="Comercial"/>
    <s v="Não se aplica"/>
    <s v="Não se aplica"/>
    <s v="Não se aplica"/>
    <s v="Fora ponta"/>
    <s v="CATIVO"/>
    <x v="3"/>
    <n v="0"/>
    <n v="0"/>
    <n v="0.84399999999999997"/>
    <n v="0.84399999999999997"/>
    <n v="0.84399999999999997"/>
    <n v="0.84399999999999997"/>
    <m/>
    <n v="603.13"/>
    <n v="185.74"/>
    <m/>
    <n v="665.80628000000002"/>
    <n v="665.80628000000002"/>
    <n v="441.80024000000003"/>
    <n v="0"/>
    <n v="52.619320178365008"/>
    <n v="0"/>
    <n v="0"/>
    <n v="0"/>
    <n v="75.886404474603395"/>
    <n v="342.00263177279146"/>
    <n v="156.76817902006616"/>
    <n v="0"/>
    <n v="0"/>
    <n v="0"/>
    <n v="0"/>
    <n v="0"/>
    <n v="8.1321039186937938"/>
    <m/>
    <n v="2.001012041937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401021203046753"/>
    <n v="0"/>
    <n v="0"/>
    <n v="0"/>
    <n v="0"/>
    <n v="0"/>
    <m/>
    <m/>
    <m/>
    <m/>
    <m/>
    <m/>
    <m/>
    <m/>
    <m/>
    <n v="185.16920022311291"/>
    <m/>
    <m/>
    <m/>
    <m/>
    <m/>
    <m/>
    <m/>
    <m/>
    <m/>
    <m/>
    <m/>
    <m/>
    <n v="439.70640000000003"/>
    <n v="-226.12987999999996"/>
    <m/>
    <m/>
    <m/>
    <m/>
    <n v="-224.00603999999996"/>
    <n v="0"/>
    <m/>
    <n v="-10.780185533723454"/>
    <n v="0"/>
    <n v="0"/>
    <n v="0"/>
    <n v="0"/>
    <n v="0"/>
    <n v="0"/>
    <n v="0"/>
    <n v="-6.9858455159553188"/>
    <n v="0"/>
    <n v="0"/>
    <n v="0"/>
    <n v="0"/>
    <n v="0"/>
    <n v="0"/>
    <n v="0"/>
    <n v="0"/>
    <n v="-3.2544357667397108"/>
    <m/>
    <n v="0"/>
    <n v="0"/>
    <n v="0"/>
    <n v="0"/>
    <n v="-0.4359815686689128"/>
    <n v="-0.10392268235951296"/>
    <n v="0"/>
    <n v="0"/>
    <m/>
    <m/>
    <m/>
    <n v="342.00263177279146"/>
    <n v="0"/>
    <n v="0"/>
    <n v="-224.00603999999998"/>
    <n v="0"/>
    <n v="0"/>
    <n v="0"/>
    <n v="-213.2307463694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3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6"/>
    <n v="2.2599999999999998"/>
    <n v="259.709999999999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Intermediário"/>
    <s v="CATIVO"/>
    <x v="3"/>
    <n v="0"/>
    <n v="0"/>
    <n v="5.8000000000000003E-2"/>
    <n v="5.8000000000000003E-2"/>
    <n v="5.8000000000000003E-2"/>
    <n v="5.8000000000000003E-2"/>
    <m/>
    <n v="1593.45"/>
    <n v="185.74"/>
    <m/>
    <n v="103.19302"/>
    <n v="103.19302"/>
    <n v="57.531940000000006"/>
    <n v="0"/>
    <n v="3.6160196331103918"/>
    <n v="0"/>
    <n v="0"/>
    <n v="0"/>
    <n v="15.648560067687006"/>
    <n v="70.507573324619187"/>
    <n v="10.773168700431087"/>
    <n v="0"/>
    <n v="0"/>
    <n v="0"/>
    <n v="0"/>
    <n v="0"/>
    <n v="0.55884126455478678"/>
    <m/>
    <n v="0.13751030619949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517289452330708"/>
    <n v="0"/>
    <n v="0"/>
    <n v="0"/>
    <n v="0"/>
    <n v="0"/>
    <m/>
    <m/>
    <m/>
    <m/>
    <m/>
    <m/>
    <m/>
    <m/>
    <m/>
    <n v="12.724897645664159"/>
    <m/>
    <m/>
    <m/>
    <m/>
    <m/>
    <m/>
    <m/>
    <m/>
    <m/>
    <m/>
    <m/>
    <m/>
    <n v="59.515799999999999"/>
    <n v="-43.707220000000021"/>
    <m/>
    <m/>
    <m/>
    <m/>
    <n v="-45.661079999999998"/>
    <n v="0"/>
    <m/>
    <n v="-1.7013019531613445"/>
    <n v="0"/>
    <n v="0"/>
    <n v="0"/>
    <n v="0"/>
    <n v="0"/>
    <n v="0"/>
    <n v="0"/>
    <n v="-1.440553468527991"/>
    <n v="0"/>
    <n v="0"/>
    <n v="0"/>
    <n v="0"/>
    <n v="0"/>
    <n v="0"/>
    <n v="0"/>
    <n v="0"/>
    <n v="-0.22364605979964836"/>
    <m/>
    <n v="0"/>
    <n v="0"/>
    <n v="0"/>
    <n v="0"/>
    <n v="-2.9960818699996339E-2"/>
    <n v="-7.1416061337106207E-3"/>
    <n v="0"/>
    <n v="0"/>
    <m/>
    <m/>
    <m/>
    <n v="70.507573324619187"/>
    <n v="0"/>
    <n v="0"/>
    <n v="-45.661079999999998"/>
    <n v="0"/>
    <n v="0"/>
    <n v="0"/>
    <n v="-43.959844422185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5"/>
    <s v="Regular"/>
    <s v="Convencional"/>
    <s v="B2"/>
    <s v="Rural"/>
    <s v="Não se aplica"/>
    <s v="Não se aplica"/>
    <s v="Não se aplica"/>
    <s v="Não se aplica"/>
    <s v="CATIVO"/>
    <x v="3"/>
    <n v="0"/>
    <n v="0"/>
    <n v="1747.2080000000001"/>
    <n v="1747.2080000000001"/>
    <n v="1747.2080000000001"/>
    <n v="1747.2080000000001"/>
    <m/>
    <n v="825.6"/>
    <n v="185.74"/>
    <m/>
    <n v="1767021.3387200001"/>
    <n v="1767021.3387200001"/>
    <n v="1098469.6695999999"/>
    <n v="0"/>
    <n v="108929.97295047485"/>
    <n v="0"/>
    <n v="0"/>
    <n v="0"/>
    <n v="227716.59981568376"/>
    <n v="1026082.4623588597"/>
    <n v="324533.9058403931"/>
    <n v="0"/>
    <n v="0"/>
    <n v="0"/>
    <n v="0"/>
    <n v="0"/>
    <n v="16834.688416555862"/>
    <m/>
    <n v="4142.3983978311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794.421154185919"/>
    <n v="0"/>
    <n v="704.68"/>
    <n v="3534.23"/>
    <n v="267376.05"/>
    <n v="5715"/>
    <m/>
    <m/>
    <m/>
    <m/>
    <m/>
    <n v="131809.37151999999"/>
    <m/>
    <m/>
    <m/>
    <n v="383328.32699457899"/>
    <m/>
    <m/>
    <m/>
    <m/>
    <m/>
    <m/>
    <m/>
    <m/>
    <m/>
    <m/>
    <m/>
    <m/>
    <n v="966661.40460000001"/>
    <n v="-588318.80123999994"/>
    <m/>
    <m/>
    <m/>
    <m/>
    <n v="-668551.66912000009"/>
    <n v="0"/>
    <m/>
    <n v="-28817.678626556764"/>
    <n v="0"/>
    <n v="0"/>
    <n v="0"/>
    <n v="0"/>
    <n v="0"/>
    <n v="0"/>
    <n v="0"/>
    <n v="-20962.819344845164"/>
    <n v="0"/>
    <n v="0"/>
    <n v="0"/>
    <n v="0"/>
    <n v="0"/>
    <n v="0"/>
    <n v="0"/>
    <n v="0"/>
    <n v="-6737.1756008693919"/>
    <m/>
    <n v="0"/>
    <n v="0"/>
    <n v="0"/>
    <n v="0"/>
    <n v="-902.54796757212716"/>
    <n v="-215.13571327014233"/>
    <n v="0"/>
    <n v="0"/>
    <m/>
    <m/>
    <m/>
    <n v="1026082.4623588597"/>
    <n v="0"/>
    <n v="0"/>
    <n v="-668551.66912000021"/>
    <n v="0"/>
    <n v="0"/>
    <n v="0"/>
    <n v="-639738.72993695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6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.81899999999999995"/>
    <n v="0.81899999999999995"/>
    <n v="0.81899999999999995"/>
    <n v="0.81899999999999995"/>
    <m/>
    <n v="825.6"/>
    <n v="185.74"/>
    <m/>
    <n v="828.28746000000001"/>
    <n v="828.28746000000001"/>
    <n v="514.9052999999999"/>
    <n v="0"/>
    <n v="51.060691026162246"/>
    <n v="0"/>
    <n v="0"/>
    <n v="0"/>
    <n v="106.74166741970332"/>
    <n v="480.97395196903062"/>
    <n v="152.12457182160446"/>
    <n v="0"/>
    <n v="0"/>
    <n v="0"/>
    <n v="0"/>
    <n v="0"/>
    <n v="7.8912240632822472"/>
    <m/>
    <n v="1.9417403582308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559758726653186"/>
    <n v="0"/>
    <n v="0.33"/>
    <n v="1.66"/>
    <n v="100.22"/>
    <n v="0"/>
    <m/>
    <m/>
    <m/>
    <m/>
    <m/>
    <n v="61.785359999999997"/>
    <m/>
    <m/>
    <m/>
    <n v="179.68433054825766"/>
    <m/>
    <m/>
    <m/>
    <m/>
    <m/>
    <m/>
    <m/>
    <m/>
    <m/>
    <m/>
    <m/>
    <m/>
    <n v="453.67319999999995"/>
    <n v="-275.25041999999996"/>
    <m/>
    <m/>
    <m/>
    <m/>
    <n v="-313.38216"/>
    <n v="0"/>
    <m/>
    <n v="-13.508225005351392"/>
    <n v="0"/>
    <n v="0"/>
    <n v="0"/>
    <n v="0"/>
    <n v="0"/>
    <n v="0"/>
    <n v="0"/>
    <n v="-9.8262765757873183"/>
    <n v="0"/>
    <n v="0"/>
    <n v="0"/>
    <n v="0"/>
    <n v="0"/>
    <n v="0"/>
    <n v="0"/>
    <n v="0"/>
    <n v="-3.1580366030329614"/>
    <m/>
    <n v="0"/>
    <n v="0"/>
    <n v="0"/>
    <n v="0"/>
    <n v="-0.42306742267753528"/>
    <n v="-0.10084440385360338"/>
    <n v="0"/>
    <n v="0"/>
    <m/>
    <m/>
    <m/>
    <n v="480.97395196903062"/>
    <n v="0"/>
    <n v="0"/>
    <n v="-313.38216"/>
    <n v="0"/>
    <n v="0"/>
    <n v="0"/>
    <n v="-299.87615659862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7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20.591999999999999"/>
    <n v="20.591999999999999"/>
    <n v="20.591999999999999"/>
    <n v="20.591999999999999"/>
    <m/>
    <n v="825.6"/>
    <n v="185.74"/>
    <m/>
    <n v="20825.513279999999"/>
    <n v="20825.513279999999"/>
    <n v="12946.190399999999"/>
    <n v="0"/>
    <n v="1283.811660086365"/>
    <n v="0"/>
    <n v="0"/>
    <n v="0"/>
    <n v="2683.7904951239689"/>
    <n v="12093.05936379277"/>
    <n v="3824.8463772289124"/>
    <n v="0"/>
    <n v="0"/>
    <n v="0"/>
    <n v="0"/>
    <n v="0"/>
    <n v="198.40791930538222"/>
    <m/>
    <n v="48.820900435517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.93107655585152"/>
    <n v="0"/>
    <n v="6.52"/>
    <n v="34.22"/>
    <n v="10864.21"/>
    <n v="113"/>
    <m/>
    <m/>
    <m/>
    <m/>
    <m/>
    <n v="1553.46048"/>
    <m/>
    <m/>
    <m/>
    <n v="4517.7774537847636"/>
    <m/>
    <m/>
    <m/>
    <m/>
    <m/>
    <m/>
    <m/>
    <m/>
    <m/>
    <m/>
    <m/>
    <m/>
    <n v="11391.6234"/>
    <n v="-6934.8747599999988"/>
    <m/>
    <m/>
    <m/>
    <m/>
    <n v="-7879.3228800000006"/>
    <n v="0"/>
    <m/>
    <n v="-339.63537156312123"/>
    <n v="0"/>
    <n v="0"/>
    <n v="0"/>
    <n v="0"/>
    <n v="0"/>
    <n v="0"/>
    <n v="0"/>
    <n v="-247.06066819122361"/>
    <n v="0"/>
    <n v="0"/>
    <n v="0"/>
    <n v="0"/>
    <n v="0"/>
    <n v="0"/>
    <n v="0"/>
    <n v="0"/>
    <n v="-79.402063161971682"/>
    <m/>
    <n v="0"/>
    <n v="0"/>
    <n v="0"/>
    <n v="0"/>
    <n v="-10.637123770178022"/>
    <n v="-2.5355164397477381"/>
    <n v="0"/>
    <n v="0"/>
    <m/>
    <m/>
    <m/>
    <n v="12093.05936379277"/>
    <n v="0"/>
    <n v="0"/>
    <n v="-7879.3228799999997"/>
    <n v="0"/>
    <n v="0"/>
    <n v="0"/>
    <n v="-7539.7433659082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8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9.356000000000002"/>
    <n v="19.356000000000002"/>
    <n v="19.356000000000002"/>
    <n v="19.356000000000002"/>
    <m/>
    <n v="825.6"/>
    <n v="185.74"/>
    <m/>
    <n v="19575.497040000002"/>
    <n v="19575.497040000002"/>
    <n v="12169.117200000001"/>
    <n v="0"/>
    <n v="1206.7530348014611"/>
    <n v="0"/>
    <n v="0"/>
    <n v="0"/>
    <n v="2522.7005061975306"/>
    <n v="11367.193912469545"/>
    <n v="3595.2664373369676"/>
    <n v="0"/>
    <n v="0"/>
    <n v="0"/>
    <n v="0"/>
    <n v="0"/>
    <n v="186.49881925383539"/>
    <m/>
    <n v="45.890508393059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.33905972295383"/>
    <n v="0"/>
    <n v="8.5399999999999991"/>
    <n v="43.53"/>
    <n v="3788.34"/>
    <n v="93"/>
    <m/>
    <m/>
    <m/>
    <m/>
    <m/>
    <m/>
    <m/>
    <m/>
    <m/>
    <n v="4246.6054970599216"/>
    <m/>
    <m/>
    <m/>
    <m/>
    <m/>
    <m/>
    <m/>
    <m/>
    <m/>
    <m/>
    <m/>
    <m/>
    <n v="12171.632"/>
    <n v="-7403.8950400000012"/>
    <m/>
    <m/>
    <m/>
    <m/>
    <n v="-7406.3798400000014"/>
    <n v="0"/>
    <m/>
    <n v="-319.24933236090692"/>
    <n v="0"/>
    <n v="0"/>
    <n v="0"/>
    <n v="0"/>
    <n v="0"/>
    <n v="0"/>
    <n v="0"/>
    <n v="-232.23126910981591"/>
    <n v="0"/>
    <n v="0"/>
    <n v="0"/>
    <n v="0"/>
    <n v="0"/>
    <n v="0"/>
    <n v="0"/>
    <n v="0"/>
    <n v="-74.636088508310195"/>
    <m/>
    <n v="0"/>
    <n v="0"/>
    <n v="0"/>
    <n v="0"/>
    <n v="-9.9986483923642879"/>
    <n v="-2.3833263504155653"/>
    <n v="0"/>
    <n v="0"/>
    <m/>
    <m/>
    <m/>
    <n v="11367.193912469545"/>
    <n v="0"/>
    <n v="0"/>
    <n v="-7406.3798400000014"/>
    <n v="0"/>
    <n v="0"/>
    <n v="0"/>
    <n v="-7087.183012360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59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56.13"/>
    <n v="271.54000000000002"/>
    <n v="31210.15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m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0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40.78"/>
    <n v="197.32"/>
    <n v="22678.45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m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6.89"/>
    <n v="6.4765999999999995"/>
    <n v="6.89"/>
    <n v="6.4765999999999995"/>
    <m/>
    <n v="825.6"/>
    <n v="185.74"/>
    <m/>
    <n v="6968.1325999999999"/>
    <n v="6968.1325999999999"/>
    <n v="4331.7429999999995"/>
    <n v="0"/>
    <n v="429.55819434707922"/>
    <n v="0"/>
    <n v="0"/>
    <n v="0"/>
    <n v="897.98545607051994"/>
    <n v="4046.2888022791467"/>
    <n v="1279.7781438960376"/>
    <n v="0"/>
    <n v="0"/>
    <n v="0"/>
    <n v="0"/>
    <n v="0"/>
    <n v="66.386488151422085"/>
    <m/>
    <n v="16.335276029560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.8519384940665"/>
    <n v="0"/>
    <n v="2.78"/>
    <n v="13.57"/>
    <n v="0"/>
    <n v="5"/>
    <m/>
    <m/>
    <m/>
    <m/>
    <n v="259.90458000000012"/>
    <m/>
    <m/>
    <m/>
    <m/>
    <n v="1511.630082390104"/>
    <m/>
    <m/>
    <m/>
    <m/>
    <m/>
    <m/>
    <m/>
    <m/>
    <m/>
    <m/>
    <m/>
    <m/>
    <n v="4073.9760000000001"/>
    <n v="-2476.0986440000001"/>
    <m/>
    <m/>
    <m/>
    <m/>
    <n v="-2636.3896"/>
    <n v="0"/>
    <m/>
    <n v="-113.64062306089272"/>
    <n v="0"/>
    <n v="0"/>
    <n v="0"/>
    <n v="0"/>
    <n v="0"/>
    <n v="0"/>
    <n v="0"/>
    <n v="-82.665501351861508"/>
    <n v="0"/>
    <n v="0"/>
    <n v="0"/>
    <n v="0"/>
    <n v="0"/>
    <n v="0"/>
    <n v="0"/>
    <n v="0"/>
    <n v="-26.567609517578887"/>
    <m/>
    <n v="0"/>
    <n v="0"/>
    <n v="0"/>
    <n v="0"/>
    <n v="-3.5591386352237109"/>
    <n v="-0.84837355622872579"/>
    <n v="0"/>
    <n v="0"/>
    <m/>
    <m/>
    <m/>
    <n v="4046.2888022791467"/>
    <n v="0"/>
    <n v="0"/>
    <n v="-2636.3896000000004"/>
    <n v="0"/>
    <n v="0"/>
    <n v="0"/>
    <n v="-2522.767666623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2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48699999999999999"/>
    <n v="0.48699999999999999"/>
    <n v="0.48699999999999999"/>
    <n v="0.48699999999999999"/>
    <m/>
    <n v="825.6"/>
    <n v="185.74"/>
    <m/>
    <n v="492.52258"/>
    <n v="492.52258"/>
    <n v="306.17689999999999"/>
    <n v="0"/>
    <n v="30.362095884909664"/>
    <n v="0"/>
    <n v="0"/>
    <n v="0"/>
    <n v="63.471540944316871"/>
    <n v="286.00038413787291"/>
    <n v="90.457468226033427"/>
    <n v="0"/>
    <n v="0"/>
    <n v="0"/>
    <n v="0"/>
    <n v="0"/>
    <n v="4.6923395834169161"/>
    <m/>
    <n v="1.1546123986061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387793040146647"/>
    <n v="0"/>
    <n v="0.2"/>
    <n v="1.1100000000000001"/>
    <n v="125.51"/>
    <n v="4"/>
    <m/>
    <m/>
    <m/>
    <m/>
    <m/>
    <m/>
    <m/>
    <m/>
    <m/>
    <n v="106.84526126618007"/>
    <m/>
    <m/>
    <m/>
    <m/>
    <m/>
    <m/>
    <m/>
    <m/>
    <m/>
    <m/>
    <m/>
    <m/>
    <n v="308.06299999999999"/>
    <n v="-184.48957999999999"/>
    <m/>
    <m/>
    <m/>
    <m/>
    <n v="-186.34568000000002"/>
    <n v="0"/>
    <m/>
    <n v="-8.0323633426204424"/>
    <n v="0"/>
    <n v="0"/>
    <n v="0"/>
    <n v="0"/>
    <n v="0"/>
    <n v="0"/>
    <n v="0"/>
    <n v="-5.8429752044058887"/>
    <n v="0"/>
    <n v="0"/>
    <n v="0"/>
    <n v="0"/>
    <n v="0"/>
    <n v="0"/>
    <n v="0"/>
    <n v="0"/>
    <n v="-1.8778557090073917"/>
    <m/>
    <n v="0"/>
    <n v="0"/>
    <n v="0"/>
    <n v="0"/>
    <n v="-0.25156756391203849"/>
    <n v="-5.9964865295121905E-2"/>
    <n v="0"/>
    <n v="0"/>
    <m/>
    <m/>
    <m/>
    <n v="286.00038413787291"/>
    <n v="0"/>
    <n v="0"/>
    <n v="-186.34568000000002"/>
    <n v="0"/>
    <n v="0"/>
    <n v="0"/>
    <n v="-178.31463768440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3"/>
    <s v="Regular"/>
    <s v="Convencional"/>
    <s v="B3"/>
    <s v="Serviço público"/>
    <s v="Tração elétrica"/>
    <s v="Não se aplica"/>
    <s v="Não se aplica"/>
    <s v="Não se aplica"/>
    <s v="CATIVO"/>
    <x v="3"/>
    <n v="0"/>
    <n v="0"/>
    <n v="5.1999999999999998E-2"/>
    <n v="5.1999999999999998E-2"/>
    <n v="5.1999999999999998E-2"/>
    <n v="5.1999999999999998E-2"/>
    <m/>
    <n v="825.6"/>
    <n v="185.74"/>
    <m/>
    <n v="52.589680000000001"/>
    <n v="52.589680000000001"/>
    <n v="32.692399999999999"/>
    <n v="0"/>
    <n v="3.2419486365817303"/>
    <n v="0"/>
    <n v="0"/>
    <n v="0"/>
    <n v="6.7772487250605282"/>
    <n v="30.538028696446389"/>
    <n v="9.6587029728002847"/>
    <n v="0"/>
    <n v="0"/>
    <n v="0"/>
    <n v="0"/>
    <n v="0"/>
    <n v="0.50103009925601572"/>
    <m/>
    <n v="0.12328510210989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498259508986151"/>
    <n v="0"/>
    <n v="0.02"/>
    <n v="0.12"/>
    <n v="0"/>
    <n v="1"/>
    <m/>
    <m/>
    <m/>
    <m/>
    <m/>
    <m/>
    <m/>
    <m/>
    <m/>
    <n v="11.408528923698899"/>
    <m/>
    <m/>
    <m/>
    <m/>
    <m/>
    <m/>
    <m/>
    <m/>
    <m/>
    <m/>
    <m/>
    <m/>
    <n v="31.435000000000002"/>
    <n v="-21.184679999999993"/>
    <m/>
    <m/>
    <m/>
    <m/>
    <n v="-19.897280000000002"/>
    <n v="0"/>
    <m/>
    <n v="-0.85766507970485506"/>
    <n v="0"/>
    <n v="0"/>
    <n v="0"/>
    <n v="0"/>
    <n v="0"/>
    <n v="0"/>
    <n v="0"/>
    <n v="-0.62389057624046451"/>
    <n v="0"/>
    <n v="0"/>
    <n v="0"/>
    <n v="0"/>
    <n v="0"/>
    <n v="0"/>
    <n v="0"/>
    <n v="0"/>
    <n v="-0.20051026051002951"/>
    <m/>
    <n v="0"/>
    <n v="0"/>
    <n v="0"/>
    <n v="0"/>
    <n v="-2.6861423662065731E-2"/>
    <n v="-6.4028192922922778E-3"/>
    <n v="0"/>
    <n v="0"/>
    <m/>
    <m/>
    <m/>
    <n v="30.538028696446389"/>
    <n v="0"/>
    <n v="0"/>
    <n v="-19.897279999999999"/>
    <n v="0"/>
    <n v="0"/>
    <n v="0"/>
    <n v="-19.03975597451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4"/>
    <s v="Regular"/>
    <s v="Convencional"/>
    <s v="B1"/>
    <s v="Residencial"/>
    <s v="Residencial"/>
    <s v="Não se aplica"/>
    <s v="Não se aplica"/>
    <s v="Não se aplica"/>
    <s v="CATIVO"/>
    <x v="4"/>
    <n v="0"/>
    <n v="0"/>
    <n v="1529.3979999999999"/>
    <n v="1529.3979999999999"/>
    <n v="1529.3979999999999"/>
    <n v="1529.3979999999999"/>
    <m/>
    <n v="825.6"/>
    <n v="185.74"/>
    <m/>
    <n v="1546741.37332"/>
    <n v="1546741.37332"/>
    <n v="961532.52260000003"/>
    <n v="0"/>
    <n v="95350.572324823559"/>
    <n v="0"/>
    <n v="0"/>
    <n v="0"/>
    <n v="199329.05087711773"/>
    <n v="898169.2310055329"/>
    <n v="284076.94248451554"/>
    <n v="0"/>
    <n v="0"/>
    <n v="0"/>
    <n v="0"/>
    <n v="0"/>
    <n v="14736.046764268305"/>
    <m/>
    <n v="3625.9997807051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5.00595485462"/>
    <n v="0"/>
    <n v="588.79999999999995"/>
    <n v="2931.92"/>
    <n v="261834.91"/>
    <n v="8125"/>
    <m/>
    <m/>
    <m/>
    <m/>
    <m/>
    <m/>
    <m/>
    <m/>
    <m/>
    <n v="335541.94843937014"/>
    <m/>
    <m/>
    <m/>
    <m/>
    <m/>
    <m/>
    <m/>
    <m/>
    <m/>
    <m/>
    <m/>
    <m/>
    <n v="961533.78"/>
    <n v="-585207.62332000001"/>
    <m/>
    <m/>
    <m/>
    <m/>
    <n v="-585208.85071999999"/>
    <n v="0"/>
    <n v="31"/>
    <n v="-25225.216491739266"/>
    <n v="0"/>
    <n v="0"/>
    <n v="0"/>
    <n v="0"/>
    <n v="0"/>
    <n v="0"/>
    <n v="0"/>
    <n v="-18349.557683096413"/>
    <n v="0"/>
    <n v="0"/>
    <n v="0"/>
    <n v="0"/>
    <n v="0"/>
    <n v="0"/>
    <n v="0"/>
    <n v="0"/>
    <n v="-5897.3075269907422"/>
    <m/>
    <n v="0"/>
    <n v="0"/>
    <n v="0"/>
    <n v="0"/>
    <n v="-790.03476203684477"/>
    <n v="-188.31651961525404"/>
    <n v="0"/>
    <n v="0"/>
    <m/>
    <m/>
    <m/>
    <n v="898169.2310055329"/>
    <n v="0"/>
    <n v="0"/>
    <n v="-585208.85071999999"/>
    <n v="0"/>
    <n v="0"/>
    <n v="0"/>
    <n v="-559987.78284447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5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3.8340000000000001"/>
    <n v="-3.8340000000000001"/>
    <n v="-3.8340000000000001"/>
    <n v="-3.8340000000000001"/>
    <m/>
    <n v="825.6"/>
    <n v="185.74"/>
    <m/>
    <n v="-3877.4775600000003"/>
    <n v="-3877.4775600000003"/>
    <n v="-2410.4358000000002"/>
    <n v="0"/>
    <n v="-239.03136678181451"/>
    <n v="0"/>
    <n v="0"/>
    <n v="0"/>
    <n v="-499.69176176696283"/>
    <n v="-2251.5923465802975"/>
    <n v="-712.14359995608254"/>
    <n v="0"/>
    <n v="0"/>
    <n v="0"/>
    <n v="0"/>
    <n v="0"/>
    <n v="-36.941334625914699"/>
    <m/>
    <n v="-9.0899054132563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9.01601337971712"/>
    <n v="0"/>
    <n v="-1.92"/>
    <n v="-9.3699999999999992"/>
    <n v="-1040.1400000000001"/>
    <n v="0"/>
    <m/>
    <m/>
    <m/>
    <m/>
    <m/>
    <m/>
    <m/>
    <m/>
    <m/>
    <n v="-841.15961333579969"/>
    <m/>
    <m/>
    <m/>
    <m/>
    <m/>
    <m/>
    <m/>
    <m/>
    <m/>
    <m/>
    <m/>
    <m/>
    <n v="-2407.9209999999998"/>
    <n v="1469.5265599999998"/>
    <m/>
    <m/>
    <m/>
    <m/>
    <n v="1467.0417600000003"/>
    <n v="0"/>
    <n v="31"/>
    <n v="63.236306069007696"/>
    <n v="0"/>
    <n v="0"/>
    <n v="0"/>
    <n v="0"/>
    <n v="0"/>
    <n v="0"/>
    <n v="0"/>
    <n v="45.999932102037349"/>
    <n v="0"/>
    <n v="0"/>
    <n v="0"/>
    <n v="0"/>
    <n v="0"/>
    <n v="0"/>
    <n v="0"/>
    <n v="0"/>
    <n v="14.783775746066425"/>
    <m/>
    <n v="0"/>
    <n v="0"/>
    <n v="0"/>
    <n v="0"/>
    <n v="1.9805134292376891"/>
    <n v="0.47208479166631889"/>
    <n v="0"/>
    <n v="0"/>
    <m/>
    <m/>
    <m/>
    <n v="-2251.5923465802975"/>
    <n v="0"/>
    <n v="0"/>
    <n v="1467.0417600000003"/>
    <n v="0"/>
    <n v="0"/>
    <n v="0"/>
    <n v="1403.8158539671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6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6.8049999999999997"/>
    <n v="6.8049999999999997"/>
    <n v="6.8049999999999997"/>
    <n v="6.8049999999999997"/>
    <m/>
    <n v="825.6"/>
    <n v="185.74"/>
    <m/>
    <n v="6882.1687000000002"/>
    <n v="6882.1687000000002"/>
    <n v="4278.3035"/>
    <n v="0"/>
    <n v="424.25885522958987"/>
    <n v="0"/>
    <n v="0"/>
    <n v="0"/>
    <n v="886.90726103917109"/>
    <n v="3996.3708707561091"/>
    <n v="1263.9898794212679"/>
    <n v="0"/>
    <n v="0"/>
    <n v="0"/>
    <n v="0"/>
    <n v="0"/>
    <n v="65.567496643022821"/>
    <m/>
    <n v="16.13375230495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99164607432837"/>
    <n v="0"/>
    <n v="2.0099999999999998"/>
    <n v="10.81"/>
    <n v="4432.91"/>
    <n v="60"/>
    <m/>
    <m/>
    <m/>
    <m/>
    <m/>
    <m/>
    <m/>
    <m/>
    <m/>
    <n v="1492.9815254955963"/>
    <m/>
    <m/>
    <m/>
    <m/>
    <m/>
    <m/>
    <m/>
    <m/>
    <m/>
    <m/>
    <m/>
    <m/>
    <n v="4281.4470000000001"/>
    <n v="-2600.7517000000007"/>
    <m/>
    <m/>
    <m/>
    <m/>
    <n v="-2603.8652000000002"/>
    <n v="0"/>
    <n v="31"/>
    <n v="-112.23867052675996"/>
    <n v="0"/>
    <n v="0"/>
    <n v="0"/>
    <n v="0"/>
    <n v="0"/>
    <n v="0"/>
    <n v="0"/>
    <n v="-81.645680217622385"/>
    <n v="0"/>
    <n v="0"/>
    <n v="0"/>
    <n v="0"/>
    <n v="0"/>
    <n v="0"/>
    <n v="0"/>
    <n v="0"/>
    <n v="-26.239852360975988"/>
    <m/>
    <n v="0"/>
    <n v="0"/>
    <n v="0"/>
    <n v="0"/>
    <n v="-3.5152305388530181"/>
    <n v="-0.8379074093086345"/>
    <n v="0"/>
    <n v="0"/>
    <m/>
    <m/>
    <m/>
    <n v="3996.3708707561091"/>
    <n v="0"/>
    <n v="0"/>
    <n v="-2603.8651999999997"/>
    <n v="0"/>
    <n v="0"/>
    <n v="0"/>
    <n v="-2491.6449885880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7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5.97"/>
    <n v="5.97"/>
    <n v="5.97"/>
    <n v="5.97"/>
    <m/>
    <n v="753.62"/>
    <n v="185.74"/>
    <m/>
    <n v="5607.9791999999998"/>
    <n v="5607.9791999999998"/>
    <n v="3349.7073"/>
    <n v="0"/>
    <n v="0"/>
    <n v="0"/>
    <n v="0"/>
    <n v="0"/>
    <n v="778.0802863194491"/>
    <n v="3506.000602265095"/>
    <n v="1108.8933989926479"/>
    <n v="0"/>
    <n v="0"/>
    <n v="0"/>
    <n v="0"/>
    <n v="0"/>
    <n v="0"/>
    <m/>
    <n v="14.154078069155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89347936278332"/>
    <n v="0"/>
    <n v="0"/>
    <n v="2.29"/>
    <n v="159.19999999999999"/>
    <n v="10"/>
    <m/>
    <m/>
    <m/>
    <m/>
    <m/>
    <m/>
    <m/>
    <n v="2177.3186999999998"/>
    <m/>
    <n v="1309.7868783554313"/>
    <m/>
    <m/>
    <m/>
    <m/>
    <m/>
    <m/>
    <m/>
    <m/>
    <m/>
    <m/>
    <m/>
    <m/>
    <n v="1172.3886"/>
    <n v="-790.45799999999986"/>
    <m/>
    <m/>
    <m/>
    <m/>
    <n v="-2258.2718999999997"/>
    <n v="0"/>
    <n v="31"/>
    <n v="-72.362530217895028"/>
    <n v="0"/>
    <n v="0"/>
    <n v="0"/>
    <n v="0"/>
    <n v="0"/>
    <n v="0"/>
    <n v="0"/>
    <n v="-71.627437310684059"/>
    <n v="0"/>
    <n v="0"/>
    <n v="0"/>
    <n v="0"/>
    <n v="0"/>
    <n v="0"/>
    <n v="0"/>
    <n v="0"/>
    <n v="0"/>
    <m/>
    <n v="0"/>
    <n v="0"/>
    <n v="0"/>
    <n v="0"/>
    <n v="0"/>
    <n v="-0.7350929072112482"/>
    <n v="0"/>
    <n v="0"/>
    <m/>
    <m/>
    <m/>
    <n v="3506.000602265095"/>
    <n v="0"/>
    <n v="0"/>
    <n v="-2258.2718999999997"/>
    <n v="0"/>
    <n v="0"/>
    <n v="0"/>
    <n v="-2185.9104455357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68"/>
    <s v="Sistema de Compensação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69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2.425000000000001"/>
    <n v="12.425000000000001"/>
    <n v="12.425000000000001"/>
    <n v="12.425000000000001"/>
    <m/>
    <n v="753.62"/>
    <n v="185.74"/>
    <m/>
    <n v="11671.548000000001"/>
    <n v="11671.548000000001"/>
    <n v="6971.5432500000006"/>
    <n v="0"/>
    <n v="0"/>
    <n v="0"/>
    <n v="0"/>
    <n v="0"/>
    <n v="1619.3714501707129"/>
    <n v="7296.8270491028161"/>
    <n v="2307.8727776354526"/>
    <n v="0"/>
    <n v="0"/>
    <n v="0"/>
    <n v="0"/>
    <n v="0"/>
    <n v="0"/>
    <m/>
    <n v="29.458026802219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.10745076760185"/>
    <n v="0"/>
    <n v="1.76"/>
    <n v="10.92"/>
    <n v="571.51"/>
    <n v="30"/>
    <m/>
    <m/>
    <m/>
    <m/>
    <m/>
    <m/>
    <m/>
    <n v="2788.5427500000005"/>
    <m/>
    <n v="2725.9802284030543"/>
    <m/>
    <m/>
    <m/>
    <m/>
    <m/>
    <m/>
    <m/>
    <m/>
    <m/>
    <m/>
    <m/>
    <m/>
    <n v="4184.6837999999998"/>
    <n v="-2818.3247000000019"/>
    <m/>
    <m/>
    <m/>
    <m/>
    <n v="-4700.0047500000001"/>
    <n v="0"/>
    <n v="31"/>
    <n v="-150.60375845181716"/>
    <n v="0"/>
    <n v="0"/>
    <n v="0"/>
    <n v="0"/>
    <n v="0"/>
    <n v="0"/>
    <n v="0"/>
    <n v="-149.07385403438025"/>
    <n v="0"/>
    <n v="0"/>
    <n v="0"/>
    <n v="0"/>
    <n v="0"/>
    <n v="0"/>
    <n v="0"/>
    <n v="0"/>
    <n v="0"/>
    <m/>
    <n v="0"/>
    <n v="0"/>
    <n v="0"/>
    <n v="0"/>
    <n v="0"/>
    <n v="-1.5299044174371446"/>
    <n v="0"/>
    <n v="0"/>
    <m/>
    <m/>
    <m/>
    <n v="7296.8270491028161"/>
    <n v="0"/>
    <n v="0"/>
    <n v="-4700.004750000001"/>
    <n v="0"/>
    <n v="0"/>
    <n v="0"/>
    <n v="-4549.403230449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0"/>
    <s v="Sistema de Compensação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.2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71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3.813000000000001"/>
    <n v="13.813000000000001"/>
    <n v="13.813000000000001"/>
    <n v="13.813000000000001"/>
    <m/>
    <n v="753.62"/>
    <n v="185.74"/>
    <m/>
    <n v="12975.379680000002"/>
    <n v="12975.379680000002"/>
    <n v="7750.3361700000005"/>
    <n v="0"/>
    <n v="0"/>
    <n v="0"/>
    <n v="0"/>
    <n v="0"/>
    <n v="1800.2718584473284"/>
    <n v="8111.9575073848846"/>
    <n v="2565.6858492940451"/>
    <n v="0"/>
    <n v="0"/>
    <n v="0"/>
    <n v="0"/>
    <n v="0"/>
    <n v="0"/>
    <m/>
    <n v="32.748790681614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4.81434345697255"/>
    <n v="0"/>
    <n v="3.52"/>
    <n v="16.63"/>
    <n v="1608.91"/>
    <n v="92"/>
    <m/>
    <m/>
    <m/>
    <m/>
    <m/>
    <m/>
    <m/>
    <n v="774.90930000000071"/>
    <m/>
    <n v="3030.5001927510175"/>
    <m/>
    <m/>
    <m/>
    <m/>
    <m/>
    <m/>
    <m/>
    <m/>
    <m/>
    <m/>
    <m/>
    <m/>
    <n v="6973.9119000000001"/>
    <n v="-4704.0426899999993"/>
    <m/>
    <m/>
    <m/>
    <m/>
    <n v="-5225.0435100000004"/>
    <n v="0"/>
    <n v="31"/>
    <n v="-167.42774370180632"/>
    <n v="0"/>
    <n v="0"/>
    <n v="0"/>
    <n v="0"/>
    <n v="0"/>
    <n v="0"/>
    <n v="0"/>
    <n v="-165.7269332617218"/>
    <n v="0"/>
    <n v="0"/>
    <n v="0"/>
    <n v="0"/>
    <n v="0"/>
    <n v="0"/>
    <n v="0"/>
    <n v="0"/>
    <n v="0"/>
    <m/>
    <n v="0"/>
    <n v="0"/>
    <n v="0"/>
    <n v="0"/>
    <n v="0"/>
    <n v="-1.7008104400852524"/>
    <n v="0"/>
    <n v="0"/>
    <m/>
    <m/>
    <m/>
    <n v="8111.9575073848846"/>
    <n v="0"/>
    <n v="0"/>
    <n v="-5225.0435100000004"/>
    <n v="0"/>
    <n v="0"/>
    <n v="0"/>
    <n v="-5057.6182553074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2"/>
    <s v="Sistema de Compensação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7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7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5.2519999999999998"/>
    <n v="5.2519999999999998"/>
    <n v="5.2519999999999998"/>
    <n v="5.2519999999999998"/>
    <m/>
    <n v="753.62"/>
    <n v="185.74"/>
    <m/>
    <n v="4933.51872"/>
    <n v="4933.51872"/>
    <n v="2946.8446800000002"/>
    <n v="0"/>
    <n v="0"/>
    <n v="0"/>
    <n v="0"/>
    <n v="0"/>
    <n v="684.50212123111339"/>
    <n v="3084.3408983410854"/>
    <n v="975.52900025282872"/>
    <n v="0"/>
    <n v="0"/>
    <n v="0"/>
    <n v="0"/>
    <n v="0"/>
    <n v="0"/>
    <m/>
    <n v="12.451795313099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73242104076013"/>
    <n v="0"/>
    <n v="1.63"/>
    <n v="6.93"/>
    <n v="984.81"/>
    <n v="67"/>
    <m/>
    <m/>
    <m/>
    <m/>
    <m/>
    <m/>
    <m/>
    <m/>
    <m/>
    <n v="1152.2614212935889"/>
    <m/>
    <m/>
    <m/>
    <m/>
    <m/>
    <m/>
    <m/>
    <m/>
    <m/>
    <m/>
    <m/>
    <m/>
    <n v="2945.7224999999999"/>
    <n v="-1987.8262200000008"/>
    <m/>
    <m/>
    <m/>
    <m/>
    <n v="-1986.6740399999999"/>
    <n v="0"/>
    <n v="31"/>
    <n v="-63.659632948808166"/>
    <n v="0"/>
    <n v="0"/>
    <n v="0"/>
    <n v="0"/>
    <n v="0"/>
    <n v="0"/>
    <n v="0"/>
    <n v="-63.012948200286928"/>
    <n v="0"/>
    <n v="0"/>
    <n v="0"/>
    <n v="0"/>
    <n v="0"/>
    <n v="0"/>
    <n v="0"/>
    <n v="0"/>
    <n v="0"/>
    <m/>
    <n v="0"/>
    <n v="0"/>
    <n v="0"/>
    <n v="0"/>
    <n v="0"/>
    <n v="-0.6466847485215208"/>
    <n v="0"/>
    <n v="0"/>
    <m/>
    <m/>
    <m/>
    <n v="3084.3408983410854"/>
    <n v="0"/>
    <n v="0"/>
    <n v="-1986.6740399999999"/>
    <n v="0"/>
    <n v="0"/>
    <n v="0"/>
    <n v="-1923.015353426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4"/>
    <s v="Regular"/>
    <s v="Branca"/>
    <s v="B1"/>
    <s v="Residencial"/>
    <s v="Residencial"/>
    <s v="Não se aplica"/>
    <s v="Não se aplica"/>
    <s v="Ponta"/>
    <s v="CATIVO"/>
    <x v="4"/>
    <n v="0"/>
    <n v="0"/>
    <n v="6.8000000000000005E-2"/>
    <n v="6.8000000000000005E-2"/>
    <n v="6.8000000000000005E-2"/>
    <n v="6.8000000000000005E-2"/>
    <m/>
    <n v="2045.69"/>
    <n v="185.74"/>
    <m/>
    <n v="151.73724000000001"/>
    <n v="151.73724000000001"/>
    <n v="82.002560000000003"/>
    <n v="0"/>
    <n v="4.2394712939914934"/>
    <n v="0"/>
    <n v="0"/>
    <n v="0"/>
    <n v="23.939847786684606"/>
    <n v="107.8226984515162"/>
    <n v="12.630611579815758"/>
    <n v="0"/>
    <n v="0"/>
    <n v="0"/>
    <n v="0"/>
    <n v="0"/>
    <n v="0.65519320671940517"/>
    <m/>
    <n v="0.16121897968216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882339357904971"/>
    <n v="0"/>
    <n v="0"/>
    <n v="0"/>
    <n v="0"/>
    <n v="0"/>
    <m/>
    <m/>
    <m/>
    <m/>
    <m/>
    <m/>
    <m/>
    <m/>
    <m/>
    <n v="14.918845515606256"/>
    <m/>
    <m/>
    <m/>
    <m/>
    <m/>
    <m/>
    <m/>
    <m/>
    <m/>
    <m/>
    <m/>
    <m/>
    <n v="84.414400000000001"/>
    <n v="-67.352839999999986"/>
    <m/>
    <m/>
    <m/>
    <m/>
    <n v="-69.734680000000026"/>
    <n v="0"/>
    <n v="31"/>
    <n v="-2.5095264693535597"/>
    <n v="0"/>
    <n v="0"/>
    <n v="0"/>
    <n v="0"/>
    <n v="0"/>
    <n v="0"/>
    <n v="0"/>
    <n v="-2.2038213494385914"/>
    <n v="0"/>
    <n v="0"/>
    <n v="0"/>
    <n v="0"/>
    <n v="0"/>
    <n v="0"/>
    <n v="0"/>
    <n v="0"/>
    <n v="-0.26220572528234598"/>
    <m/>
    <n v="0"/>
    <n v="0"/>
    <n v="0"/>
    <n v="0"/>
    <n v="-3.5126477096547482E-2"/>
    <n v="-8.3729175360745256E-3"/>
    <n v="0"/>
    <n v="0"/>
    <m/>
    <m/>
    <m/>
    <n v="107.8226984515162"/>
    <n v="0"/>
    <n v="0"/>
    <n v="-69.734679999999997"/>
    <n v="0"/>
    <n v="0"/>
    <n v="0"/>
    <n v="-67.22496358350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5"/>
    <s v="Regular"/>
    <s v="Branca"/>
    <s v="B1"/>
    <s v="Residencial"/>
    <s v="Residencial"/>
    <s v="Não se aplica"/>
    <s v="Não se aplica"/>
    <s v="Fora ponta"/>
    <s v="CATIVO"/>
    <x v="4"/>
    <n v="0"/>
    <n v="0"/>
    <n v="1.395"/>
    <n v="1.395"/>
    <n v="1.395"/>
    <n v="1.395"/>
    <m/>
    <n v="495.6"/>
    <n v="185.74"/>
    <m/>
    <n v="950.46930000000009"/>
    <n v="950.46930000000009"/>
    <n v="659.33279999999991"/>
    <n v="0"/>
    <n v="86.971506692913721"/>
    <n v="0"/>
    <n v="0"/>
    <n v="0"/>
    <n v="98.313618674070298"/>
    <n v="442.38984419555271"/>
    <n v="259.1132816741615"/>
    <n v="0"/>
    <n v="0"/>
    <n v="0"/>
    <n v="0"/>
    <n v="0"/>
    <n v="13.441095931964268"/>
    <m/>
    <n v="3.3073599508327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942446182760925"/>
    <n v="0"/>
    <n v="0"/>
    <n v="0"/>
    <n v="0"/>
    <n v="0"/>
    <m/>
    <m/>
    <m/>
    <m/>
    <m/>
    <m/>
    <m/>
    <m/>
    <m/>
    <n v="306.05572785692243"/>
    <m/>
    <m/>
    <m/>
    <m/>
    <m/>
    <m/>
    <m/>
    <m/>
    <m/>
    <m/>
    <m/>
    <m/>
    <n v="661.69599999999991"/>
    <n v="-288.80330000000015"/>
    <m/>
    <m/>
    <m/>
    <m/>
    <n v="-291.13650000000007"/>
    <n v="0"/>
    <n v="31"/>
    <n v="-15.321869559494019"/>
    <n v="0"/>
    <n v="0"/>
    <n v="0"/>
    <n v="0"/>
    <n v="0"/>
    <n v="0"/>
    <n v="0"/>
    <n v="-9.0504189377089972"/>
    <n v="0"/>
    <n v="0"/>
    <n v="0"/>
    <n v="0"/>
    <n v="0"/>
    <n v="0"/>
    <n v="0"/>
    <n v="0"/>
    <n v="-5.3790733348363631"/>
    <m/>
    <n v="0"/>
    <n v="0"/>
    <n v="0"/>
    <n v="0"/>
    <n v="-0.72060934631887896"/>
    <n v="-0.17176794062976386"/>
    <n v="0"/>
    <n v="0"/>
    <m/>
    <m/>
    <m/>
    <n v="442.38984419555271"/>
    <n v="0"/>
    <n v="0"/>
    <n v="-291.13650000000013"/>
    <n v="0"/>
    <n v="0"/>
    <n v="0"/>
    <n v="-275.81985604943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6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4"/>
    <n v="3.08"/>
    <n v="334.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77"/>
    <s v="Regular"/>
    <s v="Branca"/>
    <s v="B1"/>
    <s v="Residencial"/>
    <s v="Residencial"/>
    <s v="Não se aplica"/>
    <s v="Não se aplica"/>
    <s v="Intermediário"/>
    <s v="CATIVO"/>
    <x v="4"/>
    <n v="0"/>
    <n v="0"/>
    <n v="5.0999999999999997E-2"/>
    <n v="5.0999999999999997E-2"/>
    <n v="5.0999999999999997E-2"/>
    <n v="5.0999999999999997E-2"/>
    <m/>
    <n v="1270.6099999999999"/>
    <n v="185.74"/>
    <m/>
    <n v="74.273849999999996"/>
    <n v="74.273849999999996"/>
    <n v="42.801749999999998"/>
    <n v="0"/>
    <n v="3.1796034704936198"/>
    <n v="0"/>
    <n v="0"/>
    <n v="0"/>
    <n v="10.772932524884618"/>
    <n v="48.520239531865649"/>
    <n v="9.4729586848618172"/>
    <n v="0"/>
    <n v="0"/>
    <n v="0"/>
    <n v="0"/>
    <n v="0"/>
    <n v="0.49139490503955385"/>
    <m/>
    <n v="0.1209142347616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61754518428725"/>
    <n v="0"/>
    <n v="0"/>
    <n v="0"/>
    <n v="0"/>
    <n v="0"/>
    <m/>
    <m/>
    <m/>
    <m/>
    <m/>
    <m/>
    <m/>
    <m/>
    <m/>
    <n v="11.189134136704689"/>
    <m/>
    <m/>
    <m/>
    <m/>
    <m/>
    <m/>
    <m/>
    <m/>
    <m/>
    <m/>
    <m/>
    <m/>
    <n v="41.962499999999999"/>
    <n v="-32.341350000000013"/>
    <m/>
    <m/>
    <m/>
    <m/>
    <n v="-31.472099999999994"/>
    <n v="0"/>
    <n v="31"/>
    <n v="-1.2209985411620323"/>
    <n v="0"/>
    <n v="0"/>
    <n v="0"/>
    <n v="0"/>
    <n v="0"/>
    <n v="0"/>
    <n v="0"/>
    <n v="-0.99171970122580966"/>
    <n v="0"/>
    <n v="0"/>
    <n v="0"/>
    <n v="0"/>
    <n v="0"/>
    <n v="0"/>
    <n v="0"/>
    <n v="0"/>
    <n v="-0.19665429396175949"/>
    <m/>
    <n v="0"/>
    <n v="0"/>
    <n v="0"/>
    <n v="0"/>
    <n v="-2.6344857822410583E-2"/>
    <n v="-6.2796881520558734E-3"/>
    <n v="0"/>
    <n v="0"/>
    <m/>
    <m/>
    <m/>
    <n v="48.520239531865649"/>
    <n v="0"/>
    <n v="0"/>
    <n v="-31.472099999999998"/>
    <n v="0"/>
    <n v="0"/>
    <n v="0"/>
    <n v="-30.251249342079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8"/>
    <s v="Regular"/>
    <s v="Convencional"/>
    <s v="B3"/>
    <s v="Industrial"/>
    <s v="Não se aplica"/>
    <s v="Não se aplica"/>
    <s v="Não se aplica"/>
    <s v="Não se aplica"/>
    <s v="CATIVO"/>
    <x v="4"/>
    <n v="0"/>
    <n v="0"/>
    <n v="37.445999999999998"/>
    <n v="37.445999999999998"/>
    <n v="37.445999999999998"/>
    <n v="37.445999999999998"/>
    <m/>
    <n v="825.6"/>
    <n v="185.74"/>
    <m/>
    <n v="37870.637640000001"/>
    <n v="37870.637640000001"/>
    <n v="23542.300199999998"/>
    <n v="0"/>
    <n v="2334.5770893353742"/>
    <n v="0"/>
    <n v="0"/>
    <n v="0"/>
    <n v="4880.4010722810872"/>
    <n v="21990.904280137143"/>
    <n v="6955.3806061438354"/>
    <n v="0"/>
    <n v="0"/>
    <n v="0"/>
    <n v="0"/>
    <n v="0"/>
    <n v="360.79948262963006"/>
    <m/>
    <n v="88.779498723212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0.0765876413373"/>
    <n v="0"/>
    <n v="15.46"/>
    <n v="74.05"/>
    <n v="9649.31"/>
    <n v="47"/>
    <m/>
    <m/>
    <m/>
    <m/>
    <m/>
    <m/>
    <m/>
    <m/>
    <m/>
    <n v="8215.4571937851724"/>
    <m/>
    <m/>
    <m/>
    <m/>
    <m/>
    <m/>
    <m/>
    <m/>
    <m/>
    <m/>
    <m/>
    <m/>
    <n v="23544.814999999999"/>
    <n v="-14325.852640000001"/>
    <m/>
    <m/>
    <m/>
    <m/>
    <n v="-14328.337440000001"/>
    <n v="0"/>
    <n v="31"/>
    <n v="-617.61781874284679"/>
    <n v="0"/>
    <n v="0"/>
    <n v="0"/>
    <n v="0"/>
    <n v="0"/>
    <n v="0"/>
    <n v="0"/>
    <n v="-449.27320226731626"/>
    <n v="0"/>
    <n v="0"/>
    <n v="0"/>
    <n v="0"/>
    <n v="0"/>
    <n v="0"/>
    <n v="0"/>
    <n v="0"/>
    <n v="-144.39052336651093"/>
    <m/>
    <n v="0"/>
    <n v="0"/>
    <n v="0"/>
    <n v="0"/>
    <n v="-19.34332443172525"/>
    <n v="-4.6107686772918584"/>
    <n v="0"/>
    <n v="0"/>
    <m/>
    <m/>
    <m/>
    <n v="21990.904280137143"/>
    <n v="0"/>
    <n v="0"/>
    <n v="-14328.337440000003"/>
    <n v="0"/>
    <n v="0"/>
    <n v="0"/>
    <n v="-13710.82119657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79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3"/>
    <n v="0.3"/>
    <n v="0.3"/>
    <n v="0.3"/>
    <m/>
    <n v="825.6"/>
    <n v="185.74"/>
    <m/>
    <n v="303.40199999999999"/>
    <n v="303.40199999999999"/>
    <n v="188.60999999999999"/>
    <n v="0"/>
    <n v="18.703549826433058"/>
    <n v="0"/>
    <n v="0"/>
    <n v="0"/>
    <n v="39.099511875349201"/>
    <n v="176.18093478719069"/>
    <n v="55.723286381540099"/>
    <n v="0"/>
    <n v="0"/>
    <n v="0"/>
    <n v="0"/>
    <n v="0"/>
    <n v="2.8905582649385519"/>
    <m/>
    <n v="0.71126020448015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9514971672278"/>
    <n v="0"/>
    <n v="0.02"/>
    <n v="0.18"/>
    <n v="1157.42"/>
    <n v="3"/>
    <m/>
    <m/>
    <m/>
    <m/>
    <m/>
    <m/>
    <m/>
    <m/>
    <m/>
    <n v="65.818436098262879"/>
    <m/>
    <m/>
    <m/>
    <m/>
    <m/>
    <m/>
    <m/>
    <m/>
    <m/>
    <m/>
    <m/>
    <m/>
    <n v="188.60999999999999"/>
    <n v="-114.82199999999997"/>
    <m/>
    <m/>
    <m/>
    <m/>
    <n v="-114.79200000000002"/>
    <n v="0"/>
    <n v="31"/>
    <n v="-4.948067767528002"/>
    <n v="0"/>
    <n v="0"/>
    <n v="0"/>
    <n v="0"/>
    <n v="0"/>
    <n v="0"/>
    <n v="0"/>
    <n v="-3.5993687090795987"/>
    <n v="0"/>
    <n v="0"/>
    <n v="0"/>
    <n v="0"/>
    <n v="0"/>
    <n v="0"/>
    <n v="0"/>
    <n v="0"/>
    <n v="-1.1567899644809394"/>
    <m/>
    <n v="0"/>
    <n v="0"/>
    <n v="0"/>
    <n v="0"/>
    <n v="-0.15496975189653295"/>
    <n v="-3.6939342070916981E-2"/>
    <n v="0"/>
    <n v="0"/>
    <m/>
    <m/>
    <m/>
    <n v="176.18093478719069"/>
    <n v="0"/>
    <n v="0"/>
    <n v="-114.79200000000003"/>
    <n v="0"/>
    <n v="0"/>
    <n v="0"/>
    <n v="-109.8447460068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0"/>
    <s v="Regular"/>
    <s v="Verde"/>
    <s v="A4"/>
    <s v="Industrial"/>
    <s v="Não se aplica"/>
    <s v="Não se aplica"/>
    <s v="Não se aplica"/>
    <s v="Ponta"/>
    <s v="CATIVO"/>
    <x v="4"/>
    <n v="0"/>
    <n v="0"/>
    <n v="1.9650000000000001"/>
    <n v="1.9650000000000001"/>
    <n v="1.9650000000000001"/>
    <n v="1.9650000000000001"/>
    <m/>
    <n v="4433.21"/>
    <n v="185.74"/>
    <m/>
    <n v="9076.23675"/>
    <n v="9076.23675"/>
    <n v="4736.8683000000001"/>
    <n v="0"/>
    <n v="106.58217868592865"/>
    <n v="0"/>
    <n v="0"/>
    <n v="0"/>
    <n v="1889.5891457332586"/>
    <n v="6668.5881884000219"/>
    <n v="364.98752579908768"/>
    <n v="0"/>
    <n v="0"/>
    <n v="0"/>
    <n v="0"/>
    <n v="0"/>
    <n v="18.933156635347519"/>
    <m/>
    <n v="2.0355069973047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529621512028747"/>
    <n v="0"/>
    <n v="0"/>
    <n v="0"/>
    <n v="0"/>
    <n v="0"/>
    <m/>
    <m/>
    <m/>
    <m/>
    <m/>
    <m/>
    <m/>
    <m/>
    <m/>
    <n v="390.51714731111645"/>
    <m/>
    <m/>
    <m/>
    <m/>
    <m/>
    <m/>
    <m/>
    <m/>
    <m/>
    <m/>
    <m/>
    <m/>
    <n v="4748.9214000000002"/>
    <n v="-4327.3453500000005"/>
    <m/>
    <m/>
    <m/>
    <m/>
    <n v="-4339.3684499999999"/>
    <n v="0"/>
    <n v="31"/>
    <n v="-181.66191405244126"/>
    <n v="0"/>
    <n v="0"/>
    <n v="0"/>
    <n v="0"/>
    <n v="0"/>
    <n v="0"/>
    <n v="0"/>
    <n v="-173.94918038495553"/>
    <n v="0"/>
    <n v="0"/>
    <n v="0"/>
    <n v="0"/>
    <n v="0"/>
    <n v="0"/>
    <n v="0"/>
    <n v="0"/>
    <n v="-6.591967612594587"/>
    <m/>
    <n v="0"/>
    <n v="0"/>
    <n v="0"/>
    <n v="0"/>
    <n v="-1.0150518749222925"/>
    <n v="-0.10571417996897225"/>
    <n v="0"/>
    <n v="0"/>
    <m/>
    <m/>
    <m/>
    <n v="6668.5881884000219"/>
    <n v="0"/>
    <n v="0"/>
    <n v="-4339.368449999999"/>
    <n v="0"/>
    <n v="0"/>
    <n v="0"/>
    <n v="-4157.710802611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1"/>
    <s v="Regular"/>
    <s v="Verde"/>
    <s v="A4"/>
    <s v="Industrial"/>
    <s v="Não se aplica"/>
    <s v="Não se aplica"/>
    <s v="Não se aplica"/>
    <s v="Fora ponta"/>
    <s v="CATIVO"/>
    <x v="4"/>
    <n v="0"/>
    <n v="0"/>
    <n v="54.472999999999999"/>
    <n v="54.472999999999999"/>
    <n v="54.472999999999999"/>
    <n v="54.472999999999999"/>
    <m/>
    <n v="77.900000000000006"/>
    <n v="185.74"/>
    <m/>
    <n v="14361.26172"/>
    <n v="14361.26172"/>
    <n v="14147.727559999999"/>
    <n v="0"/>
    <n v="2954.6315621163312"/>
    <n v="0"/>
    <n v="0"/>
    <n v="0"/>
    <n v="0"/>
    <n v="0"/>
    <n v="10118.048596872113"/>
    <n v="0"/>
    <n v="0"/>
    <n v="0"/>
    <n v="0"/>
    <n v="0"/>
    <n v="524.85793455332589"/>
    <m/>
    <n v="56.427568785843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7.72268326958874"/>
    <n v="0"/>
    <n v="0"/>
    <n v="0"/>
    <n v="0"/>
    <n v="0"/>
    <m/>
    <m/>
    <m/>
    <m/>
    <m/>
    <m/>
    <m/>
    <m/>
    <m/>
    <n v="10825.771280141702"/>
    <m/>
    <m/>
    <m/>
    <m/>
    <m/>
    <m/>
    <m/>
    <m/>
    <m/>
    <m/>
    <m/>
    <m/>
    <n v="14146.948399999999"/>
    <n v="-214.34332000000177"/>
    <m/>
    <m/>
    <m/>
    <m/>
    <n v="-213.5341600000001"/>
    <n v="0"/>
    <n v="31"/>
    <n v="-213.80953743967257"/>
    <n v="0"/>
    <n v="0"/>
    <n v="0"/>
    <n v="0"/>
    <n v="0"/>
    <n v="0"/>
    <n v="0"/>
    <n v="0"/>
    <n v="0"/>
    <n v="0"/>
    <n v="0"/>
    <n v="0"/>
    <n v="0"/>
    <n v="0"/>
    <n v="0"/>
    <n v="0"/>
    <n v="-182.74007723199202"/>
    <m/>
    <n v="0"/>
    <n v="0"/>
    <n v="0"/>
    <n v="0"/>
    <n v="-28.13889098353286"/>
    <n v="-2.9305692241474972"/>
    <n v="0"/>
    <n v="0"/>
    <m/>
    <m/>
    <m/>
    <n v="0"/>
    <n v="0"/>
    <n v="0"/>
    <n v="-213.534160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2"/>
    <s v="Regular"/>
    <s v="Verde"/>
    <s v="A4"/>
    <s v="Industrial"/>
    <s v="Não se aplica"/>
    <s v="Não se aplica"/>
    <s v="Não se aplica"/>
    <s v="Não se aplica"/>
    <s v="CATIVO"/>
    <x v="4"/>
    <n v="349"/>
    <n v="349"/>
    <n v="0"/>
    <n v="0"/>
    <n v="0"/>
    <n v="0"/>
    <n v="55.59"/>
    <m/>
    <m/>
    <n v="19400.91"/>
    <m/>
    <n v="19400.91"/>
    <n v="10298.99"/>
    <n v="0"/>
    <n v="0"/>
    <n v="0"/>
    <n v="0"/>
    <n v="0"/>
    <n v="5637.9801188937536"/>
    <n v="13761.3223746607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.489999999999998"/>
    <n v="89.74"/>
    <n v="12384.67"/>
    <n v="5"/>
    <m/>
    <m/>
    <m/>
    <m/>
    <m/>
    <m/>
    <m/>
    <m/>
    <m/>
    <n v="0"/>
    <m/>
    <m/>
    <m/>
    <m/>
    <m/>
    <m/>
    <m/>
    <m/>
    <m/>
    <m/>
    <m/>
    <m/>
    <n v="10298.99"/>
    <n v="-9101.9499999999953"/>
    <m/>
    <m/>
    <m/>
    <m/>
    <n v="-9101.92"/>
    <n v="0"/>
    <n v="31"/>
    <n v="-519.01336484852709"/>
    <n v="0"/>
    <n v="0"/>
    <n v="0"/>
    <n v="0"/>
    <m/>
    <m/>
    <m/>
    <n v="-519.013364848527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761.322374660731"/>
    <m/>
    <n v="0"/>
    <n v="0"/>
    <n v="-9101.92"/>
    <m/>
    <n v="0"/>
    <m/>
    <n v="-8579.866844210359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83"/>
    <s v="Regular"/>
    <s v="Convencional"/>
    <s v="B3"/>
    <s v="Comercial"/>
    <s v="Não se aplica"/>
    <s v="Não se aplica"/>
    <s v="Não se aplica"/>
    <s v="Não se aplica"/>
    <s v="CATIVO"/>
    <x v="4"/>
    <n v="0"/>
    <n v="0"/>
    <n v="183.55799999999999"/>
    <n v="183.55799999999999"/>
    <n v="183.55799999999999"/>
    <n v="183.55799999999999"/>
    <m/>
    <n v="825.6"/>
    <n v="185.74"/>
    <m/>
    <n v="185639.54772"/>
    <n v="185639.54772"/>
    <n v="115402.91459999999"/>
    <n v="0"/>
    <n v="11443.953996801331"/>
    <n v="0"/>
    <n v="0"/>
    <n v="0"/>
    <n v="23923.427336051162"/>
    <n v="107798.06675889051"/>
    <n v="34094.850005409127"/>
    <n v="0"/>
    <n v="0"/>
    <n v="0"/>
    <n v="0"/>
    <n v="0"/>
    <n v="1768.6169799853026"/>
    <m/>
    <n v="435.19166871322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76.8183056739999"/>
    <n v="0"/>
    <n v="74.84"/>
    <n v="360.67"/>
    <n v="46389.53"/>
    <n v="371"/>
    <m/>
    <m/>
    <m/>
    <m/>
    <m/>
    <m/>
    <m/>
    <m/>
    <m/>
    <n v="40271.668311083129"/>
    <m/>
    <m/>
    <m/>
    <m/>
    <m/>
    <m/>
    <m/>
    <m/>
    <m/>
    <m/>
    <m/>
    <m/>
    <n v="115404.17199999999"/>
    <n v="-70235.405720000039"/>
    <m/>
    <m/>
    <m/>
    <m/>
    <n v="-70236.633119999999"/>
    <n v="0"/>
    <n v="31"/>
    <n v="-3027.5247442396649"/>
    <n v="0"/>
    <n v="0"/>
    <n v="0"/>
    <n v="0"/>
    <n v="0"/>
    <n v="0"/>
    <n v="0"/>
    <n v="-2202.3097383374443"/>
    <n v="0"/>
    <n v="0"/>
    <n v="0"/>
    <n v="0"/>
    <n v="0"/>
    <n v="0"/>
    <n v="0"/>
    <n v="0"/>
    <n v="-707.79350766730749"/>
    <m/>
    <n v="0"/>
    <n v="0"/>
    <n v="0"/>
    <n v="0"/>
    <n v="-94.819792395412833"/>
    <n v="-22.601705839511283"/>
    <n v="0"/>
    <n v="0"/>
    <m/>
    <m/>
    <m/>
    <n v="107798.06675889051"/>
    <n v="0"/>
    <n v="0"/>
    <n v="-70236.633120000013"/>
    <n v="0"/>
    <n v="0"/>
    <n v="0"/>
    <n v="-67209.606291734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4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2.2679999999999998"/>
    <n v="2.2679999999999998"/>
    <n v="2.2679999999999998"/>
    <n v="2.2679999999999998"/>
    <m/>
    <n v="825.6"/>
    <n v="185.74"/>
    <m/>
    <n v="2293.7191199999997"/>
    <n v="2293.7191199999997"/>
    <n v="1425.8915999999999"/>
    <n v="0"/>
    <n v="141.39883668783392"/>
    <n v="0"/>
    <n v="0"/>
    <n v="0"/>
    <n v="295.59230977763997"/>
    <n v="1331.9278669911616"/>
    <n v="421.26804504444317"/>
    <n v="0"/>
    <n v="0"/>
    <n v="0"/>
    <n v="0"/>
    <n v="0"/>
    <n v="21.852620482935453"/>
    <m/>
    <n v="5.3771271458699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.319331858424206"/>
    <n v="0"/>
    <n v="0.87"/>
    <n v="4.04"/>
    <n v="584.29"/>
    <n v="0"/>
    <m/>
    <m/>
    <m/>
    <m/>
    <m/>
    <m/>
    <m/>
    <m/>
    <m/>
    <n v="497.58737690286739"/>
    <m/>
    <m/>
    <m/>
    <m/>
    <m/>
    <m/>
    <m/>
    <m/>
    <m/>
    <m/>
    <m/>
    <m/>
    <n v="1427.1489999999999"/>
    <n v="-866.60012000000006"/>
    <m/>
    <m/>
    <m/>
    <m/>
    <n v="-867.82752000000005"/>
    <n v="0"/>
    <n v="31"/>
    <n v="-37.407392322511441"/>
    <n v="0"/>
    <n v="0"/>
    <n v="0"/>
    <n v="0"/>
    <n v="0"/>
    <n v="0"/>
    <n v="0"/>
    <n v="-27.211227440641835"/>
    <n v="0"/>
    <n v="0"/>
    <n v="0"/>
    <n v="0"/>
    <n v="0"/>
    <n v="0"/>
    <n v="0"/>
    <n v="0"/>
    <n v="-8.7453321314759194"/>
    <m/>
    <n v="0"/>
    <n v="0"/>
    <n v="0"/>
    <n v="0"/>
    <n v="-1.1715713243377905"/>
    <n v="-0.27926142605613258"/>
    <n v="0"/>
    <n v="0"/>
    <m/>
    <m/>
    <m/>
    <n v="1331.9278669911616"/>
    <n v="0"/>
    <n v="0"/>
    <n v="-867.82751999999994"/>
    <n v="0"/>
    <n v="0"/>
    <n v="0"/>
    <n v="-830.4262798115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5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.4890000000000001"/>
    <n v="1.4890000000000001"/>
    <n v="1.4890000000000001"/>
    <n v="1.4890000000000001"/>
    <m/>
    <n v="825.6"/>
    <n v="185.74"/>
    <m/>
    <n v="1505.88526"/>
    <n v="1505.88526"/>
    <n v="936.13430000000005"/>
    <n v="0"/>
    <n v="92.831952305196083"/>
    <n v="0"/>
    <n v="0"/>
    <n v="0"/>
    <n v="194.06391060798322"/>
    <n v="874.44470632708999"/>
    <n v="276.57324474037739"/>
    <n v="0"/>
    <n v="0"/>
    <n v="0"/>
    <n v="0"/>
    <n v="0"/>
    <n v="14.346804188311681"/>
    <m/>
    <n v="3.5302214815698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105593094000731"/>
    <n v="0"/>
    <n v="0.46"/>
    <n v="2.37"/>
    <n v="1532.88"/>
    <n v="9"/>
    <m/>
    <m/>
    <m/>
    <m/>
    <m/>
    <m/>
    <m/>
    <m/>
    <m/>
    <n v="326.6788378343781"/>
    <m/>
    <m/>
    <m/>
    <m/>
    <m/>
    <m/>
    <m/>
    <m/>
    <m/>
    <m/>
    <m/>
    <m/>
    <n v="936.76300000000003"/>
    <n v="-569.15225999999996"/>
    <m/>
    <m/>
    <m/>
    <m/>
    <n v="-569.75096000000008"/>
    <n v="0"/>
    <n v="31"/>
    <n v="-24.558909686163929"/>
    <n v="0"/>
    <n v="0"/>
    <n v="0"/>
    <n v="0"/>
    <n v="0"/>
    <n v="0"/>
    <n v="0"/>
    <n v="-17.864866692731766"/>
    <n v="0"/>
    <n v="0"/>
    <n v="0"/>
    <n v="0"/>
    <n v="0"/>
    <n v="0"/>
    <n v="0"/>
    <n v="0"/>
    <n v="-5.7415341903737271"/>
    <m/>
    <n v="0"/>
    <n v="0"/>
    <n v="0"/>
    <n v="0"/>
    <n v="-0.76916653524645895"/>
    <n v="-0.1833422678119847"/>
    <n v="0"/>
    <n v="0"/>
    <m/>
    <m/>
    <m/>
    <n v="874.44470632708999"/>
    <n v="0"/>
    <n v="0"/>
    <n v="-569.75096000000008"/>
    <n v="0"/>
    <n v="0"/>
    <n v="0"/>
    <n v="-545.19608934719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6"/>
    <s v="Regular"/>
    <s v="Azul"/>
    <s v="A4"/>
    <s v="Comercial"/>
    <s v="Não se aplica"/>
    <s v="Não se aplica"/>
    <s v="Não se aplica"/>
    <s v="Ponta"/>
    <s v="CATIVO"/>
    <x v="4"/>
    <n v="581"/>
    <n v="581"/>
    <n v="33.347000000000001"/>
    <n v="33.347000000000001"/>
    <n v="33.347000000000001"/>
    <n v="33.347000000000001"/>
    <n v="181.08"/>
    <n v="77.900000000000006"/>
    <n v="185.74"/>
    <n v="105207.48000000001"/>
    <n v="8791.6030800000008"/>
    <n v="113999.08308000001"/>
    <n v="60613.902840000002"/>
    <n v="0"/>
    <n v="1808.7511005799811"/>
    <n v="0"/>
    <n v="0"/>
    <n v="0"/>
    <n v="23221.650823770968"/>
    <n v="81984.561307553609"/>
    <n v="6194.0147698840592"/>
    <n v="0"/>
    <n v="0"/>
    <n v="0"/>
    <n v="0"/>
    <n v="0"/>
    <n v="321.30482153635302"/>
    <m/>
    <n v="34.543537831614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.25001962423545"/>
    <n v="0"/>
    <n v="0"/>
    <n v="0"/>
    <n v="0"/>
    <n v="0"/>
    <m/>
    <m/>
    <m/>
    <m/>
    <m/>
    <m/>
    <m/>
    <m/>
    <m/>
    <n v="6627.2647895082946"/>
    <m/>
    <m/>
    <m/>
    <m/>
    <m/>
    <m/>
    <m/>
    <m/>
    <m/>
    <m/>
    <m/>
    <m/>
    <n v="60614.682000000008"/>
    <n v="-53384.431079999988"/>
    <m/>
    <m/>
    <m/>
    <m/>
    <n v="-53385.180240000009"/>
    <n v="0"/>
    <n v="31"/>
    <n v="-2268.5953873118451"/>
    <n v="0"/>
    <n v="0"/>
    <n v="0"/>
    <n v="0"/>
    <n v="0"/>
    <n v="0"/>
    <n v="0"/>
    <n v="-2137.7065681720742"/>
    <n v="0"/>
    <n v="0"/>
    <n v="0"/>
    <n v="0"/>
    <n v="0"/>
    <n v="0"/>
    <n v="0"/>
    <n v="0"/>
    <n v="-111.86887734208221"/>
    <m/>
    <n v="0"/>
    <n v="0"/>
    <n v="0"/>
    <n v="0"/>
    <n v="-17.225921054978926"/>
    <n v="-1.7940207427100887"/>
    <n v="0"/>
    <n v="0"/>
    <m/>
    <m/>
    <n v="81984.561307553609"/>
    <n v="0"/>
    <n v="0"/>
    <n v="0"/>
    <n v="-53385.180240000009"/>
    <n v="0"/>
    <n v="0"/>
    <n v="0"/>
    <n v="-51115.481503074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7"/>
    <s v="Regular"/>
    <s v="Azul"/>
    <s v="A4"/>
    <s v="Comercial"/>
    <s v="Não se aplica"/>
    <s v="Não se aplica"/>
    <s v="Não se aplica"/>
    <s v="Fora ponta"/>
    <s v="CATIVO"/>
    <x v="4"/>
    <n v="579"/>
    <n v="579"/>
    <n v="338.29199999999997"/>
    <n v="338.29199999999997"/>
    <n v="338.29199999999997"/>
    <n v="338.29199999999997"/>
    <n v="55.59"/>
    <n v="77.900000000000006"/>
    <n v="185.74"/>
    <n v="32186.61"/>
    <n v="89187.302880000003"/>
    <n v="121373.91288"/>
    <n v="104947.48824000001"/>
    <n v="0"/>
    <n v="18349.057705862684"/>
    <n v="0"/>
    <n v="0"/>
    <n v="0"/>
    <n v="9353.5544092821874"/>
    <n v="22830.388696070382"/>
    <n v="62835.806655279877"/>
    <n v="0"/>
    <n v="0"/>
    <n v="0"/>
    <n v="0"/>
    <n v="0"/>
    <n v="3259.5091218753087"/>
    <m/>
    <n v="350.430398540569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95.1484582937546"/>
    <n v="0"/>
    <n v="0"/>
    <n v="0"/>
    <n v="0"/>
    <n v="0"/>
    <m/>
    <m/>
    <m/>
    <m/>
    <m/>
    <m/>
    <m/>
    <m/>
    <m/>
    <n v="67230.955113573626"/>
    <m/>
    <m/>
    <m/>
    <m/>
    <m/>
    <m/>
    <m/>
    <m/>
    <m/>
    <m/>
    <m/>
    <m/>
    <n v="104946.9688"/>
    <n v="-16426.97408"/>
    <m/>
    <m/>
    <m/>
    <m/>
    <n v="-16426.424640000001"/>
    <n v="0"/>
    <n v="31"/>
    <n v="-2188.8713646441611"/>
    <n v="0"/>
    <n v="0"/>
    <n v="0"/>
    <n v="0"/>
    <n v="0"/>
    <n v="0"/>
    <n v="0"/>
    <n v="-861.05655658251453"/>
    <n v="0"/>
    <n v="0"/>
    <n v="0"/>
    <n v="0"/>
    <n v="0"/>
    <n v="0"/>
    <n v="0"/>
    <n v="0"/>
    <n v="-1134.8650929261312"/>
    <m/>
    <n v="0"/>
    <n v="0"/>
    <n v="0"/>
    <n v="0"/>
    <n v="-174.75009102860622"/>
    <n v="-18.199624106902547"/>
    <n v="0"/>
    <n v="0"/>
    <m/>
    <m/>
    <n v="22830.388696070382"/>
    <n v="0"/>
    <n v="0"/>
    <n v="0"/>
    <n v="-16426.424640000005"/>
    <n v="0"/>
    <n v="0"/>
    <n v="0"/>
    <n v="-14234.220351856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88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5.85"/>
    <n v="532.92999999999995"/>
    <n v="77236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89"/>
    <s v="Regular"/>
    <s v="Verde"/>
    <s v="A4"/>
    <s v="Comercial"/>
    <s v="Não se aplica"/>
    <s v="Não se aplica"/>
    <s v="Não se aplica"/>
    <s v="Ponta"/>
    <s v="CATIVO"/>
    <x v="4"/>
    <n v="0"/>
    <n v="0"/>
    <n v="6.8529999999999998"/>
    <n v="6.8529999999999998"/>
    <n v="6.8529999999999998"/>
    <n v="6.8529999999999998"/>
    <m/>
    <n v="4433.21"/>
    <n v="185.74"/>
    <m/>
    <n v="31653.664349999999"/>
    <n v="31653.664349999999"/>
    <n v="16519.978860000003"/>
    <n v="0"/>
    <n v="371.70873818558221"/>
    <n v="0"/>
    <n v="0"/>
    <n v="0"/>
    <n v="6590.0022471806724"/>
    <n v="23256.913412267353"/>
    <n v="1272.9056052423143"/>
    <n v="0"/>
    <n v="0"/>
    <n v="0"/>
    <n v="0"/>
    <n v="0"/>
    <n v="66.02998596541299"/>
    <m/>
    <n v="7.0988953956892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035367034062588"/>
    <n v="0"/>
    <n v="0"/>
    <n v="0"/>
    <n v="0"/>
    <n v="0"/>
    <m/>
    <m/>
    <m/>
    <m/>
    <m/>
    <m/>
    <m/>
    <m/>
    <m/>
    <n v="1361.9409722763769"/>
    <m/>
    <m/>
    <m/>
    <m/>
    <m/>
    <m/>
    <m/>
    <m/>
    <m/>
    <m/>
    <m/>
    <m/>
    <n v="16512.746999999999"/>
    <n v="-15140.947349999995"/>
    <m/>
    <m/>
    <m/>
    <m/>
    <n v="-15133.68549"/>
    <n v="0"/>
    <n v="31"/>
    <n v="-633.55170330859164"/>
    <n v="0"/>
    <n v="0"/>
    <n v="0"/>
    <n v="0"/>
    <n v="0"/>
    <n v="0"/>
    <n v="0"/>
    <n v="-606.65329932727764"/>
    <n v="0"/>
    <n v="0"/>
    <n v="0"/>
    <n v="0"/>
    <n v="0"/>
    <n v="0"/>
    <n v="0"/>
    <n v="0"/>
    <n v="-22.989696717104664"/>
    <m/>
    <n v="0"/>
    <n v="0"/>
    <n v="0"/>
    <n v="0"/>
    <n v="-3.540025699156466"/>
    <n v="-0.36868156505209537"/>
    <n v="0"/>
    <n v="0"/>
    <m/>
    <m/>
    <m/>
    <n v="23256.913412267353"/>
    <n v="0"/>
    <n v="0"/>
    <n v="-15133.68549"/>
    <n v="0"/>
    <n v="0"/>
    <n v="0"/>
    <n v="-14500.148666817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0"/>
    <s v="Regular"/>
    <s v="Verde"/>
    <s v="A4"/>
    <s v="Comercial"/>
    <s v="Não se aplica"/>
    <s v="Não se aplica"/>
    <s v="Não se aplica"/>
    <s v="Fora ponta"/>
    <s v="CATIVO"/>
    <x v="4"/>
    <n v="0"/>
    <n v="0"/>
    <n v="300.54700000000003"/>
    <n v="300.54700000000003"/>
    <n v="300.54700000000003"/>
    <n v="300.54700000000003"/>
    <m/>
    <n v="77.900000000000006"/>
    <n v="185.74"/>
    <m/>
    <n v="79236.211080000008"/>
    <n v="79236.211080000008"/>
    <n v="78058.066840000014"/>
    <n v="0"/>
    <n v="16301.757790086413"/>
    <n v="0"/>
    <n v="0"/>
    <n v="0"/>
    <n v="0"/>
    <n v="0"/>
    <n v="55824.888507042451"/>
    <n v="0"/>
    <n v="0"/>
    <n v="0"/>
    <n v="0"/>
    <n v="0"/>
    <n v="2895.8287161749572"/>
    <m/>
    <n v="311.33105420811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4.7588583082465"/>
    <n v="0"/>
    <n v="0"/>
    <n v="0"/>
    <n v="0"/>
    <n v="0"/>
    <m/>
    <m/>
    <m/>
    <m/>
    <m/>
    <m/>
    <m/>
    <m/>
    <m/>
    <n v="59729.647365350698"/>
    <m/>
    <m/>
    <m/>
    <m/>
    <m/>
    <m/>
    <m/>
    <m/>
    <m/>
    <m/>
    <m/>
    <m/>
    <n v="78058.846000000005"/>
    <n v="-1177.3950799999875"/>
    <m/>
    <m/>
    <m/>
    <m/>
    <n v="-1178.1442400000005"/>
    <n v="0"/>
    <n v="31"/>
    <n v="-1179.6635957058024"/>
    <n v="0"/>
    <n v="0"/>
    <n v="0"/>
    <n v="0"/>
    <n v="0"/>
    <n v="0"/>
    <n v="0"/>
    <n v="0"/>
    <n v="0"/>
    <n v="0"/>
    <n v="0"/>
    <n v="0"/>
    <n v="0"/>
    <n v="0"/>
    <n v="0"/>
    <n v="0"/>
    <n v="-1008.2422850190651"/>
    <m/>
    <n v="0"/>
    <n v="0"/>
    <n v="0"/>
    <n v="0"/>
    <n v="-155.25231341082463"/>
    <n v="-16.168997275895549"/>
    <n v="0"/>
    <n v="0"/>
    <m/>
    <m/>
    <m/>
    <n v="0"/>
    <n v="0"/>
    <n v="0"/>
    <n v="-1178.14424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1"/>
    <s v="Regular"/>
    <s v="Verde"/>
    <s v="A4"/>
    <s v="Comercial"/>
    <s v="Não se aplica"/>
    <s v="Não se aplica"/>
    <s v="Não se aplica"/>
    <s v="Não se aplica"/>
    <s v="CATIVO"/>
    <x v="4"/>
    <n v="1123"/>
    <n v="1123"/>
    <n v="0"/>
    <n v="0"/>
    <n v="0"/>
    <n v="0"/>
    <n v="55.59"/>
    <m/>
    <m/>
    <n v="62427.570000000007"/>
    <m/>
    <n v="62427.570000000007"/>
    <n v="33139.730000000003"/>
    <n v="0"/>
    <n v="0"/>
    <n v="0"/>
    <n v="0"/>
    <n v="0"/>
    <n v="18141.695339592221"/>
    <n v="44280.702082361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6.2"/>
    <n v="396.61"/>
    <n v="55537.19"/>
    <n v="5"/>
    <m/>
    <m/>
    <m/>
    <m/>
    <m/>
    <m/>
    <m/>
    <m/>
    <m/>
    <n v="0"/>
    <m/>
    <m/>
    <m/>
    <m/>
    <m/>
    <m/>
    <m/>
    <m/>
    <m/>
    <m/>
    <m/>
    <m/>
    <n v="33139.730000000003"/>
    <n v="-29287.87000000001"/>
    <m/>
    <m/>
    <m/>
    <m/>
    <n v="-29287.840000000004"/>
    <n v="0"/>
    <n v="31"/>
    <n v="-1670.0630622489844"/>
    <n v="0"/>
    <n v="0"/>
    <n v="0"/>
    <n v="0"/>
    <m/>
    <m/>
    <m/>
    <n v="-1670.06306224898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280.702082361036"/>
    <m/>
    <n v="0"/>
    <n v="0"/>
    <n v="-29287.840000000004"/>
    <m/>
    <n v="0"/>
    <m/>
    <n v="-27607.995604722732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192"/>
    <s v="Regular"/>
    <s v="Branca"/>
    <s v="B3"/>
    <s v="Comercial"/>
    <s v="Não se aplica"/>
    <s v="Não se aplica"/>
    <s v="Não se aplica"/>
    <s v="Ponta"/>
    <s v="CATIVO"/>
    <x v="4"/>
    <n v="0"/>
    <n v="0"/>
    <n v="0.156"/>
    <n v="0.156"/>
    <n v="0.156"/>
    <n v="0.156"/>
    <m/>
    <n v="2583.84"/>
    <n v="185.74"/>
    <m/>
    <n v="432.05448000000001"/>
    <n v="432.05448000000001"/>
    <n v="227.83331999999999"/>
    <n v="0"/>
    <n v="9.7258459097451908"/>
    <n v="0"/>
    <n v="0"/>
    <n v="0"/>
    <n v="70.162103438286138"/>
    <n v="316.06846722216011"/>
    <n v="28.976108918400854"/>
    <n v="0"/>
    <n v="0"/>
    <n v="0"/>
    <n v="0"/>
    <n v="0"/>
    <n v="1.5030902977680471"/>
    <m/>
    <n v="0.3698553063296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494778526958452"/>
    <n v="0"/>
    <n v="0"/>
    <n v="0"/>
    <n v="0"/>
    <n v="0"/>
    <m/>
    <m/>
    <m/>
    <m/>
    <m/>
    <m/>
    <m/>
    <m/>
    <m/>
    <n v="34.225586771096701"/>
    <m/>
    <m/>
    <m/>
    <m/>
    <m/>
    <m/>
    <m/>
    <m/>
    <m/>
    <m/>
    <m/>
    <m/>
    <n v="233.67520000000002"/>
    <n v="-198.40927999999997"/>
    <m/>
    <m/>
    <m/>
    <m/>
    <n v="-204.22116000000003"/>
    <n v="0"/>
    <n v="31"/>
    <n v="-7.160209250043323"/>
    <n v="0"/>
    <n v="0"/>
    <n v="0"/>
    <n v="0"/>
    <n v="0"/>
    <n v="0"/>
    <n v="0"/>
    <n v="-6.4588857396501425"/>
    <n v="0"/>
    <n v="0"/>
    <n v="0"/>
    <n v="0"/>
    <n v="0"/>
    <n v="0"/>
    <n v="0"/>
    <n v="0"/>
    <n v="-0.60153078153008899"/>
    <m/>
    <n v="0"/>
    <n v="0"/>
    <n v="0"/>
    <n v="0"/>
    <n v="-8.0584270986197026E-2"/>
    <n v="-1.9208457876876861E-2"/>
    <n v="0"/>
    <n v="0"/>
    <m/>
    <m/>
    <m/>
    <n v="316.06846722216011"/>
    <n v="0"/>
    <n v="0"/>
    <n v="-204.22116000000003"/>
    <n v="0"/>
    <n v="0"/>
    <n v="0"/>
    <n v="-197.0613934176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3"/>
    <s v="Regular"/>
    <s v="Branca"/>
    <s v="B3"/>
    <s v="Comercial"/>
    <s v="Não se aplica"/>
    <s v="Não se aplica"/>
    <s v="Não se aplica"/>
    <s v="Fora ponta"/>
    <s v="CATIVO"/>
    <x v="4"/>
    <n v="0"/>
    <n v="0"/>
    <n v="1.236"/>
    <n v="1.236"/>
    <n v="1.236"/>
    <n v="1.236"/>
    <m/>
    <n v="603.13"/>
    <n v="185.74"/>
    <m/>
    <n v="975.04331999999999"/>
    <n v="975.04331999999999"/>
    <n v="646.99656000000004"/>
    <n v="0"/>
    <n v="77.05862528490421"/>
    <n v="0"/>
    <n v="0"/>
    <n v="0"/>
    <n v="111.13222266659929"/>
    <n v="500.84745600849556"/>
    <n v="229.57993989194523"/>
    <n v="0"/>
    <n v="0"/>
    <n v="0"/>
    <n v="0"/>
    <n v="0"/>
    <n v="11.909100051546835"/>
    <m/>
    <n v="2.9303920424582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592016832897855"/>
    <n v="0"/>
    <n v="0"/>
    <n v="0"/>
    <n v="0"/>
    <n v="0"/>
    <m/>
    <m/>
    <m/>
    <m/>
    <m/>
    <m/>
    <m/>
    <m/>
    <m/>
    <n v="271.17195672484308"/>
    <m/>
    <m/>
    <m/>
    <m/>
    <m/>
    <m/>
    <m/>
    <m/>
    <m/>
    <m/>
    <m/>
    <m/>
    <n v="649.09040000000005"/>
    <n v="-325.98291999999992"/>
    <m/>
    <m/>
    <m/>
    <m/>
    <n v="-328.04675999999995"/>
    <n v="0"/>
    <n v="31"/>
    <n v="-15.787096350334423"/>
    <n v="0"/>
    <n v="0"/>
    <n v="0"/>
    <n v="0"/>
    <n v="0"/>
    <n v="0"/>
    <n v="0"/>
    <n v="-10.230456229526993"/>
    <n v="0"/>
    <n v="0"/>
    <n v="0"/>
    <n v="0"/>
    <n v="0"/>
    <n v="0"/>
    <n v="0"/>
    <n v="0"/>
    <n v="-4.7659746536614733"/>
    <m/>
    <n v="0"/>
    <n v="0"/>
    <n v="0"/>
    <n v="0"/>
    <n v="-0.63847537781371599"/>
    <n v="-0.1521900893321777"/>
    <n v="0"/>
    <n v="0"/>
    <m/>
    <m/>
    <m/>
    <n v="500.84745600849556"/>
    <n v="0"/>
    <n v="0"/>
    <n v="-328.04675999999989"/>
    <n v="0"/>
    <n v="0"/>
    <n v="0"/>
    <n v="-312.26682762166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4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7999999999999996"/>
    <n v="2.71"/>
    <n v="392.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195"/>
    <s v="Regular"/>
    <s v="Branca"/>
    <s v="B3"/>
    <s v="Comercial"/>
    <s v="Não se aplica"/>
    <s v="Não se aplica"/>
    <s v="Não se aplica"/>
    <s v="Intermediário"/>
    <s v="CATIVO"/>
    <x v="4"/>
    <n v="0"/>
    <n v="0"/>
    <n v="0.09"/>
    <n v="0.09"/>
    <n v="0.09"/>
    <n v="0.09"/>
    <m/>
    <n v="1593.45"/>
    <n v="185.74"/>
    <m/>
    <n v="160.12709999999998"/>
    <n v="160.12709999999998"/>
    <n v="89.273700000000005"/>
    <n v="0"/>
    <n v="5.6110649479299175"/>
    <n v="0"/>
    <n v="0"/>
    <n v="0"/>
    <n v="24.282248380893627"/>
    <n v="109.40830343475389"/>
    <n v="16.716985914462029"/>
    <n v="0"/>
    <n v="0"/>
    <n v="0"/>
    <n v="0"/>
    <n v="0"/>
    <n v="0.86716747948156558"/>
    <m/>
    <n v="0.21337806134404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28544915016834"/>
    <n v="0"/>
    <n v="0"/>
    <n v="0"/>
    <n v="0"/>
    <n v="0"/>
    <m/>
    <m/>
    <m/>
    <m/>
    <m/>
    <m/>
    <m/>
    <m/>
    <m/>
    <n v="19.745530829478863"/>
    <m/>
    <m/>
    <m/>
    <m/>
    <m/>
    <m/>
    <m/>
    <m/>
    <m/>
    <m/>
    <m/>
    <m/>
    <n v="89.273700000000005"/>
    <n v="-70.883399999999952"/>
    <m/>
    <m/>
    <m/>
    <m/>
    <n v="-70.853399999999993"/>
    <n v="0"/>
    <n v="31"/>
    <n v="-2.6399513066296691"/>
    <n v="0"/>
    <n v="0"/>
    <n v="0"/>
    <n v="0"/>
    <n v="0"/>
    <n v="0"/>
    <n v="0"/>
    <n v="-2.2353415890951567"/>
    <n v="0"/>
    <n v="0"/>
    <n v="0"/>
    <n v="0"/>
    <n v="0"/>
    <n v="0"/>
    <n v="0"/>
    <n v="0"/>
    <n v="-0.34703698934428218"/>
    <m/>
    <n v="0"/>
    <n v="0"/>
    <n v="0"/>
    <n v="0"/>
    <n v="-4.649092556895984E-2"/>
    <n v="-1.1081802621275089E-2"/>
    <n v="0"/>
    <n v="0"/>
    <m/>
    <m/>
    <m/>
    <n v="109.40830343475389"/>
    <n v="0"/>
    <n v="0"/>
    <n v="-70.853399999999979"/>
    <n v="0"/>
    <n v="0"/>
    <n v="0"/>
    <n v="-68.213551689598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6"/>
    <s v="Regular"/>
    <s v="Convencional"/>
    <s v="B2"/>
    <s v="Rural"/>
    <s v="Não se aplica"/>
    <s v="Não se aplica"/>
    <s v="Não se aplica"/>
    <s v="Não se aplica"/>
    <s v="CATIVO"/>
    <x v="4"/>
    <n v="0"/>
    <n v="0"/>
    <n v="2243.922"/>
    <n v="2243.922"/>
    <n v="2243.922"/>
    <n v="2243.922"/>
    <m/>
    <n v="825.6"/>
    <n v="185.74"/>
    <m/>
    <n v="2269368.0754800001"/>
    <n v="2269368.0754800001"/>
    <n v="1410753.7614"/>
    <n v="0"/>
    <n v="139897.68977876441"/>
    <n v="0"/>
    <n v="0"/>
    <n v="0"/>
    <n v="292454.18295452447"/>
    <n v="1317787.5851651418"/>
    <n v="416795.69407946075"/>
    <n v="0"/>
    <n v="0"/>
    <n v="0"/>
    <n v="0"/>
    <n v="0"/>
    <n v="21620.624276591487"/>
    <m/>
    <n v="5320.0414018583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509.095142160048"/>
    <n v="0"/>
    <n v="845.17"/>
    <n v="4131.41"/>
    <n v="360472.99"/>
    <n v="5706"/>
    <m/>
    <m/>
    <m/>
    <m/>
    <m/>
    <n v="169281.47568"/>
    <m/>
    <m/>
    <m/>
    <n v="492304.78922162077"/>
    <m/>
    <m/>
    <m/>
    <m/>
    <m/>
    <m/>
    <m/>
    <m/>
    <m/>
    <m/>
    <m/>
    <m/>
    <n v="1241471.1792000001"/>
    <n v="-755574.55235999986"/>
    <m/>
    <m/>
    <m/>
    <m/>
    <n v="-858614.31408000016"/>
    <n v="0"/>
    <n v="31"/>
    <n v="-37010.260403489694"/>
    <n v="0"/>
    <n v="0"/>
    <n v="0"/>
    <n v="0"/>
    <n v="0"/>
    <n v="0"/>
    <n v="0"/>
    <n v="-26922.34210805106"/>
    <n v="0"/>
    <n v="0"/>
    <n v="0"/>
    <n v="0"/>
    <n v="0"/>
    <n v="0"/>
    <n v="0"/>
    <n v="0"/>
    <n v="-8652.4881689266767"/>
    <m/>
    <n v="0"/>
    <n v="0"/>
    <n v="0"/>
    <n v="0"/>
    <n v="-1159.1334520505734"/>
    <n v="-276.29667446152052"/>
    <n v="0"/>
    <n v="0"/>
    <m/>
    <m/>
    <m/>
    <n v="1317787.5851651418"/>
    <n v="0"/>
    <n v="0"/>
    <n v="-858614.31408000016"/>
    <n v="0"/>
    <n v="0"/>
    <n v="0"/>
    <n v="-821610.14049706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7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2.4689999999999999"/>
    <n v="-2.4689999999999999"/>
    <n v="-2.4689999999999999"/>
    <n v="-2.4689999999999999"/>
    <m/>
    <n v="825.6"/>
    <n v="185.74"/>
    <m/>
    <n v="-2496.9984599999998"/>
    <n v="-2496.9984599999998"/>
    <n v="-1552.2602999999999"/>
    <n v="0"/>
    <n v="-153.93021507154407"/>
    <n v="0"/>
    <n v="0"/>
    <n v="0"/>
    <n v="-321.78898273412392"/>
    <n v="-1449.9690932985795"/>
    <n v="-458.60264692007502"/>
    <n v="0"/>
    <n v="0"/>
    <n v="0"/>
    <n v="0"/>
    <n v="0"/>
    <n v="-23.789294520444283"/>
    <m/>
    <n v="-5.8536714828716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3.083082168628479"/>
    <n v="0"/>
    <n v="-1.1299999999999999"/>
    <n v="-5.55"/>
    <n v="-574.15"/>
    <n v="0"/>
    <m/>
    <m/>
    <m/>
    <m/>
    <m/>
    <n v="-186.26136"/>
    <m/>
    <m/>
    <m/>
    <n v="-541.68572908870351"/>
    <m/>
    <m/>
    <m/>
    <m/>
    <m/>
    <m/>
    <m/>
    <m/>
    <m/>
    <m/>
    <m/>
    <m/>
    <n v="-1366.5522000000001"/>
    <n v="830.77841999999964"/>
    <m/>
    <m/>
    <m/>
    <m/>
    <n v="944.73816000000011"/>
    <n v="0"/>
    <n v="31"/>
    <n v="40.722597726755339"/>
    <n v="0"/>
    <n v="0"/>
    <n v="0"/>
    <n v="0"/>
    <n v="0"/>
    <n v="0"/>
    <n v="0"/>
    <n v="29.622804475725104"/>
    <n v="0"/>
    <n v="0"/>
    <n v="0"/>
    <n v="0"/>
    <n v="0"/>
    <n v="0"/>
    <n v="0"/>
    <n v="0"/>
    <n v="9.5203814076781441"/>
    <m/>
    <n v="0"/>
    <n v="0"/>
    <n v="0"/>
    <n v="0"/>
    <n v="1.2754010581084643"/>
    <n v="0.304010785243646"/>
    <n v="0"/>
    <n v="0"/>
    <m/>
    <m/>
    <m/>
    <n v="-1449.9690932985795"/>
    <n v="0"/>
    <n v="0"/>
    <n v="944.73815999999988"/>
    <n v="0"/>
    <n v="0"/>
    <n v="0"/>
    <n v="904.02225963614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8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28.690999999999999"/>
    <n v="28.690999999999999"/>
    <n v="28.690999999999999"/>
    <n v="28.690999999999999"/>
    <m/>
    <n v="825.6"/>
    <n v="185.74"/>
    <m/>
    <n v="29016.355940000001"/>
    <n v="29016.355940000001"/>
    <n v="18038.0317"/>
    <n v="0"/>
    <n v="1788.7451602339695"/>
    <n v="0"/>
    <n v="0"/>
    <n v="0"/>
    <n v="3739.3469840521466"/>
    <n v="16849.357333264295"/>
    <n v="5329.189365242557"/>
    <n v="0"/>
    <n v="0"/>
    <n v="0"/>
    <n v="0"/>
    <n v="0"/>
    <n v="276.44335726450669"/>
    <m/>
    <n v="68.0225550891333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5.4664684083109"/>
    <n v="0"/>
    <n v="8.99"/>
    <n v="45.36"/>
    <n v="15934.65"/>
    <n v="120"/>
    <m/>
    <m/>
    <m/>
    <m/>
    <m/>
    <n v="2164.4490399999995"/>
    <m/>
    <m/>
    <m/>
    <n v="6294.6558336508679"/>
    <m/>
    <m/>
    <m/>
    <m/>
    <m/>
    <m/>
    <m/>
    <m/>
    <m/>
    <m/>
    <m/>
    <m/>
    <n v="15873.029399999999"/>
    <n v="-9661.4167799999923"/>
    <m/>
    <m/>
    <m/>
    <m/>
    <n v="-10978.324240000002"/>
    <n v="0"/>
    <n v="31"/>
    <n v="-473.21670772715152"/>
    <n v="0"/>
    <n v="0"/>
    <n v="0"/>
    <n v="0"/>
    <n v="0"/>
    <n v="0"/>
    <n v="0"/>
    <n v="-344.23162544067645"/>
    <n v="0"/>
    <n v="0"/>
    <n v="0"/>
    <n v="0"/>
    <n v="0"/>
    <n v="0"/>
    <n v="0"/>
    <n v="0"/>
    <n v="-110.63153623640869"/>
    <m/>
    <n v="0"/>
    <n v="0"/>
    <n v="0"/>
    <n v="0"/>
    <n v="-14.820790505544778"/>
    <n v="-3.53275554452226"/>
    <n v="0"/>
    <n v="0"/>
    <m/>
    <m/>
    <m/>
    <n v="16849.357333264295"/>
    <n v="0"/>
    <n v="0"/>
    <n v="-10978.324240000002"/>
    <n v="0"/>
    <n v="0"/>
    <n v="0"/>
    <n v="-10505.18535893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199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8.238"/>
    <n v="18.238"/>
    <n v="18.238"/>
    <n v="18.238"/>
    <m/>
    <n v="825.6"/>
    <n v="185.74"/>
    <m/>
    <n v="18444.818919999998"/>
    <n v="18444.818919999998"/>
    <n v="11466.230599999999"/>
    <n v="0"/>
    <n v="1137.0511391149537"/>
    <n v="0"/>
    <n v="0"/>
    <n v="0"/>
    <n v="2376.9896586087293"/>
    <n v="10710.626295495947"/>
    <n v="3387.6043234217614"/>
    <n v="0"/>
    <n v="0"/>
    <n v="0"/>
    <n v="0"/>
    <n v="0"/>
    <n v="175.72667211983105"/>
    <m/>
    <n v="43.239878697696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3.71780177863354"/>
    <n v="0"/>
    <n v="7.1"/>
    <n v="35.18"/>
    <n v="3401.73"/>
    <n v="93"/>
    <m/>
    <m/>
    <m/>
    <m/>
    <m/>
    <m/>
    <m/>
    <m/>
    <m/>
    <n v="4001.322125200395"/>
    <m/>
    <m/>
    <m/>
    <m/>
    <m/>
    <m/>
    <m/>
    <m/>
    <m/>
    <m/>
    <m/>
    <m/>
    <n v="11467.487999999999"/>
    <n v="-6977.3609199999973"/>
    <m/>
    <m/>
    <m/>
    <m/>
    <n v="-6978.5883200000007"/>
    <n v="0"/>
    <n v="31"/>
    <n v="-300.8095331472523"/>
    <n v="0"/>
    <n v="0"/>
    <n v="0"/>
    <n v="0"/>
    <n v="0"/>
    <n v="0"/>
    <n v="0"/>
    <n v="-218.817621720646"/>
    <n v="0"/>
    <n v="0"/>
    <n v="0"/>
    <n v="0"/>
    <n v="0"/>
    <n v="0"/>
    <n v="0"/>
    <n v="0"/>
    <n v="-70.32511790734452"/>
    <m/>
    <n v="0"/>
    <n v="0"/>
    <n v="0"/>
    <n v="0"/>
    <n v="-9.4211277836298848"/>
    <n v="-2.2456657356312775"/>
    <n v="0"/>
    <n v="0"/>
    <m/>
    <m/>
    <m/>
    <n v="10710.626295495947"/>
    <n v="0"/>
    <n v="0"/>
    <n v="-6978.5883199999998"/>
    <n v="0"/>
    <n v="0"/>
    <n v="0"/>
    <n v="-6677.8282589080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0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46.73"/>
    <n v="215.2"/>
    <n v="31188.23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1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1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33.96"/>
    <n v="156.38"/>
    <n v="22662.55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n v="31"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2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6.3129999999999997"/>
    <n v="5.9342199999999998"/>
    <n v="6.3129999999999997"/>
    <n v="5.9342199999999998"/>
    <m/>
    <n v="825.6"/>
    <n v="185.74"/>
    <m/>
    <n v="6384.5894199999993"/>
    <n v="6384.5894199999993"/>
    <n v="3968.9830999999995"/>
    <n v="0"/>
    <n v="393.58503351423968"/>
    <n v="0"/>
    <n v="0"/>
    <n v="0"/>
    <n v="822.78406156359836"/>
    <n v="3707.4341377051164"/>
    <n v="1172.6036897555423"/>
    <n v="0"/>
    <n v="0"/>
    <n v="0"/>
    <n v="0"/>
    <n v="0"/>
    <n v="60.826981088523596"/>
    <m/>
    <n v="14.967285569610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43560053890303"/>
    <n v="0"/>
    <n v="2.2999999999999998"/>
    <n v="11.05"/>
    <n v="0"/>
    <n v="5"/>
    <m/>
    <m/>
    <m/>
    <m/>
    <n v="238.13898599999993"/>
    <m/>
    <m/>
    <m/>
    <m/>
    <n v="1385.0392902944454"/>
    <m/>
    <m/>
    <m/>
    <m/>
    <m/>
    <m/>
    <m/>
    <m/>
    <m/>
    <m/>
    <m/>
    <m/>
    <n v="3728.1909999999998"/>
    <n v="-2273.3530548000008"/>
    <m/>
    <m/>
    <m/>
    <m/>
    <n v="-2415.6063200000003"/>
    <n v="0"/>
    <n v="31"/>
    <n v="-104.12383938801395"/>
    <n v="0"/>
    <n v="0"/>
    <n v="0"/>
    <n v="0"/>
    <n v="0"/>
    <n v="0"/>
    <n v="0"/>
    <n v="-75.742715534731815"/>
    <n v="0"/>
    <n v="0"/>
    <n v="0"/>
    <n v="0"/>
    <n v="0"/>
    <n v="0"/>
    <n v="0"/>
    <n v="0"/>
    <n v="-24.342716819227235"/>
    <m/>
    <n v="0"/>
    <n v="0"/>
    <n v="0"/>
    <n v="0"/>
    <n v="-3.261080145742703"/>
    <n v="-0.77732688831232899"/>
    <n v="0"/>
    <n v="0"/>
    <m/>
    <m/>
    <m/>
    <n v="3707.4341377051164"/>
    <n v="0"/>
    <n v="0"/>
    <n v="-2415.6063199999999"/>
    <n v="0"/>
    <n v="0"/>
    <n v="0"/>
    <n v="-2311.4996051368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3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0.74099999999999999"/>
    <n v="0.74099999999999999"/>
    <n v="0.74099999999999999"/>
    <n v="0.74099999999999999"/>
    <m/>
    <n v="825.6"/>
    <n v="185.74"/>
    <m/>
    <n v="749.40293999999994"/>
    <n v="749.40293999999994"/>
    <n v="465.86670000000004"/>
    <n v="0"/>
    <n v="46.197768071289659"/>
    <n v="0"/>
    <n v="0"/>
    <n v="0"/>
    <n v="96.575794332112523"/>
    <n v="435.16690892436105"/>
    <n v="137.63651736240405"/>
    <n v="0"/>
    <n v="0"/>
    <n v="0"/>
    <n v="0"/>
    <n v="0"/>
    <n v="7.1396789143982238"/>
    <m/>
    <n v="1.7568127050659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935019800305266"/>
    <n v="0"/>
    <n v="0.28000000000000003"/>
    <n v="1.47"/>
    <n v="190.92"/>
    <n v="4"/>
    <m/>
    <m/>
    <m/>
    <m/>
    <m/>
    <m/>
    <m/>
    <m/>
    <m/>
    <n v="162.57153716270932"/>
    <m/>
    <m/>
    <m/>
    <m/>
    <m/>
    <m/>
    <m/>
    <m/>
    <m/>
    <m/>
    <m/>
    <m/>
    <n v="465.23799999999994"/>
    <n v="-284.19493999999997"/>
    <m/>
    <m/>
    <m/>
    <m/>
    <n v="-283.53624000000002"/>
    <n v="0"/>
    <n v="31"/>
    <n v="-12.221727385794168"/>
    <n v="0"/>
    <n v="0"/>
    <n v="0"/>
    <n v="0"/>
    <n v="0"/>
    <n v="0"/>
    <n v="0"/>
    <n v="-8.8904407114266064"/>
    <n v="0"/>
    <n v="0"/>
    <n v="0"/>
    <n v="0"/>
    <n v="0"/>
    <n v="0"/>
    <n v="0"/>
    <n v="0"/>
    <n v="-2.8572712122679249"/>
    <m/>
    <n v="0"/>
    <n v="0"/>
    <n v="0"/>
    <n v="0"/>
    <n v="-0.38277528718443588"/>
    <n v="-9.1240174915164785E-2"/>
    <n v="0"/>
    <n v="0"/>
    <m/>
    <m/>
    <m/>
    <n v="435.16690892436105"/>
    <n v="0"/>
    <n v="0"/>
    <n v="-283.53623999999996"/>
    <n v="0"/>
    <n v="0"/>
    <n v="0"/>
    <n v="-271.31652263685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4"/>
    <s v="Regular"/>
    <s v="Convencional"/>
    <s v="B3"/>
    <s v="Serviço público"/>
    <s v="Tração elétrica"/>
    <s v="Não se aplica"/>
    <s v="Não se aplica"/>
    <s v="Não se aplica"/>
    <s v="CATIVO"/>
    <x v="4"/>
    <n v="0"/>
    <n v="0"/>
    <n v="5.8999999999999997E-2"/>
    <n v="5.8999999999999997E-2"/>
    <n v="5.8999999999999997E-2"/>
    <n v="5.8999999999999997E-2"/>
    <m/>
    <n v="825.6"/>
    <n v="185.74"/>
    <m/>
    <n v="59.669060000000002"/>
    <n v="59.669060000000002"/>
    <n v="37.093299999999999"/>
    <n v="0"/>
    <n v="3.6783647991985013"/>
    <n v="0"/>
    <n v="0"/>
    <n v="0"/>
    <n v="7.6895706688186758"/>
    <n v="34.648917174814173"/>
    <n v="10.958912988369553"/>
    <n v="0"/>
    <n v="0"/>
    <n v="0"/>
    <n v="0"/>
    <n v="0"/>
    <n v="0.56847645877124853"/>
    <m/>
    <n v="0.139881173547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853794442888133"/>
    <n v="0"/>
    <n v="0.02"/>
    <n v="0.1"/>
    <n v="0"/>
    <n v="1"/>
    <m/>
    <m/>
    <m/>
    <m/>
    <m/>
    <m/>
    <m/>
    <m/>
    <m/>
    <n v="12.944292432658367"/>
    <m/>
    <m/>
    <m/>
    <m/>
    <m/>
    <m/>
    <m/>
    <m/>
    <m/>
    <m/>
    <m/>
    <m/>
    <n v="37.721999999999994"/>
    <n v="-21.977060000000002"/>
    <m/>
    <m/>
    <m/>
    <m/>
    <n v="-22.575760000000002"/>
    <n v="0"/>
    <n v="31"/>
    <n v="-0.973119994280502"/>
    <n v="0"/>
    <n v="0"/>
    <n v="0"/>
    <n v="0"/>
    <n v="0"/>
    <n v="0"/>
    <n v="0"/>
    <n v="-0.70787584611898779"/>
    <n v="0"/>
    <n v="0"/>
    <n v="0"/>
    <n v="0"/>
    <n v="0"/>
    <n v="0"/>
    <n v="0"/>
    <n v="0"/>
    <n v="-0.22750202634791794"/>
    <m/>
    <n v="0"/>
    <n v="0"/>
    <n v="0"/>
    <n v="0"/>
    <n v="-3.0477384539651431E-2"/>
    <n v="-7.2647372739469973E-3"/>
    <n v="0"/>
    <n v="0"/>
    <m/>
    <m/>
    <m/>
    <n v="34.648917174814173"/>
    <n v="0"/>
    <n v="0"/>
    <n v="-22.575760000000002"/>
    <n v="0"/>
    <n v="0"/>
    <n v="0"/>
    <n v="-21.602800048008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5"/>
    <s v="Regular"/>
    <s v="Convencional"/>
    <s v="B1"/>
    <s v="Residencial"/>
    <s v="Residencial"/>
    <s v="Não se aplica"/>
    <s v="Não se aplica"/>
    <s v="Não se aplica"/>
    <s v="CATIVO"/>
    <x v="5"/>
    <n v="0"/>
    <n v="0"/>
    <n v="1589.87"/>
    <n v="1589.87"/>
    <n v="1589.87"/>
    <n v="1589.87"/>
    <m/>
    <n v="825.6"/>
    <n v="185.74"/>
    <m/>
    <n v="1607899.1258"/>
    <n v="1607899.1258"/>
    <n v="999551.26899999997"/>
    <n v="0"/>
    <n v="99120.709208503758"/>
    <n v="0"/>
    <n v="0"/>
    <n v="0"/>
    <n v="207210.46981753811"/>
    <n v="933682.60930036963"/>
    <n v="295309.27106473054"/>
    <n v="0"/>
    <n v="0"/>
    <n v="0"/>
    <n v="0"/>
    <n v="0"/>
    <n v="15318.706228926185"/>
    <m/>
    <n v="3769.370870989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99.918933753484"/>
    <n v="0"/>
    <n v="577.1"/>
    <n v="2584.37"/>
    <n v="276952.49"/>
    <n v="8178"/>
    <m/>
    <m/>
    <m/>
    <m/>
    <m/>
    <m/>
    <m/>
    <m/>
    <m/>
    <n v="348809.18999848404"/>
    <m/>
    <m/>
    <m/>
    <m/>
    <m/>
    <m/>
    <m/>
    <m/>
    <m/>
    <m/>
    <m/>
    <m/>
    <n v="999551.26899999997"/>
    <n v="-608347.88680000009"/>
    <m/>
    <m/>
    <m/>
    <m/>
    <n v="-608347.85680000007"/>
    <n v="0"/>
    <n v="29"/>
    <n v="-26222.615005199099"/>
    <n v="0"/>
    <n v="0"/>
    <n v="0"/>
    <n v="0"/>
    <n v="0"/>
    <n v="0"/>
    <n v="0"/>
    <n v="-19075.094431681297"/>
    <n v="0"/>
    <n v="0"/>
    <n v="0"/>
    <n v="0"/>
    <n v="0"/>
    <n v="0"/>
    <n v="0"/>
    <n v="0"/>
    <n v="-6130.485536097709"/>
    <m/>
    <n v="0"/>
    <n v="0"/>
    <n v="0"/>
    <n v="0"/>
    <n v="-821.27253149246826"/>
    <n v="-195.76250592762926"/>
    <n v="0"/>
    <n v="0"/>
    <m/>
    <m/>
    <m/>
    <n v="933682.60930036963"/>
    <n v="0"/>
    <n v="0"/>
    <n v="-608347.85680000007"/>
    <n v="0"/>
    <n v="0"/>
    <n v="0"/>
    <n v="-582129.5544462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6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21.033999999999999"/>
    <n v="-21.033999999999999"/>
    <n v="-21.033999999999999"/>
    <n v="-21.033999999999999"/>
    <m/>
    <n v="825.6"/>
    <n v="185.74"/>
    <m/>
    <n v="-21272.525559999998"/>
    <n v="-21272.525559999998"/>
    <n v="-13224.075799999999"/>
    <n v="0"/>
    <n v="-1311.3682234973098"/>
    <n v="0"/>
    <n v="0"/>
    <n v="0"/>
    <n v="-2741.3971092869838"/>
    <n v="-12352.632607712563"/>
    <n v="-3906.9453524977148"/>
    <n v="0"/>
    <n v="0"/>
    <n v="0"/>
    <n v="0"/>
    <n v="0"/>
    <n v="-202.66667514905834"/>
    <m/>
    <n v="-49.868823803451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07.80459713848984"/>
    <n v="0"/>
    <n v="-8.9499999999999993"/>
    <n v="-40.74"/>
    <n v="-5412.12"/>
    <n v="0"/>
    <m/>
    <m/>
    <m/>
    <m/>
    <m/>
    <m/>
    <m/>
    <m/>
    <m/>
    <n v="-4614.7499496362043"/>
    <m/>
    <m/>
    <m/>
    <m/>
    <m/>
    <m/>
    <m/>
    <m/>
    <m/>
    <m/>
    <m/>
    <m/>
    <n v="-13221.561000000002"/>
    <n v="8050.9345600000015"/>
    <m/>
    <m/>
    <m/>
    <m/>
    <n v="8048.4497600000004"/>
    <n v="0"/>
    <n v="29"/>
    <n v="346.92552474061085"/>
    <n v="0"/>
    <n v="0"/>
    <n v="0"/>
    <n v="0"/>
    <n v="0"/>
    <n v="0"/>
    <n v="0"/>
    <n v="252.36373808926783"/>
    <n v="0"/>
    <n v="0"/>
    <n v="0"/>
    <n v="0"/>
    <n v="0"/>
    <n v="0"/>
    <n v="0"/>
    <n v="0"/>
    <n v="81.106400376306965"/>
    <m/>
    <n v="0"/>
    <n v="0"/>
    <n v="0"/>
    <n v="0"/>
    <n v="10.865445871305582"/>
    <n v="2.5899404037322284"/>
    <n v="0"/>
    <n v="0"/>
    <m/>
    <m/>
    <m/>
    <n v="-12352.632607712563"/>
    <n v="0"/>
    <n v="0"/>
    <n v="8048.4497599999995"/>
    <n v="0"/>
    <n v="0"/>
    <n v="0"/>
    <n v="7701.5812916916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7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9.125"/>
    <n v="9.125"/>
    <n v="9.125"/>
    <n v="9.125"/>
    <m/>
    <n v="825.6"/>
    <n v="185.74"/>
    <m/>
    <n v="9228.4775000000009"/>
    <n v="9228.4775000000009"/>
    <n v="5736.8874999999998"/>
    <n v="0"/>
    <n v="568.8996405540056"/>
    <n v="0"/>
    <n v="0"/>
    <n v="0"/>
    <n v="1189.2768195418716"/>
    <n v="5358.8367664437174"/>
    <n v="1694.9166274385116"/>
    <n v="0"/>
    <n v="0"/>
    <n v="0"/>
    <n v="0"/>
    <n v="0"/>
    <n v="87.921147225214298"/>
    <m/>
    <n v="21.634164552937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.0608038836512"/>
    <n v="0"/>
    <n v="2.57"/>
    <n v="12.1"/>
    <n v="6162.95"/>
    <n v="69"/>
    <m/>
    <m/>
    <m/>
    <m/>
    <m/>
    <m/>
    <m/>
    <m/>
    <m/>
    <n v="2001.9774313221628"/>
    <m/>
    <m/>
    <m/>
    <m/>
    <m/>
    <m/>
    <m/>
    <m/>
    <m/>
    <m/>
    <m/>
    <m/>
    <n v="5740.0309999999999"/>
    <n v="-3488.4765000000016"/>
    <m/>
    <m/>
    <m/>
    <m/>
    <n v="-3491.5900000000006"/>
    <n v="0"/>
    <n v="29"/>
    <n v="-150.50372792897633"/>
    <n v="0"/>
    <n v="0"/>
    <n v="0"/>
    <n v="0"/>
    <n v="0"/>
    <n v="0"/>
    <n v="0"/>
    <n v="-109.48079823450462"/>
    <n v="0"/>
    <n v="0"/>
    <n v="0"/>
    <n v="0"/>
    <n v="0"/>
    <n v="0"/>
    <n v="0"/>
    <n v="0"/>
    <n v="-35.185694752961922"/>
    <m/>
    <n v="0"/>
    <n v="0"/>
    <n v="0"/>
    <n v="0"/>
    <n v="-4.7136632868528778"/>
    <n v="-1.1235716546570593"/>
    <n v="0"/>
    <n v="0"/>
    <m/>
    <m/>
    <m/>
    <n v="5358.8367664437174"/>
    <n v="0"/>
    <n v="0"/>
    <n v="-3491.5900000000006"/>
    <n v="0"/>
    <n v="0"/>
    <n v="0"/>
    <n v="-3341.1110243741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8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5.984"/>
    <n v="15.984"/>
    <n v="15.984"/>
    <n v="15.984"/>
    <m/>
    <n v="825.6"/>
    <n v="185.74"/>
    <m/>
    <n v="16165.25856"/>
    <n v="16165.25856"/>
    <n v="10049.140799999999"/>
    <n v="0"/>
    <n v="996.52513475235344"/>
    <n v="0"/>
    <n v="0"/>
    <n v="0"/>
    <n v="2083.2219927186056"/>
    <n v="9386.9202054615216"/>
    <n v="2968.9366984084568"/>
    <n v="0"/>
    <n v="0"/>
    <n v="0"/>
    <n v="0"/>
    <n v="0"/>
    <n v="154.00894435592608"/>
    <m/>
    <n v="37.895943694702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7.86957690698966"/>
    <n v="0"/>
    <n v="6.17"/>
    <n v="25.94"/>
    <n v="4094.15"/>
    <n v="1"/>
    <m/>
    <m/>
    <m/>
    <m/>
    <m/>
    <m/>
    <m/>
    <m/>
    <m/>
    <n v="3506.8062753154463"/>
    <m/>
    <m/>
    <m/>
    <m/>
    <m/>
    <m/>
    <m/>
    <m/>
    <m/>
    <m/>
    <m/>
    <m/>
    <n v="10046.626"/>
    <n v="-6118.6625600000007"/>
    <m/>
    <m/>
    <m/>
    <m/>
    <n v="-6116.117760000001"/>
    <n v="0"/>
    <n v="29"/>
    <n v="-263.6330506538925"/>
    <n v="0"/>
    <n v="0"/>
    <n v="0"/>
    <n v="0"/>
    <n v="0"/>
    <n v="0"/>
    <n v="0"/>
    <n v="-191.77436481976133"/>
    <n v="0"/>
    <n v="0"/>
    <n v="0"/>
    <n v="0"/>
    <n v="0"/>
    <n v="0"/>
    <n v="0"/>
    <n v="0"/>
    <n v="-61.633769307544526"/>
    <m/>
    <n v="0"/>
    <n v="0"/>
    <n v="0"/>
    <n v="0"/>
    <n v="-8.2567883810473006"/>
    <n v="-1.9681281455384578"/>
    <n v="0"/>
    <n v="0"/>
    <m/>
    <m/>
    <m/>
    <n v="9386.9202054615216"/>
    <n v="0"/>
    <n v="0"/>
    <n v="-6116.117760000001"/>
    <n v="0"/>
    <n v="0"/>
    <n v="0"/>
    <n v="-5852.5280672434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09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5.7750000000000004"/>
    <n v="5.7750000000000004"/>
    <n v="5.7750000000000004"/>
    <n v="5.7750000000000004"/>
    <m/>
    <n v="753.62"/>
    <n v="185.74"/>
    <m/>
    <n v="5424.8040000000001"/>
    <n v="5424.8040000000001"/>
    <n v="3240.29475"/>
    <n v="0"/>
    <n v="0"/>
    <n v="0"/>
    <n v="0"/>
    <n v="0"/>
    <n v="752.6656036004722"/>
    <n v="3391.4829946534214"/>
    <n v="1072.6732628446471"/>
    <n v="0"/>
    <n v="0"/>
    <n v="0"/>
    <n v="0"/>
    <n v="0"/>
    <n v="0"/>
    <m/>
    <n v="13.691758936242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33163204691351"/>
    <n v="0"/>
    <n v="0"/>
    <n v="1.92"/>
    <n v="154"/>
    <n v="9"/>
    <m/>
    <m/>
    <m/>
    <m/>
    <m/>
    <m/>
    <m/>
    <n v="2106.2002500000003"/>
    <m/>
    <n v="1267.0048948915605"/>
    <m/>
    <m/>
    <m/>
    <m/>
    <m/>
    <m/>
    <m/>
    <m/>
    <m/>
    <m/>
    <m/>
    <m/>
    <n v="1135.0764000000001"/>
    <n v="-763.65809999999965"/>
    <m/>
    <m/>
    <m/>
    <m/>
    <n v="-2184.5092500000001"/>
    <n v="0"/>
    <n v="29"/>
    <n v="-69.998929984647475"/>
    <n v="0"/>
    <n v="0"/>
    <n v="0"/>
    <n v="0"/>
    <n v="0"/>
    <n v="0"/>
    <n v="0"/>
    <n v="-69.287847649782293"/>
    <n v="0"/>
    <n v="0"/>
    <n v="0"/>
    <n v="0"/>
    <n v="0"/>
    <n v="0"/>
    <n v="0"/>
    <n v="0"/>
    <n v="0"/>
    <m/>
    <n v="0"/>
    <n v="0"/>
    <n v="0"/>
    <n v="0"/>
    <n v="0"/>
    <n v="-0.71108233486515182"/>
    <n v="0"/>
    <n v="0"/>
    <m/>
    <m/>
    <m/>
    <n v="3391.4829946534214"/>
    <n v="0"/>
    <n v="0"/>
    <n v="-2184.5092499999996"/>
    <n v="0"/>
    <n v="0"/>
    <n v="0"/>
    <n v="-2114.511360631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0"/>
    <s v="Sistema de Compensação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03"/>
    <n v="1.0500000000000001E-2"/>
    <n v="0.03"/>
    <n v="1.0500000000000001E-2"/>
    <m/>
    <n v="753.62"/>
    <n v="185.74"/>
    <m/>
    <n v="28.180799999999998"/>
    <n v="28.180799999999998"/>
    <n v="16.832700000000003"/>
    <n v="0"/>
    <n v="0"/>
    <n v="0"/>
    <n v="0"/>
    <n v="0"/>
    <n v="3.90995118753492"/>
    <n v="17.618093478719071"/>
    <n v="5.5723286381540102"/>
    <n v="0"/>
    <n v="0"/>
    <n v="0"/>
    <n v="0"/>
    <n v="0"/>
    <n v="0"/>
    <m/>
    <n v="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9514971672278"/>
    <n v="0"/>
    <n v="0"/>
    <n v="0.01"/>
    <n v="0.8"/>
    <n v="0"/>
    <m/>
    <m/>
    <m/>
    <m/>
    <m/>
    <m/>
    <m/>
    <n v="14.770709999999999"/>
    <m/>
    <n v="6.5818436098262882"/>
    <m/>
    <m/>
    <m/>
    <m/>
    <m/>
    <m/>
    <m/>
    <m/>
    <m/>
    <m/>
    <m/>
    <m/>
    <n v="1.9638"/>
    <n v="-1.5183899999999997"/>
    <m/>
    <m/>
    <m/>
    <m/>
    <n v="-11.348099999999999"/>
    <n v="0"/>
    <n v="29"/>
    <n v="-0.36363080511505075"/>
    <n v="0"/>
    <n v="0"/>
    <n v="0"/>
    <n v="0"/>
    <n v="0"/>
    <n v="0"/>
    <n v="0"/>
    <n v="-0.35993687090796023"/>
    <n v="0"/>
    <n v="0"/>
    <n v="0"/>
    <n v="0"/>
    <n v="0"/>
    <n v="0"/>
    <n v="0"/>
    <n v="0"/>
    <n v="0"/>
    <m/>
    <n v="0"/>
    <n v="0"/>
    <n v="0"/>
    <n v="0"/>
    <n v="0"/>
    <n v="-3.6939342070917008E-3"/>
    <n v="0"/>
    <n v="0"/>
    <m/>
    <m/>
    <m/>
    <n v="17.618093478719071"/>
    <n v="0"/>
    <n v="0"/>
    <n v="-11.348099999999999"/>
    <n v="0"/>
    <n v="0"/>
    <n v="0"/>
    <n v="-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1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2.778"/>
    <n v="12.778"/>
    <n v="12.778"/>
    <n v="12.778"/>
    <m/>
    <n v="753.62"/>
    <n v="185.74"/>
    <m/>
    <n v="12003.142080000001"/>
    <n v="12003.142080000001"/>
    <n v="7169.6080200000006"/>
    <n v="0"/>
    <n v="0"/>
    <n v="0"/>
    <n v="0"/>
    <n v="0"/>
    <n v="1665.3785424773737"/>
    <n v="7504.1332823690764"/>
    <n v="2373.4405112777317"/>
    <n v="0"/>
    <n v="0"/>
    <n v="0"/>
    <n v="0"/>
    <n v="0"/>
    <n v="0"/>
    <m/>
    <n v="30.294942976157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9.98607693427897"/>
    <n v="0"/>
    <n v="1.81"/>
    <n v="9.17"/>
    <n v="587.75"/>
    <n v="23"/>
    <m/>
    <m/>
    <m/>
    <m/>
    <m/>
    <m/>
    <m/>
    <n v="2867.7665400000005"/>
    <m/>
    <n v="2803.4265882120108"/>
    <m/>
    <m/>
    <m/>
    <m/>
    <m/>
    <m/>
    <m/>
    <m/>
    <m/>
    <m/>
    <m/>
    <m/>
    <n v="4302.5147999999999"/>
    <n v="-2899.4515600000013"/>
    <m/>
    <m/>
    <m/>
    <m/>
    <n v="-4833.53406"/>
    <n v="0"/>
    <n v="29"/>
    <n v="-154.88248092533831"/>
    <n v="0"/>
    <n v="0"/>
    <n v="0"/>
    <n v="0"/>
    <n v="0"/>
    <n v="0"/>
    <n v="0"/>
    <n v="-153.30911121539702"/>
    <n v="0"/>
    <n v="0"/>
    <n v="0"/>
    <n v="0"/>
    <n v="0"/>
    <n v="0"/>
    <n v="0"/>
    <n v="0"/>
    <n v="0"/>
    <m/>
    <n v="0"/>
    <n v="0"/>
    <n v="0"/>
    <n v="0"/>
    <n v="0"/>
    <n v="-1.573369709940593"/>
    <n v="0"/>
    <n v="0"/>
    <m/>
    <m/>
    <m/>
    <n v="7504.1332823690764"/>
    <n v="0"/>
    <n v="0"/>
    <n v="-4833.5340600000009"/>
    <n v="0"/>
    <n v="0"/>
    <n v="0"/>
    <n v="-4678.653881583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2"/>
    <s v="Sistema de Compensação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6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1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4.574"/>
    <n v="14.574"/>
    <n v="14.574"/>
    <n v="14.574"/>
    <m/>
    <n v="753.62"/>
    <n v="185.74"/>
    <m/>
    <n v="13690.232639999998"/>
    <n v="13690.232639999998"/>
    <n v="8177.3256600000004"/>
    <n v="0"/>
    <n v="0"/>
    <n v="0"/>
    <n v="0"/>
    <n v="0"/>
    <n v="1899.4542869044642"/>
    <n v="8558.8698119617238"/>
    <n v="2707.0372524152181"/>
    <n v="0"/>
    <n v="0"/>
    <n v="0"/>
    <n v="0"/>
    <n v="0"/>
    <n v="0"/>
    <m/>
    <n v="34.553020733645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0.42237323839265"/>
    <n v="0"/>
    <n v="3.59"/>
    <n v="15.92"/>
    <n v="1720.13"/>
    <n v="84"/>
    <m/>
    <m/>
    <m/>
    <m/>
    <m/>
    <m/>
    <m/>
    <n v="817.60140000000069"/>
    <m/>
    <n v="3197.4596256536106"/>
    <m/>
    <m/>
    <m/>
    <m/>
    <m/>
    <m/>
    <m/>
    <m/>
    <m/>
    <m/>
    <m/>
    <m/>
    <n v="7357.7042999999994"/>
    <n v="-4963.6225200000008"/>
    <m/>
    <m/>
    <m/>
    <m/>
    <n v="-5512.9069799999997"/>
    <n v="0"/>
    <n v="29"/>
    <n v="-176.65184512489304"/>
    <n v="0"/>
    <n v="0"/>
    <n v="0"/>
    <n v="0"/>
    <n v="0"/>
    <n v="0"/>
    <n v="0"/>
    <n v="-174.85733188708696"/>
    <n v="0"/>
    <n v="0"/>
    <n v="0"/>
    <n v="0"/>
    <n v="0"/>
    <n v="0"/>
    <n v="0"/>
    <n v="0"/>
    <n v="0"/>
    <m/>
    <n v="0"/>
    <n v="0"/>
    <n v="0"/>
    <n v="0"/>
    <n v="0"/>
    <n v="-1.7945132378051483"/>
    <n v="0"/>
    <n v="0"/>
    <m/>
    <m/>
    <m/>
    <n v="8558.8698119617238"/>
    <n v="0"/>
    <n v="0"/>
    <n v="-5512.9069799999988"/>
    <n v="0"/>
    <n v="0"/>
    <n v="0"/>
    <n v="-5336.2577610114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4"/>
    <s v="Sistema de Compensação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2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15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7.7409999999999997"/>
    <n v="7.7409999999999997"/>
    <n v="7.7409999999999997"/>
    <n v="7.7409999999999997"/>
    <m/>
    <n v="753.62"/>
    <n v="185.74"/>
    <m/>
    <n v="7271.585759999999"/>
    <n v="7271.585759999999"/>
    <n v="4343.3976899999998"/>
    <n v="0"/>
    <n v="0"/>
    <n v="0"/>
    <n v="0"/>
    <n v="0"/>
    <n v="1008.8977380902605"/>
    <n v="4546.0553872921437"/>
    <n v="1437.846532931673"/>
    <n v="0"/>
    <n v="0"/>
    <n v="0"/>
    <n v="0"/>
    <n v="0"/>
    <n v="0"/>
    <m/>
    <n v="18.352884142936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48851319050345"/>
    <n v="0"/>
    <n v="2.2000000000000002"/>
    <n v="9.0299999999999994"/>
    <n v="1451.11"/>
    <n v="84"/>
    <m/>
    <m/>
    <m/>
    <m/>
    <m/>
    <m/>
    <m/>
    <m/>
    <m/>
    <n v="1698.3350461221764"/>
    <m/>
    <m/>
    <m/>
    <m/>
    <m/>
    <m/>
    <m/>
    <m/>
    <m/>
    <m/>
    <m/>
    <m/>
    <n v="4342.8366000000005"/>
    <n v="-2928.7791599999991"/>
    <m/>
    <m/>
    <m/>
    <m/>
    <n v="-2928.1880699999997"/>
    <n v="0"/>
    <n v="29"/>
    <n v="-93.828868746520129"/>
    <n v="0"/>
    <n v="0"/>
    <n v="0"/>
    <n v="0"/>
    <n v="0"/>
    <n v="0"/>
    <n v="0"/>
    <n v="-92.8757105899507"/>
    <n v="0"/>
    <n v="0"/>
    <n v="0"/>
    <n v="0"/>
    <n v="0"/>
    <n v="0"/>
    <n v="0"/>
    <n v="0"/>
    <n v="0"/>
    <m/>
    <n v="0"/>
    <n v="0"/>
    <n v="0"/>
    <n v="0"/>
    <n v="0"/>
    <n v="-0.953158156569895"/>
    <n v="0"/>
    <n v="0"/>
    <m/>
    <m/>
    <m/>
    <n v="4546.0553872921437"/>
    <n v="0"/>
    <n v="0"/>
    <n v="-2928.1880699999992"/>
    <n v="0"/>
    <n v="0"/>
    <n v="0"/>
    <n v="-2834.360596129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6"/>
    <s v="Sistema de Compensação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.26000000000000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17"/>
    <s v="Regular"/>
    <s v="Branca"/>
    <s v="B1"/>
    <s v="Residencial"/>
    <s v="Residencial"/>
    <s v="Não se aplica"/>
    <s v="Não se aplica"/>
    <s v="Ponta"/>
    <s v="CATIVO"/>
    <x v="5"/>
    <n v="0"/>
    <n v="0"/>
    <n v="3.4000000000000002E-2"/>
    <n v="3.4000000000000002E-2"/>
    <n v="3.4000000000000002E-2"/>
    <n v="3.4000000000000002E-2"/>
    <m/>
    <n v="2045.69"/>
    <n v="185.74"/>
    <m/>
    <n v="75.868620000000007"/>
    <n v="75.868620000000007"/>
    <n v="41.001280000000001"/>
    <n v="0"/>
    <n v="2.1197356469957467"/>
    <n v="0"/>
    <n v="0"/>
    <n v="0"/>
    <n v="11.969923893342303"/>
    <n v="53.911349225758102"/>
    <n v="6.3153057899078791"/>
    <n v="0"/>
    <n v="0"/>
    <n v="0"/>
    <n v="0"/>
    <n v="0"/>
    <n v="0.32759660335970259"/>
    <m/>
    <n v="8.06094898410837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441169678952485"/>
    <n v="0"/>
    <n v="0"/>
    <n v="0"/>
    <n v="0"/>
    <n v="0"/>
    <m/>
    <m/>
    <m/>
    <m/>
    <m/>
    <m/>
    <m/>
    <m/>
    <m/>
    <n v="7.4594227578031278"/>
    <m/>
    <m/>
    <m/>
    <m/>
    <m/>
    <m/>
    <m/>
    <m/>
    <m/>
    <m/>
    <m/>
    <m/>
    <n v="36.177599999999998"/>
    <n v="-39.721020000000024"/>
    <m/>
    <m/>
    <m/>
    <m/>
    <n v="-34.867340000000013"/>
    <n v="0"/>
    <n v="29"/>
    <n v="-1.2547632346767799"/>
    <n v="0"/>
    <n v="0"/>
    <n v="0"/>
    <n v="0"/>
    <n v="0"/>
    <n v="0"/>
    <n v="0"/>
    <n v="-1.1019106747192957"/>
    <n v="0"/>
    <n v="0"/>
    <n v="0"/>
    <n v="0"/>
    <n v="0"/>
    <n v="0"/>
    <n v="0"/>
    <n v="0"/>
    <n v="-0.13110286264117299"/>
    <m/>
    <n v="0"/>
    <n v="0"/>
    <n v="0"/>
    <n v="0"/>
    <n v="-1.7563238548273741E-2"/>
    <n v="-4.1864587680372628E-3"/>
    <n v="0"/>
    <n v="0"/>
    <m/>
    <m/>
    <m/>
    <n v="53.911349225758102"/>
    <n v="0"/>
    <n v="0"/>
    <n v="-34.867339999999999"/>
    <n v="0"/>
    <n v="0"/>
    <n v="0"/>
    <n v="-33.61248179175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8"/>
    <s v="Regular"/>
    <s v="Branca"/>
    <s v="B1"/>
    <s v="Residencial"/>
    <s v="Residencial"/>
    <s v="Não se aplica"/>
    <s v="Não se aplica"/>
    <s v="Fora ponta"/>
    <s v="CATIVO"/>
    <x v="5"/>
    <n v="0"/>
    <n v="0"/>
    <n v="0.75900000000000001"/>
    <n v="0.75900000000000001"/>
    <n v="0.75900000000000001"/>
    <n v="0.75900000000000001"/>
    <m/>
    <n v="495.6"/>
    <n v="185.74"/>
    <m/>
    <n v="517.13706000000002"/>
    <n v="517.13706000000002"/>
    <n v="358.73375999999996"/>
    <n v="0"/>
    <n v="47.319981060875641"/>
    <n v="0"/>
    <n v="0"/>
    <n v="0"/>
    <n v="53.491065644171577"/>
    <n v="240.69813028274157"/>
    <n v="140.97991454529645"/>
    <n v="0"/>
    <n v="0"/>
    <n v="0"/>
    <n v="0"/>
    <n v="0"/>
    <n v="7.3131124102945373"/>
    <m/>
    <n v="1.799488317334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540728783308634"/>
    <n v="0"/>
    <n v="0"/>
    <n v="0"/>
    <n v="0"/>
    <n v="0"/>
    <m/>
    <m/>
    <m/>
    <m/>
    <m/>
    <m/>
    <m/>
    <m/>
    <m/>
    <n v="166.52064332860508"/>
    <m/>
    <m/>
    <m/>
    <m/>
    <m/>
    <m/>
    <m/>
    <m/>
    <m/>
    <m/>
    <m/>
    <m/>
    <n v="359.20640000000003"/>
    <n v="-157.96065999999996"/>
    <m/>
    <m/>
    <m/>
    <m/>
    <n v="-158.40330000000003"/>
    <n v="0"/>
    <n v="29"/>
    <n v="-8.3364150506494639"/>
    <n v="0"/>
    <n v="0"/>
    <n v="0"/>
    <n v="0"/>
    <n v="0"/>
    <n v="0"/>
    <n v="0"/>
    <n v="-4.9242064327749944"/>
    <n v="0"/>
    <n v="0"/>
    <n v="0"/>
    <n v="0"/>
    <n v="0"/>
    <n v="0"/>
    <n v="0"/>
    <n v="0"/>
    <n v="-2.9266786101367757"/>
    <m/>
    <n v="0"/>
    <n v="0"/>
    <n v="0"/>
    <n v="0"/>
    <n v="-0.39207347229822886"/>
    <n v="-9.3456535439420119E-2"/>
    <n v="0"/>
    <n v="0"/>
    <m/>
    <m/>
    <m/>
    <n v="240.69813028274157"/>
    <n v="0"/>
    <n v="0"/>
    <n v="-158.40330000000006"/>
    <n v="0"/>
    <n v="0"/>
    <n v="0"/>
    <n v="-150.06972813012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19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5"/>
    <n v="1.1100000000000001"/>
    <n v="133.1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20"/>
    <s v="Regular"/>
    <s v="Branca"/>
    <s v="B1"/>
    <s v="Residencial"/>
    <s v="Residencial"/>
    <s v="Não se aplica"/>
    <s v="Não se aplica"/>
    <s v="Intermediário"/>
    <s v="CATIVO"/>
    <x v="5"/>
    <n v="0"/>
    <n v="0"/>
    <n v="1.2999999999999999E-2"/>
    <n v="1.2999999999999999E-2"/>
    <n v="1.2999999999999999E-2"/>
    <n v="1.2999999999999999E-2"/>
    <m/>
    <n v="1270.6099999999999"/>
    <n v="185.74"/>
    <m/>
    <n v="18.932549999999996"/>
    <n v="18.932549999999996"/>
    <n v="10.910250000000001"/>
    <n v="0"/>
    <n v="0.81048715914543257"/>
    <n v="0"/>
    <n v="0"/>
    <n v="0"/>
    <n v="2.7460416239901972"/>
    <n v="12.367904194397127"/>
    <n v="2.4146757432000712"/>
    <n v="0"/>
    <n v="0"/>
    <n v="0"/>
    <n v="0"/>
    <n v="0"/>
    <n v="0.12525752481400393"/>
    <m/>
    <n v="3.08212755274732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3745648772465379"/>
    <n v="0"/>
    <n v="0"/>
    <n v="0"/>
    <n v="0"/>
    <n v="0"/>
    <m/>
    <m/>
    <m/>
    <m/>
    <m/>
    <m/>
    <m/>
    <m/>
    <m/>
    <n v="2.8521322309247248"/>
    <m/>
    <m/>
    <m/>
    <m/>
    <m/>
    <m/>
    <m/>
    <m/>
    <m/>
    <m/>
    <m/>
    <m/>
    <n v="8.3925000000000001"/>
    <n v="-10.57005"/>
    <m/>
    <m/>
    <m/>
    <m/>
    <n v="-8.0222999999999978"/>
    <n v="0"/>
    <n v="29"/>
    <n v="-0.31123492225699145"/>
    <n v="0"/>
    <n v="0"/>
    <n v="0"/>
    <n v="0"/>
    <n v="0"/>
    <n v="0"/>
    <n v="0"/>
    <n v="-0.25279129639089337"/>
    <n v="0"/>
    <n v="0"/>
    <n v="0"/>
    <n v="0"/>
    <n v="0"/>
    <n v="0"/>
    <n v="0"/>
    <n v="0"/>
    <n v="-5.0127565127507379E-2"/>
    <m/>
    <n v="0"/>
    <n v="0"/>
    <n v="0"/>
    <n v="0"/>
    <n v="-6.7153559155164327E-3"/>
    <n v="-1.6007048230730694E-3"/>
    <n v="0"/>
    <n v="0"/>
    <m/>
    <m/>
    <m/>
    <n v="12.367904194397127"/>
    <n v="0"/>
    <n v="0"/>
    <n v="-8.022299999999996"/>
    <n v="0"/>
    <n v="0"/>
    <n v="0"/>
    <n v="-7.7111027734712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1"/>
    <s v="Regular"/>
    <s v="Convencional"/>
    <s v="B3"/>
    <s v="Industrial"/>
    <s v="Não se aplica"/>
    <s v="Não se aplica"/>
    <s v="Não se aplica"/>
    <s v="Não se aplica"/>
    <s v="CATIVO"/>
    <x v="5"/>
    <n v="0"/>
    <n v="0"/>
    <n v="38.561999999999998"/>
    <n v="38.561999999999998"/>
    <n v="38.561999999999998"/>
    <n v="38.561999999999998"/>
    <m/>
    <n v="825.6"/>
    <n v="185.74"/>
    <m/>
    <n v="38999.293079999996"/>
    <n v="38999.293079999996"/>
    <n v="24243.929399999997"/>
    <n v="0"/>
    <n v="2404.1542946897052"/>
    <n v="0"/>
    <n v="0"/>
    <n v="0"/>
    <n v="5025.8512564573857"/>
    <n v="22646.297357545493"/>
    <n v="7162.6712314831648"/>
    <n v="0"/>
    <n v="0"/>
    <n v="0"/>
    <n v="0"/>
    <n v="0"/>
    <n v="371.55235937520149"/>
    <m/>
    <n v="91.4253866838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7.630544587546"/>
    <n v="0"/>
    <n v="14.61"/>
    <n v="62.72"/>
    <n v="9931.99"/>
    <n v="46"/>
    <m/>
    <m/>
    <m/>
    <m/>
    <m/>
    <m/>
    <m/>
    <m/>
    <m/>
    <n v="8460.3017760707116"/>
    <m/>
    <m/>
    <m/>
    <m/>
    <m/>
    <m/>
    <m/>
    <m/>
    <m/>
    <m/>
    <m/>
    <m/>
    <n v="24242.671999999999"/>
    <n v="-14756.651079999996"/>
    <m/>
    <m/>
    <m/>
    <m/>
    <n v="-14755.36368"/>
    <n v="0"/>
    <n v="29"/>
    <n v="-636.02463083805014"/>
    <n v="0"/>
    <n v="0"/>
    <n v="0"/>
    <n v="0"/>
    <n v="0"/>
    <n v="0"/>
    <n v="0"/>
    <n v="-462.66285386509117"/>
    <n v="0"/>
    <n v="0"/>
    <n v="0"/>
    <n v="0"/>
    <n v="0"/>
    <n v="0"/>
    <n v="0"/>
    <n v="0"/>
    <n v="-148.69378203438009"/>
    <m/>
    <n v="0"/>
    <n v="0"/>
    <n v="0"/>
    <n v="0"/>
    <n v="-19.919811908780332"/>
    <n v="-4.7481830297956691"/>
    <n v="0"/>
    <n v="0"/>
    <m/>
    <m/>
    <m/>
    <n v="22646.297357545493"/>
    <n v="0"/>
    <n v="0"/>
    <n v="-14755.363680000002"/>
    <n v="0"/>
    <n v="0"/>
    <n v="0"/>
    <n v="-14119.443651716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2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3"/>
    <n v="0.3"/>
    <n v="0.3"/>
    <n v="0.3"/>
    <m/>
    <n v="825.6"/>
    <n v="185.74"/>
    <m/>
    <n v="303.40199999999999"/>
    <n v="303.40199999999999"/>
    <n v="188.60999999999999"/>
    <n v="0"/>
    <n v="18.703549826433058"/>
    <n v="0"/>
    <n v="0"/>
    <n v="0"/>
    <n v="39.099511875349201"/>
    <n v="176.18093478719069"/>
    <n v="55.723286381540099"/>
    <n v="0"/>
    <n v="0"/>
    <n v="0"/>
    <n v="0"/>
    <n v="0"/>
    <n v="2.8905582649385519"/>
    <m/>
    <n v="0.71126020448015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9514971672278"/>
    <n v="0"/>
    <n v="0.01"/>
    <n v="0.14000000000000001"/>
    <n v="1488.74"/>
    <n v="3"/>
    <m/>
    <m/>
    <m/>
    <m/>
    <m/>
    <m/>
    <m/>
    <m/>
    <m/>
    <n v="65.818436098262879"/>
    <m/>
    <m/>
    <m/>
    <m/>
    <m/>
    <m/>
    <m/>
    <m/>
    <m/>
    <m/>
    <m/>
    <m/>
    <n v="188.60999999999999"/>
    <n v="-114.82199999999997"/>
    <m/>
    <m/>
    <m/>
    <m/>
    <n v="-114.79200000000002"/>
    <n v="0"/>
    <n v="29"/>
    <n v="-4.948067767528002"/>
    <n v="0"/>
    <n v="0"/>
    <n v="0"/>
    <n v="0"/>
    <n v="0"/>
    <n v="0"/>
    <n v="0"/>
    <n v="-3.5993687090795987"/>
    <n v="0"/>
    <n v="0"/>
    <n v="0"/>
    <n v="0"/>
    <n v="0"/>
    <n v="0"/>
    <n v="0"/>
    <n v="0"/>
    <n v="-1.1567899644809394"/>
    <m/>
    <n v="0"/>
    <n v="0"/>
    <n v="0"/>
    <n v="0"/>
    <n v="-0.15496975189653295"/>
    <n v="-3.6939342070916981E-2"/>
    <n v="0"/>
    <n v="0"/>
    <m/>
    <m/>
    <m/>
    <n v="176.18093478719069"/>
    <n v="0"/>
    <n v="0"/>
    <n v="-114.79200000000003"/>
    <n v="0"/>
    <n v="0"/>
    <n v="0"/>
    <n v="-109.8447460068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3"/>
    <s v="Regular"/>
    <s v="Verde"/>
    <s v="A4"/>
    <s v="Industrial"/>
    <s v="Não se aplica"/>
    <s v="Não se aplica"/>
    <s v="Não se aplica"/>
    <s v="Ponta"/>
    <s v="CATIVO"/>
    <x v="5"/>
    <n v="0"/>
    <n v="0"/>
    <n v="0.86"/>
    <n v="0.86"/>
    <n v="0.86"/>
    <n v="0.86"/>
    <m/>
    <n v="4433.21"/>
    <n v="185.74"/>
    <m/>
    <n v="3972.2969999999996"/>
    <n v="3972.2969999999996"/>
    <n v="2073.1332000000002"/>
    <n v="0"/>
    <n v="46.646653267123988"/>
    <n v="0"/>
    <n v="0"/>
    <n v="0"/>
    <n v="826.99575843796561"/>
    <n v="2918.5678585363962"/>
    <n v="159.74008762708164"/>
    <n v="0"/>
    <n v="0"/>
    <n v="0"/>
    <n v="0"/>
    <n v="0"/>
    <n v="8.2862670261571836"/>
    <m/>
    <n v="0.8908580242656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73269465824285"/>
    <n v="0"/>
    <n v="0"/>
    <n v="0"/>
    <n v="0"/>
    <n v="0"/>
    <m/>
    <m/>
    <m/>
    <m/>
    <m/>
    <m/>
    <m/>
    <m/>
    <m/>
    <n v="170.91335709290593"/>
    <m/>
    <m/>
    <m/>
    <m/>
    <m/>
    <m/>
    <m/>
    <m/>
    <m/>
    <m/>
    <m/>
    <m/>
    <n v="2073.1332000000002"/>
    <n v="-1899.1938"/>
    <m/>
    <m/>
    <m/>
    <m/>
    <n v="-1899.1637999999998"/>
    <n v="0"/>
    <n v="29"/>
    <n v="-79.505977651450507"/>
    <n v="0"/>
    <n v="0"/>
    <n v="0"/>
    <n v="0"/>
    <n v="0"/>
    <n v="0"/>
    <n v="0"/>
    <n v="-76.130430092143456"/>
    <n v="0"/>
    <n v="0"/>
    <n v="0"/>
    <n v="0"/>
    <n v="0"/>
    <n v="0"/>
    <n v="0"/>
    <n v="0"/>
    <n v="-2.8850341714154411"/>
    <m/>
    <n v="0"/>
    <n v="0"/>
    <n v="0"/>
    <n v="0"/>
    <n v="-0.44424662210339516"/>
    <n v="-4.6266765787947195E-2"/>
    <n v="0"/>
    <n v="0"/>
    <m/>
    <m/>
    <m/>
    <n v="2918.5678585363962"/>
    <n v="0"/>
    <n v="0"/>
    <n v="-1899.1637999999998"/>
    <n v="0"/>
    <n v="0"/>
    <n v="0"/>
    <n v="-1819.65968969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4"/>
    <s v="Regular"/>
    <s v="Verde"/>
    <s v="A4"/>
    <s v="Industrial"/>
    <s v="Não se aplica"/>
    <s v="Não se aplica"/>
    <s v="Não se aplica"/>
    <s v="Fora ponta"/>
    <s v="CATIVO"/>
    <x v="5"/>
    <n v="0"/>
    <n v="0"/>
    <n v="40.412999999999997"/>
    <n v="40.412999999999997"/>
    <n v="40.412999999999997"/>
    <n v="40.412999999999997"/>
    <m/>
    <n v="77.900000000000006"/>
    <n v="185.74"/>
    <m/>
    <n v="10654.483319999999"/>
    <n v="10654.483319999999"/>
    <n v="10496.06436"/>
    <n v="0"/>
    <n v="2192.0130214933506"/>
    <n v="0"/>
    <n v="0"/>
    <n v="0"/>
    <n v="0"/>
    <n v="0"/>
    <n v="7506.4839084572668"/>
    <n v="0"/>
    <n v="0"/>
    <n v="0"/>
    <n v="0"/>
    <n v="0"/>
    <n v="389.38710386987236"/>
    <m/>
    <n v="41.863075970522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05271967715908"/>
    <n v="0"/>
    <n v="0"/>
    <n v="0"/>
    <n v="0"/>
    <n v="0"/>
    <m/>
    <m/>
    <m/>
    <m/>
    <m/>
    <m/>
    <m/>
    <m/>
    <m/>
    <n v="8031.5366281344259"/>
    <m/>
    <m/>
    <m/>
    <m/>
    <m/>
    <m/>
    <m/>
    <m/>
    <m/>
    <m/>
    <m/>
    <m/>
    <n v="10495.285199999998"/>
    <n v="-159.22812000000158"/>
    <m/>
    <m/>
    <m/>
    <m/>
    <n v="-158.41896000000006"/>
    <n v="0"/>
    <n v="29"/>
    <n v="-158.62325990031059"/>
    <n v="0"/>
    <n v="0"/>
    <n v="0"/>
    <n v="0"/>
    <n v="0"/>
    <n v="0"/>
    <n v="0"/>
    <n v="0"/>
    <n v="0"/>
    <n v="0"/>
    <n v="0"/>
    <n v="0"/>
    <n v="0"/>
    <n v="0"/>
    <n v="0"/>
    <n v="0"/>
    <n v="-135.57312322024654"/>
    <m/>
    <n v="0"/>
    <n v="0"/>
    <n v="0"/>
    <n v="0"/>
    <n v="-20.875975277981979"/>
    <n v="-2.1741614020794344"/>
    <n v="0"/>
    <n v="0"/>
    <m/>
    <m/>
    <m/>
    <n v="0"/>
    <n v="0"/>
    <n v="0"/>
    <n v="-158.418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5"/>
    <s v="Regular"/>
    <s v="Verde"/>
    <s v="A4"/>
    <s v="Industrial"/>
    <s v="Não se aplica"/>
    <s v="Não se aplica"/>
    <s v="Não se aplica"/>
    <s v="Não se aplica"/>
    <s v="CATIVO"/>
    <x v="5"/>
    <n v="331"/>
    <n v="331"/>
    <n v="0"/>
    <n v="0"/>
    <n v="0"/>
    <n v="0"/>
    <n v="55.59"/>
    <m/>
    <m/>
    <n v="18400.29"/>
    <m/>
    <n v="18400.29"/>
    <n v="9767.8100000000013"/>
    <n v="0"/>
    <n v="0"/>
    <n v="0"/>
    <n v="0"/>
    <n v="0"/>
    <n v="5347.1960439937893"/>
    <n v="13051.5693582025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4"/>
    <n v="60.63"/>
    <n v="9058.77"/>
    <n v="5"/>
    <m/>
    <m/>
    <m/>
    <m/>
    <m/>
    <m/>
    <m/>
    <m/>
    <m/>
    <n v="0"/>
    <m/>
    <m/>
    <m/>
    <m/>
    <m/>
    <m/>
    <m/>
    <m/>
    <m/>
    <m/>
    <m/>
    <m/>
    <n v="9767.8100000000013"/>
    <n v="-8632.5099999999948"/>
    <m/>
    <m/>
    <m/>
    <m/>
    <n v="-8632.4800000000014"/>
    <n v="0"/>
    <n v="29"/>
    <n v="-492.24476723456337"/>
    <n v="0"/>
    <n v="0"/>
    <n v="0"/>
    <n v="0"/>
    <m/>
    <m/>
    <m/>
    <n v="-492.244767234563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051.569358202585"/>
    <m/>
    <n v="0"/>
    <n v="0"/>
    <n v="-8632.48"/>
    <m/>
    <n v="0"/>
    <m/>
    <n v="-8137.3522218728622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226"/>
    <s v="Regular"/>
    <s v="Convencional"/>
    <s v="B3"/>
    <s v="Comercial"/>
    <s v="Não se aplica"/>
    <s v="Não se aplica"/>
    <s v="Não se aplica"/>
    <s v="Não se aplica"/>
    <s v="CATIVO"/>
    <x v="5"/>
    <n v="0"/>
    <n v="0"/>
    <n v="190.53700000000001"/>
    <n v="190.53700000000001"/>
    <n v="190.53700000000001"/>
    <n v="190.53700000000001"/>
    <m/>
    <n v="825.6"/>
    <n v="185.74"/>
    <m/>
    <n v="192697.68958000001"/>
    <n v="192697.68958000001"/>
    <n v="119790.6119"/>
    <n v="0"/>
    <n v="11879.060910930253"/>
    <n v="0"/>
    <n v="0"/>
    <n v="0"/>
    <n v="24833.012313978037"/>
    <n v="111896.62257182319"/>
    <n v="35391.159390931687"/>
    <n v="0"/>
    <n v="0"/>
    <n v="0"/>
    <n v="0"/>
    <n v="0"/>
    <n v="1835.8610004219897"/>
    <m/>
    <n v="451.73795193678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11.6651385840278"/>
    <n v="0"/>
    <n v="71.790000000000006"/>
    <n v="309.70999999999998"/>
    <n v="47930.37"/>
    <n v="368"/>
    <m/>
    <m/>
    <m/>
    <m/>
    <m/>
    <m/>
    <m/>
    <m/>
    <m/>
    <n v="41802.824529515718"/>
    <m/>
    <m/>
    <m/>
    <m/>
    <m/>
    <m/>
    <m/>
    <m/>
    <m/>
    <m/>
    <m/>
    <m/>
    <n v="119792.49799999999"/>
    <n v="-72905.221580000041"/>
    <m/>
    <m/>
    <m/>
    <m/>
    <n v="-72907.077680000017"/>
    <n v="0"/>
    <n v="29"/>
    <n v="-3142.6332940716093"/>
    <n v="0"/>
    <n v="0"/>
    <n v="0"/>
    <n v="0"/>
    <n v="0"/>
    <n v="0"/>
    <n v="0"/>
    <n v="-2286.043052406334"/>
    <n v="0"/>
    <n v="0"/>
    <n v="0"/>
    <n v="0"/>
    <n v="0"/>
    <n v="0"/>
    <n v="0"/>
    <n v="0"/>
    <n v="-734.70429820768186"/>
    <m/>
    <n v="0"/>
    <n v="0"/>
    <n v="0"/>
    <n v="0"/>
    <n v="-98.424905390365666"/>
    <n v="-23.461038067221068"/>
    <n v="0"/>
    <n v="0"/>
    <m/>
    <m/>
    <m/>
    <n v="111896.62257182319"/>
    <n v="0"/>
    <n v="0"/>
    <n v="-72907.077680000017"/>
    <n v="0"/>
    <n v="0"/>
    <n v="0"/>
    <n v="-69764.961233006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7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3.2589999999999999"/>
    <n v="3.2589999999999999"/>
    <n v="3.2589999999999999"/>
    <n v="3.2589999999999999"/>
    <m/>
    <n v="825.6"/>
    <n v="185.74"/>
    <m/>
    <n v="3295.9570600000002"/>
    <n v="3295.9570600000002"/>
    <n v="2048.9333000000001"/>
    <n v="0"/>
    <n v="203.18289628115113"/>
    <n v="0"/>
    <n v="0"/>
    <n v="0"/>
    <n v="424.75103067254349"/>
    <n v="1913.9122215715149"/>
    <n v="605.34063439146394"/>
    <n v="0"/>
    <n v="0"/>
    <n v="0"/>
    <n v="0"/>
    <n v="0"/>
    <n v="31.401097951449138"/>
    <m/>
    <n v="7.7266566880027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66697642266513"/>
    <n v="0"/>
    <n v="1.07"/>
    <n v="4.8099999999999996"/>
    <n v="2978.32"/>
    <n v="11"/>
    <m/>
    <m/>
    <m/>
    <m/>
    <m/>
    <m/>
    <m/>
    <m/>
    <m/>
    <n v="715.00761081412907"/>
    <m/>
    <m/>
    <m/>
    <m/>
    <m/>
    <m/>
    <m/>
    <m/>
    <m/>
    <m/>
    <m/>
    <m/>
    <n v="2049.5619999999999"/>
    <n v="-1246.4250600000009"/>
    <m/>
    <m/>
    <m/>
    <m/>
    <n v="-1247.02376"/>
    <n v="0"/>
    <n v="29"/>
    <n v="-53.752509514579287"/>
    <n v="0"/>
    <n v="0"/>
    <n v="0"/>
    <n v="0"/>
    <n v="0"/>
    <n v="0"/>
    <n v="0"/>
    <n v="-39.101142076301414"/>
    <n v="0"/>
    <n v="0"/>
    <n v="0"/>
    <n v="0"/>
    <n v="0"/>
    <n v="0"/>
    <n v="0"/>
    <n v="0"/>
    <n v="-12.566594980811288"/>
    <m/>
    <n v="0"/>
    <n v="0"/>
    <n v="0"/>
    <n v="0"/>
    <n v="-1.6834880714360025"/>
    <n v="-0.40128438603039474"/>
    <n v="0"/>
    <n v="0"/>
    <m/>
    <m/>
    <m/>
    <n v="1913.9122215715149"/>
    <n v="0"/>
    <n v="0"/>
    <n v="-1247.02376"/>
    <n v="0"/>
    <n v="0"/>
    <n v="0"/>
    <n v="-1193.2800907874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8"/>
    <s v="Regular"/>
    <s v="Azul"/>
    <s v="A4"/>
    <s v="Comercial"/>
    <s v="Não se aplica"/>
    <s v="Não se aplica"/>
    <s v="Não se aplica"/>
    <s v="Ponta"/>
    <s v="CATIVO"/>
    <x v="5"/>
    <n v="582"/>
    <n v="582"/>
    <n v="30.992000000000001"/>
    <n v="30.992000000000001"/>
    <n v="30.992000000000001"/>
    <n v="30.992000000000001"/>
    <n v="181.08"/>
    <n v="77.900000000000006"/>
    <n v="185.74"/>
    <n v="105388.56000000001"/>
    <n v="8170.730880000001"/>
    <n v="113559.29088000002"/>
    <n v="60091.682240000002"/>
    <n v="0"/>
    <n v="1681.0152070403567"/>
    <n v="0"/>
    <n v="0"/>
    <n v="0"/>
    <n v="23261.619241712055"/>
    <n v="82125.6707073945"/>
    <n v="5756.58697178897"/>
    <n v="0"/>
    <n v="0"/>
    <n v="0"/>
    <n v="0"/>
    <n v="0"/>
    <n v="298.61393915658539"/>
    <m/>
    <n v="32.104037079119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.65345033119337"/>
    <n v="0"/>
    <n v="0"/>
    <n v="0"/>
    <n v="0"/>
    <n v="0"/>
    <m/>
    <m/>
    <m/>
    <m/>
    <m/>
    <m/>
    <m/>
    <m/>
    <m/>
    <n v="6159.2404221201632"/>
    <m/>
    <m/>
    <m/>
    <m/>
    <m/>
    <m/>
    <m/>
    <m/>
    <m/>
    <m/>
    <m/>
    <m/>
    <n v="60091.162800000006"/>
    <n v="-53468.158079999994"/>
    <m/>
    <m/>
    <m/>
    <m/>
    <n v="-53467.608640000013"/>
    <n v="0"/>
    <n v="29"/>
    <n v="-2263.0312393369677"/>
    <n v="0"/>
    <n v="0"/>
    <n v="0"/>
    <n v="0"/>
    <n v="0"/>
    <n v="0"/>
    <n v="0"/>
    <n v="-2141.3859254322706"/>
    <n v="0"/>
    <n v="0"/>
    <n v="0"/>
    <n v="0"/>
    <n v="0"/>
    <n v="0"/>
    <n v="0"/>
    <n v="0"/>
    <n v="-103.96858027965982"/>
    <m/>
    <n v="0"/>
    <n v="0"/>
    <n v="0"/>
    <n v="0"/>
    <n v="-16.009408502591157"/>
    <n v="-1.6673251224419339"/>
    <n v="0"/>
    <n v="0"/>
    <m/>
    <m/>
    <n v="82125.6707073945"/>
    <n v="0"/>
    <n v="0"/>
    <n v="0"/>
    <n v="-53467.60864000002"/>
    <n v="0"/>
    <n v="0"/>
    <n v="0"/>
    <n v="-51203.459956607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29"/>
    <s v="Regular"/>
    <s v="Azul"/>
    <s v="A4"/>
    <s v="Comercial"/>
    <s v="Não se aplica"/>
    <s v="Não se aplica"/>
    <s v="Não se aplica"/>
    <s v="Fora ponta"/>
    <s v="CATIVO"/>
    <x v="5"/>
    <n v="590"/>
    <n v="590"/>
    <n v="311.79599999999999"/>
    <n v="311.79599999999999"/>
    <n v="311.79599999999999"/>
    <n v="311.79599999999999"/>
    <n v="55.59"/>
    <n v="77.900000000000006"/>
    <n v="185.74"/>
    <n v="32798.1"/>
    <n v="82201.897440000001"/>
    <n v="114999.99744000001"/>
    <n v="98390.557119999998"/>
    <n v="0"/>
    <n v="16911.906862879292"/>
    <n v="0"/>
    <n v="0"/>
    <n v="0"/>
    <n v="9531.2557883877216"/>
    <n v="23264.126650572583"/>
    <n v="57914.326002062262"/>
    <n v="0"/>
    <n v="0"/>
    <n v="0"/>
    <n v="0"/>
    <n v="0"/>
    <n v="3004.215015915936"/>
    <m/>
    <n v="322.98368434179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0.9078213559874"/>
    <n v="0"/>
    <n v="0"/>
    <n v="0"/>
    <n v="0"/>
    <n v="0"/>
    <m/>
    <m/>
    <m/>
    <m/>
    <m/>
    <m/>
    <m/>
    <m/>
    <m/>
    <n v="61965.233823418246"/>
    <m/>
    <m/>
    <m/>
    <m/>
    <m/>
    <m/>
    <m/>
    <m/>
    <m/>
    <m/>
    <m/>
    <m/>
    <n v="98391.596000000005"/>
    <n v="-16608.431439999986"/>
    <m/>
    <m/>
    <m/>
    <m/>
    <n v="-16609.440320000002"/>
    <n v="0"/>
    <n v="29"/>
    <n v="-2101.2316868058551"/>
    <n v="0"/>
    <n v="0"/>
    <n v="0"/>
    <n v="0"/>
    <n v="0"/>
    <n v="0"/>
    <n v="0"/>
    <n v="-877.41514401327004"/>
    <n v="0"/>
    <n v="0"/>
    <n v="0"/>
    <n v="0"/>
    <n v="0"/>
    <n v="0"/>
    <n v="0"/>
    <n v="0"/>
    <n v="-1045.9792029193595"/>
    <m/>
    <n v="0"/>
    <n v="0"/>
    <n v="0"/>
    <n v="0"/>
    <n v="-161.0631625411047"/>
    <n v="-16.774177332114846"/>
    <n v="0"/>
    <n v="0"/>
    <m/>
    <m/>
    <n v="23264.126650572583"/>
    <n v="0"/>
    <n v="0"/>
    <n v="0"/>
    <n v="-16609.440320000002"/>
    <n v="0"/>
    <n v="0"/>
    <n v="0"/>
    <n v="-14504.645954395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0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0.64"/>
    <n v="464.7"/>
    <n v="73762.6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31"/>
    <s v="Regular"/>
    <s v="Verde"/>
    <s v="A4"/>
    <s v="Comercial"/>
    <s v="Não se aplica"/>
    <s v="Não se aplica"/>
    <s v="Não se aplica"/>
    <s v="Ponta"/>
    <s v="CATIVO"/>
    <x v="5"/>
    <n v="0"/>
    <n v="0"/>
    <n v="8.2240000000000002"/>
    <n v="8.2240000000000002"/>
    <n v="8.2240000000000002"/>
    <n v="8.2240000000000002"/>
    <m/>
    <n v="4433.21"/>
    <n v="185.74"/>
    <m/>
    <n v="37986.2448"/>
    <n v="37986.2448"/>
    <n v="19824.938880000002"/>
    <n v="0"/>
    <n v="446.07218194049733"/>
    <n v="0"/>
    <n v="0"/>
    <n v="0"/>
    <n v="7908.3873458067783"/>
    <n v="27909.6535681434"/>
    <n v="1527.5610240059527"/>
    <n v="0"/>
    <n v="0"/>
    <n v="0"/>
    <n v="0"/>
    <n v="0"/>
    <n v="79.239837236182183"/>
    <m/>
    <n v="8.5190888273965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84763731039411"/>
    <n v="0"/>
    <n v="0"/>
    <n v="0"/>
    <n v="0"/>
    <n v="0"/>
    <m/>
    <m/>
    <m/>
    <m/>
    <m/>
    <m/>
    <m/>
    <m/>
    <m/>
    <n v="1634.4086613163468"/>
    <m/>
    <m/>
    <m/>
    <m/>
    <m/>
    <m/>
    <m/>
    <m/>
    <m/>
    <m/>
    <m/>
    <m/>
    <n v="19815.296400000003"/>
    <n v="-18170.978400000004"/>
    <m/>
    <m/>
    <m/>
    <m/>
    <n v="-18161.305919999999"/>
    <n v="0"/>
    <n v="29"/>
    <n v="-760.29902349479926"/>
    <n v="0"/>
    <n v="0"/>
    <n v="0"/>
    <n v="0"/>
    <n v="0"/>
    <n v="0"/>
    <n v="0"/>
    <n v="-728.01936869510155"/>
    <n v="0"/>
    <n v="0"/>
    <n v="0"/>
    <n v="0"/>
    <n v="0"/>
    <n v="0"/>
    <n v="0"/>
    <n v="0"/>
    <n v="-27.588977936884419"/>
    <m/>
    <n v="0"/>
    <n v="0"/>
    <n v="0"/>
    <n v="0"/>
    <n v="-4.2482374653236263"/>
    <n v="-0.44243939748846195"/>
    <n v="0"/>
    <n v="0"/>
    <m/>
    <m/>
    <m/>
    <n v="27909.6535681434"/>
    <n v="0"/>
    <n v="0"/>
    <n v="-18161.305920000003"/>
    <n v="0"/>
    <n v="0"/>
    <n v="0"/>
    <n v="-17401.024753525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2"/>
    <s v="Regular"/>
    <s v="Verde"/>
    <s v="A4"/>
    <s v="Comercial"/>
    <s v="Não se aplica"/>
    <s v="Não se aplica"/>
    <s v="Não se aplica"/>
    <s v="Fora ponta"/>
    <s v="CATIVO"/>
    <x v="5"/>
    <n v="0"/>
    <n v="0"/>
    <n v="308.56799999999998"/>
    <n v="308.56799999999998"/>
    <n v="308.56799999999998"/>
    <n v="308.56799999999998"/>
    <m/>
    <n v="77.900000000000006"/>
    <n v="185.74"/>
    <m/>
    <n v="81350.86752"/>
    <n v="81350.86752"/>
    <n v="80141.280960000004"/>
    <n v="0"/>
    <n v="16736.819192244086"/>
    <n v="0"/>
    <n v="0"/>
    <n v="0"/>
    <n v="0"/>
    <n v="0"/>
    <n v="57314.743440596889"/>
    <n v="0"/>
    <n v="0"/>
    <n v="0"/>
    <n v="0"/>
    <n v="0"/>
    <n v="2973.1126089851973"/>
    <m/>
    <n v="319.63985910653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08.9690843377534"/>
    <n v="0"/>
    <n v="0"/>
    <n v="0"/>
    <n v="0"/>
    <n v="0"/>
    <m/>
    <m/>
    <m/>
    <m/>
    <m/>
    <m/>
    <m/>
    <m/>
    <m/>
    <n v="61323.712524934643"/>
    <m/>
    <m/>
    <m/>
    <m/>
    <m/>
    <m/>
    <m/>
    <m/>
    <m/>
    <m/>
    <m/>
    <m/>
    <n v="80141.800400000007"/>
    <n v="-1209.0971199999767"/>
    <m/>
    <m/>
    <m/>
    <m/>
    <n v="-1209.5865600000004"/>
    <n v="0"/>
    <n v="29"/>
    <n v="-1211.1464642792853"/>
    <n v="0"/>
    <n v="0"/>
    <n v="0"/>
    <n v="0"/>
    <n v="0"/>
    <n v="0"/>
    <n v="0"/>
    <n v="0"/>
    <n v="0"/>
    <n v="0"/>
    <n v="0"/>
    <n v="0"/>
    <n v="0"/>
    <n v="0"/>
    <n v="0"/>
    <n v="0"/>
    <n v="-1035.1502607038601"/>
    <m/>
    <n v="0"/>
    <n v="0"/>
    <n v="0"/>
    <n v="0"/>
    <n v="-159.395688010698"/>
    <n v="-16.600515564715408"/>
    <n v="0"/>
    <n v="0"/>
    <m/>
    <m/>
    <m/>
    <n v="0"/>
    <n v="0"/>
    <n v="0"/>
    <n v="-1209.586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3"/>
    <s v="Regular"/>
    <s v="Verde"/>
    <s v="A4"/>
    <s v="Comercial"/>
    <s v="Não se aplica"/>
    <s v="Não se aplica"/>
    <s v="Não se aplica"/>
    <s v="Não se aplica"/>
    <s v="CATIVO"/>
    <x v="5"/>
    <n v="1143"/>
    <n v="1143"/>
    <n v="0"/>
    <n v="0"/>
    <n v="0"/>
    <n v="0"/>
    <n v="55.59"/>
    <m/>
    <m/>
    <n v="63539.37"/>
    <m/>
    <n v="63539.37"/>
    <n v="33729.93"/>
    <n v="0"/>
    <n v="0"/>
    <n v="0"/>
    <n v="0"/>
    <n v="0"/>
    <n v="18464.78875614774"/>
    <n v="45069.3165450923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0.46"/>
    <n v="380.04"/>
    <n v="58610.82"/>
    <n v="5"/>
    <m/>
    <m/>
    <m/>
    <m/>
    <m/>
    <m/>
    <m/>
    <m/>
    <m/>
    <n v="0"/>
    <m/>
    <m/>
    <m/>
    <m/>
    <m/>
    <m/>
    <m/>
    <m/>
    <m/>
    <m/>
    <m/>
    <m/>
    <n v="33729.93"/>
    <n v="-29809.470000000008"/>
    <m/>
    <m/>
    <m/>
    <m/>
    <n v="-29809.440000000002"/>
    <n v="0"/>
    <n v="29"/>
    <n v="-1699.8059484867263"/>
    <n v="0"/>
    <n v="0"/>
    <n v="0"/>
    <n v="0"/>
    <m/>
    <m/>
    <m/>
    <n v="-1699.80594848672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069.316545092312"/>
    <m/>
    <n v="0"/>
    <n v="0"/>
    <n v="-29809.440000000002"/>
    <m/>
    <n v="0"/>
    <m/>
    <n v="-28099.678518431061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234"/>
    <s v="Regular"/>
    <s v="Branca"/>
    <s v="B3"/>
    <s v="Comercial"/>
    <s v="Não se aplica"/>
    <s v="Não se aplica"/>
    <s v="Não se aplica"/>
    <s v="Ponta"/>
    <s v="CATIVO"/>
    <x v="5"/>
    <n v="0"/>
    <n v="0"/>
    <n v="0.184"/>
    <n v="0.184"/>
    <n v="0.184"/>
    <n v="0.184"/>
    <m/>
    <n v="2583.84"/>
    <n v="185.74"/>
    <m/>
    <n v="509.60271999999998"/>
    <n v="509.60271999999998"/>
    <n v="268.72647999999998"/>
    <n v="0"/>
    <n v="11.471510560212277"/>
    <n v="0"/>
    <n v="0"/>
    <n v="0"/>
    <n v="82.755301491311855"/>
    <n v="372.79870492870168"/>
    <n v="34.176948980677928"/>
    <n v="0"/>
    <n v="0"/>
    <n v="0"/>
    <n v="0"/>
    <n v="0"/>
    <n v="1.7728757358289786"/>
    <m/>
    <n v="0.43623959208115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916918262566378"/>
    <n v="0"/>
    <n v="0"/>
    <n v="0"/>
    <n v="0"/>
    <n v="0"/>
    <m/>
    <m/>
    <m/>
    <m/>
    <m/>
    <m/>
    <m/>
    <m/>
    <m/>
    <n v="40.368640806934565"/>
    <m/>
    <m/>
    <m/>
    <m/>
    <m/>
    <m/>
    <m/>
    <m/>
    <m/>
    <m/>
    <m/>
    <m/>
    <n v="262.88459999999998"/>
    <n v="-246.74811999999997"/>
    <m/>
    <m/>
    <m/>
    <m/>
    <n v="-240.87624000000002"/>
    <n v="0"/>
    <n v="29"/>
    <n v="-8.4453750128716081"/>
    <n v="0"/>
    <n v="0"/>
    <n v="0"/>
    <n v="0"/>
    <n v="0"/>
    <n v="0"/>
    <n v="0"/>
    <n v="-7.6181729236899116"/>
    <n v="0"/>
    <n v="0"/>
    <n v="0"/>
    <n v="0"/>
    <n v="0"/>
    <n v="0"/>
    <n v="0"/>
    <n v="0"/>
    <n v="-0.70949784488164447"/>
    <m/>
    <n v="0"/>
    <n v="0"/>
    <n v="0"/>
    <n v="0"/>
    <n v="-9.504811449654027E-2"/>
    <n v="-2.2656129803495739E-2"/>
    <n v="0"/>
    <n v="0"/>
    <m/>
    <m/>
    <m/>
    <n v="372.79870492870168"/>
    <n v="0"/>
    <n v="0"/>
    <n v="-240.87624"/>
    <n v="0"/>
    <n v="0"/>
    <n v="0"/>
    <n v="-232.43138710796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5"/>
    <s v="Regular"/>
    <s v="Branca"/>
    <s v="B3"/>
    <s v="Comercial"/>
    <s v="Não se aplica"/>
    <s v="Não se aplica"/>
    <s v="Não se aplica"/>
    <s v="Fora ponta"/>
    <s v="CATIVO"/>
    <x v="5"/>
    <n v="0"/>
    <n v="0"/>
    <n v="1.349"/>
    <n v="1.349"/>
    <n v="1.349"/>
    <n v="1.349"/>
    <m/>
    <n v="603.13"/>
    <n v="185.74"/>
    <m/>
    <n v="1064.1856299999999"/>
    <n v="1064.1856299999999"/>
    <n v="706.14754000000005"/>
    <n v="0"/>
    <n v="84.103629052860654"/>
    <n v="0"/>
    <n v="0"/>
    <n v="0"/>
    <n v="121.29236923725117"/>
    <n v="546.63690789276734"/>
    <n v="250.56904442899199"/>
    <n v="0"/>
    <n v="0"/>
    <n v="0"/>
    <n v="0"/>
    <n v="0"/>
    <n v="12.997876998007023"/>
    <m/>
    <n v="3.1983000528124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394523226196767"/>
    <n v="0"/>
    <n v="0"/>
    <n v="0"/>
    <n v="0"/>
    <n v="0"/>
    <m/>
    <m/>
    <m/>
    <m/>
    <m/>
    <m/>
    <m/>
    <m/>
    <m/>
    <n v="295.96356765518874"/>
    <m/>
    <m/>
    <m/>
    <m/>
    <m/>
    <m/>
    <m/>
    <m/>
    <m/>
    <m/>
    <m/>
    <m/>
    <n v="706.67100000000005"/>
    <n v="-357.54462999999987"/>
    <m/>
    <m/>
    <m/>
    <m/>
    <n v="-358.03808999999995"/>
    <n v="0"/>
    <n v="29"/>
    <n v="-17.230415029612402"/>
    <n v="0"/>
    <n v="0"/>
    <n v="0"/>
    <n v="0"/>
    <n v="0"/>
    <n v="0"/>
    <n v="0"/>
    <n v="-11.165764930122904"/>
    <n v="0"/>
    <n v="0"/>
    <n v="0"/>
    <n v="0"/>
    <n v="0"/>
    <n v="0"/>
    <n v="0"/>
    <n v="0"/>
    <n v="-5.2016988736159533"/>
    <m/>
    <n v="0"/>
    <n v="0"/>
    <n v="0"/>
    <n v="0"/>
    <n v="-0.6968473176947434"/>
    <n v="-0.16610390817888998"/>
    <n v="0"/>
    <n v="0"/>
    <m/>
    <m/>
    <m/>
    <n v="546.63690789276734"/>
    <n v="0"/>
    <n v="0"/>
    <n v="-358.0380899999999"/>
    <n v="0"/>
    <n v="0"/>
    <n v="0"/>
    <n v="-340.81549390099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6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5"/>
    <n v="2.76"/>
    <n v="437.1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37"/>
    <s v="Regular"/>
    <s v="Branca"/>
    <s v="B3"/>
    <s v="Comercial"/>
    <s v="Não se aplica"/>
    <s v="Não se aplica"/>
    <s v="Não se aplica"/>
    <s v="Intermediário"/>
    <s v="CATIVO"/>
    <x v="5"/>
    <n v="0"/>
    <n v="0"/>
    <n v="0.10199999999999999"/>
    <n v="0.10199999999999999"/>
    <n v="0.10199999999999999"/>
    <n v="0.10199999999999999"/>
    <m/>
    <n v="1593.45"/>
    <n v="185.74"/>
    <m/>
    <n v="181.47738000000001"/>
    <n v="181.47738000000001"/>
    <n v="101.17686"/>
    <n v="0"/>
    <n v="6.3592069409872396"/>
    <n v="0"/>
    <n v="0"/>
    <n v="0"/>
    <n v="27.519881498346109"/>
    <n v="123.99607722605441"/>
    <n v="18.945917369723634"/>
    <n v="0"/>
    <n v="0"/>
    <n v="0"/>
    <n v="0"/>
    <n v="0"/>
    <n v="0.98278981007910771"/>
    <m/>
    <n v="0.24182846952325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323509036857449"/>
    <n v="0"/>
    <n v="0"/>
    <n v="0"/>
    <n v="0"/>
    <n v="0"/>
    <m/>
    <m/>
    <m/>
    <m/>
    <m/>
    <m/>
    <m/>
    <m/>
    <m/>
    <n v="22.378268273409379"/>
    <m/>
    <m/>
    <m/>
    <m/>
    <m/>
    <m/>
    <m/>
    <m/>
    <m/>
    <m/>
    <m/>
    <m/>
    <n v="99.193000000000012"/>
    <n v="-82.314379999999971"/>
    <m/>
    <m/>
    <m/>
    <m/>
    <n v="-80.300519999999992"/>
    <n v="0"/>
    <n v="29"/>
    <n v="-2.9919448141802931"/>
    <n v="0"/>
    <n v="0"/>
    <n v="0"/>
    <n v="0"/>
    <n v="0"/>
    <n v="0"/>
    <n v="0"/>
    <n v="-2.5333871343078442"/>
    <n v="0"/>
    <n v="0"/>
    <n v="0"/>
    <n v="0"/>
    <n v="0"/>
    <n v="0"/>
    <n v="0"/>
    <n v="0"/>
    <n v="-0.39330858792351897"/>
    <m/>
    <n v="0"/>
    <n v="0"/>
    <n v="0"/>
    <n v="0"/>
    <n v="-5.2689715644821167E-2"/>
    <n v="-1.2559376304111747E-2"/>
    <n v="0"/>
    <n v="0"/>
    <m/>
    <m/>
    <m/>
    <n v="123.99607722605441"/>
    <n v="0"/>
    <n v="0"/>
    <n v="-80.300520000000006"/>
    <n v="0"/>
    <n v="0"/>
    <n v="0"/>
    <n v="-77.308691914878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8"/>
    <s v="Regular"/>
    <s v="Convencional"/>
    <s v="B2"/>
    <s v="Rural"/>
    <s v="Não se aplica"/>
    <s v="Não se aplica"/>
    <s v="Não se aplica"/>
    <s v="Não se aplica"/>
    <s v="CATIVO"/>
    <x v="5"/>
    <n v="0"/>
    <n v="0"/>
    <n v="2134.567"/>
    <n v="2134.567"/>
    <n v="2134.567"/>
    <n v="2134.567"/>
    <m/>
    <n v="825.6"/>
    <n v="185.74"/>
    <m/>
    <n v="2158772.9897799999"/>
    <n v="2158772.9897799999"/>
    <n v="1342002.2729"/>
    <n v="0"/>
    <n v="133079.93414119913"/>
    <n v="0"/>
    <n v="0"/>
    <n v="0"/>
    <n v="278201.75921742839"/>
    <n v="1253566.6980862976"/>
    <n v="396483.62747194973"/>
    <n v="0"/>
    <n v="0"/>
    <n v="0"/>
    <n v="0"/>
    <n v="0"/>
    <n v="20566.967613050303"/>
    <m/>
    <n v="5060.7752029886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829.244817919316"/>
    <n v="0"/>
    <n v="718.08"/>
    <n v="3123.17"/>
    <n v="333546.44"/>
    <n v="5678"/>
    <m/>
    <m/>
    <m/>
    <m/>
    <m/>
    <n v="161031.73447999998"/>
    <m/>
    <m/>
    <m/>
    <n v="468312.87228986906"/>
    <m/>
    <m/>
    <m/>
    <m/>
    <m/>
    <m/>
    <m/>
    <m/>
    <m/>
    <m/>
    <m/>
    <m/>
    <n v="1180972.1982"/>
    <n v="-718749.77046000003"/>
    <m/>
    <m/>
    <m/>
    <m/>
    <n v="-816770.71688000008"/>
    <n v="0"/>
    <n v="29"/>
    <n v="-35206.607234429801"/>
    <n v="0"/>
    <n v="0"/>
    <n v="0"/>
    <n v="0"/>
    <n v="0"/>
    <n v="0"/>
    <n v="0"/>
    <n v="-25610.312224113062"/>
    <n v="0"/>
    <n v="0"/>
    <n v="0"/>
    <n v="0"/>
    <n v="0"/>
    <n v="0"/>
    <n v="0"/>
    <n v="0"/>
    <n v="-8230.818947040636"/>
    <m/>
    <n v="0"/>
    <n v="0"/>
    <n v="0"/>
    <n v="0"/>
    <n v="-1102.6443946550899"/>
    <n v="-262.83166862097005"/>
    <n v="0"/>
    <n v="0"/>
    <m/>
    <m/>
    <m/>
    <n v="1253566.6980862976"/>
    <n v="0"/>
    <n v="0"/>
    <n v="-816770.71688000008"/>
    <n v="0"/>
    <n v="0"/>
    <n v="0"/>
    <n v="-781569.89983181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39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.1890000000000001"/>
    <n v="-2.1890000000000001"/>
    <n v="-2.1890000000000001"/>
    <n v="-2.1890000000000001"/>
    <m/>
    <n v="825.6"/>
    <n v="185.74"/>
    <m/>
    <n v="-2213.8232600000001"/>
    <n v="-2213.8232600000001"/>
    <n v="-1376.2243000000001"/>
    <n v="0"/>
    <n v="-136.47356856687321"/>
    <n v="0"/>
    <n v="0"/>
    <n v="0"/>
    <n v="-285.29610498379805"/>
    <n v="-1285.5335541638683"/>
    <n v="-406.59424629730432"/>
    <n v="0"/>
    <n v="0"/>
    <n v="0"/>
    <n v="0"/>
    <n v="0"/>
    <n v="-21.091440139834969"/>
    <m/>
    <n v="-5.1898286253568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3.660942433020551"/>
    <n v="0"/>
    <n v="-0.77"/>
    <n v="-3.5"/>
    <n v="-484.43"/>
    <n v="0"/>
    <m/>
    <m/>
    <m/>
    <m/>
    <m/>
    <n v="-165.13816"/>
    <m/>
    <m/>
    <m/>
    <n v="-480.2551887303249"/>
    <m/>
    <m/>
    <m/>
    <m/>
    <m/>
    <m/>
    <m/>
    <m/>
    <m/>
    <m/>
    <m/>
    <m/>
    <n v="-1211.6394"/>
    <n v="736.49682000000007"/>
    <m/>
    <m/>
    <m/>
    <m/>
    <n v="837.59896000000015"/>
    <n v="0"/>
    <n v="29"/>
    <n v="36.104401143729206"/>
    <n v="0"/>
    <n v="0"/>
    <n v="0"/>
    <n v="0"/>
    <n v="0"/>
    <n v="0"/>
    <n v="0"/>
    <n v="26.263393680584159"/>
    <n v="0"/>
    <n v="0"/>
    <n v="0"/>
    <n v="0"/>
    <n v="0"/>
    <n v="0"/>
    <n v="0"/>
    <n v="0"/>
    <n v="8.440710774162568"/>
    <m/>
    <n v="0"/>
    <n v="0"/>
    <n v="0"/>
    <n v="0"/>
    <n v="1.1307626230050332"/>
    <n v="0.26953406597745744"/>
    <n v="0"/>
    <n v="0"/>
    <m/>
    <m/>
    <m/>
    <n v="-1285.5335541638683"/>
    <n v="0"/>
    <n v="0"/>
    <n v="837.59896000000015"/>
    <n v="0"/>
    <n v="0"/>
    <n v="0"/>
    <n v="801.5004966964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0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45.225999999999999"/>
    <n v="45.225999999999999"/>
    <n v="45.225999999999999"/>
    <n v="45.225999999999999"/>
    <m/>
    <n v="825.6"/>
    <n v="185.74"/>
    <m/>
    <n v="45738.862840000002"/>
    <n v="45738.862840000002"/>
    <n v="28433.586199999998"/>
    <n v="0"/>
    <n v="2819.6224815008718"/>
    <n v="0"/>
    <n v="0"/>
    <n v="0"/>
    <n v="5894.3817469151436"/>
    <n v="26559.863188951622"/>
    <n v="8400.4711663051094"/>
    <n v="0"/>
    <n v="0"/>
    <n v="0"/>
    <n v="0"/>
    <n v="0"/>
    <n v="435.76129363370319"/>
    <m/>
    <n v="107.22484669273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1.8774702950147"/>
    <n v="0"/>
    <n v="13.96"/>
    <n v="61.32"/>
    <n v="21731.56"/>
    <n v="135"/>
    <m/>
    <m/>
    <m/>
    <m/>
    <m/>
    <n v="3411.84944"/>
    <m/>
    <m/>
    <m/>
    <n v="9922.3486366001234"/>
    <m/>
    <m/>
    <m/>
    <m/>
    <m/>
    <m/>
    <m/>
    <m/>
    <m/>
    <m/>
    <m/>
    <m/>
    <n v="25023.949799999999"/>
    <n v="-15226.315680000011"/>
    <m/>
    <m/>
    <m/>
    <m/>
    <n v="-17305.27664"/>
    <n v="0"/>
    <n v="29"/>
    <n v="-745.93770951406623"/>
    <n v="0"/>
    <n v="0"/>
    <n v="0"/>
    <n v="0"/>
    <n v="0"/>
    <n v="0"/>
    <n v="0"/>
    <n v="-542.61683078944679"/>
    <n v="0"/>
    <n v="0"/>
    <n v="0"/>
    <n v="0"/>
    <n v="0"/>
    <n v="0"/>
    <n v="0"/>
    <n v="0"/>
    <n v="-174.38994311204988"/>
    <m/>
    <n v="0"/>
    <n v="0"/>
    <n v="0"/>
    <n v="0"/>
    <n v="-23.362206664241967"/>
    <n v="-5.5687289483309712"/>
    <n v="0"/>
    <n v="0"/>
    <m/>
    <m/>
    <m/>
    <n v="26559.863188951622"/>
    <n v="0"/>
    <n v="0"/>
    <n v="-17305.27664"/>
    <n v="0"/>
    <n v="0"/>
    <n v="0"/>
    <n v="-16559.461609681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-2.0179999999999998"/>
    <n v="-2.0179999999999998"/>
    <n v="-2.0179999999999998"/>
    <n v="-2.0179999999999998"/>
    <m/>
    <n v="825.6"/>
    <n v="185.74"/>
    <m/>
    <n v="-2040.8841199999999"/>
    <n v="-2040.8841199999999"/>
    <n v="-1268.7165999999997"/>
    <n v="0"/>
    <n v="-125.81254516580637"/>
    <n v="0"/>
    <n v="0"/>
    <n v="0"/>
    <n v="-263.00938321484892"/>
    <n v="-1185.1104213351693"/>
    <n v="-374.8319730598264"/>
    <n v="0"/>
    <n v="0"/>
    <n v="0"/>
    <n v="0"/>
    <n v="0"/>
    <n v="-19.443821928819993"/>
    <m/>
    <n v="-4.7844103088031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7.906707094488553"/>
    <n v="0"/>
    <n v="-0.73"/>
    <n v="-3.07"/>
    <n v="-599.98"/>
    <n v="2"/>
    <m/>
    <m/>
    <m/>
    <m/>
    <m/>
    <n v="-152.23791999999997"/>
    <m/>
    <m/>
    <m/>
    <n v="-442.73868015431492"/>
    <m/>
    <m/>
    <m/>
    <m/>
    <m/>
    <m/>
    <m/>
    <m/>
    <m/>
    <m/>
    <m/>
    <m/>
    <n v="-1117.5852"/>
    <n v="678.3644399999996"/>
    <m/>
    <m/>
    <m/>
    <m/>
    <n v="772.16751999999997"/>
    <n v="0"/>
    <n v="29"/>
    <n v="33.284002516238161"/>
    <n v="0"/>
    <n v="0"/>
    <n v="0"/>
    <n v="0"/>
    <n v="0"/>
    <n v="0"/>
    <n v="0"/>
    <n v="24.211753516408777"/>
    <n v="0"/>
    <n v="0"/>
    <n v="0"/>
    <n v="0"/>
    <n v="0"/>
    <n v="0"/>
    <n v="0"/>
    <n v="0"/>
    <n v="7.7813404944084539"/>
    <m/>
    <n v="0"/>
    <n v="0"/>
    <n v="0"/>
    <n v="0"/>
    <n v="1.0424298644240118"/>
    <n v="0.24847864099703543"/>
    <n v="0"/>
    <n v="0"/>
    <m/>
    <m/>
    <m/>
    <n v="-1185.1104213351693"/>
    <n v="0"/>
    <n v="0"/>
    <n v="772.16752000000008"/>
    <n v="0"/>
    <n v="0"/>
    <n v="0"/>
    <n v="738.88899147255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1.077000000000002"/>
    <n v="21.077000000000002"/>
    <n v="21.077000000000002"/>
    <n v="21.077000000000002"/>
    <m/>
    <n v="825.6"/>
    <n v="185.74"/>
    <m/>
    <n v="21316.013180000002"/>
    <n v="21316.013180000002"/>
    <n v="13251.109900000001"/>
    <n v="0"/>
    <n v="1314.0490656390987"/>
    <n v="0"/>
    <n v="0"/>
    <n v="0"/>
    <n v="2747.0013726557841"/>
    <n v="12377.885208365396"/>
    <n v="3914.9323568790696"/>
    <n v="0"/>
    <n v="0"/>
    <n v="0"/>
    <n v="0"/>
    <n v="0"/>
    <n v="203.08098850036623"/>
    <m/>
    <n v="49.9707710994271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9.25156859788683"/>
    <n v="0"/>
    <n v="7.8"/>
    <n v="34.36"/>
    <n v="3823.51"/>
    <n v="92"/>
    <m/>
    <m/>
    <m/>
    <m/>
    <m/>
    <m/>
    <m/>
    <m/>
    <m/>
    <n v="4624.1839254769566"/>
    <m/>
    <m/>
    <m/>
    <m/>
    <m/>
    <m/>
    <m/>
    <m/>
    <m/>
    <m/>
    <m/>
    <m/>
    <n v="13252.995999999999"/>
    <n v="-8063.0471799999978"/>
    <m/>
    <m/>
    <m/>
    <m/>
    <n v="-8064.9032800000014"/>
    <n v="0"/>
    <n v="29"/>
    <n v="-347.63474778729142"/>
    <n v="0"/>
    <n v="0"/>
    <n v="0"/>
    <n v="0"/>
    <n v="0"/>
    <n v="0"/>
    <n v="0"/>
    <n v="-252.87964760423574"/>
    <n v="0"/>
    <n v="0"/>
    <n v="0"/>
    <n v="0"/>
    <n v="0"/>
    <n v="0"/>
    <n v="0"/>
    <n v="0"/>
    <n v="-81.272206937882402"/>
    <m/>
    <n v="0"/>
    <n v="0"/>
    <n v="0"/>
    <n v="0"/>
    <n v="-10.887658202410762"/>
    <n v="-2.5952350427623898"/>
    <n v="0"/>
    <n v="0"/>
    <m/>
    <m/>
    <m/>
    <n v="12377.885208365396"/>
    <n v="0"/>
    <n v="0"/>
    <n v="-8064.9032800000004"/>
    <n v="0"/>
    <n v="0"/>
    <n v="0"/>
    <n v="-7717.3257052859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46.72"/>
    <n v="196.45"/>
    <n v="31181.99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29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4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33.96"/>
    <n v="142.72999999999999"/>
    <n v="22658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n v="29"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5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4.319"/>
    <n v="4.0598599999999996"/>
    <n v="4.319"/>
    <n v="4.0598599999999996"/>
    <m/>
    <n v="825.6"/>
    <n v="185.74"/>
    <m/>
    <n v="4367.9774600000001"/>
    <n v="4367.9774600000001"/>
    <n v="2715.3552999999997"/>
    <n v="0"/>
    <n v="269.26877233454792"/>
    <n v="0"/>
    <n v="0"/>
    <n v="0"/>
    <n v="562.90263929877733"/>
    <n v="2536.4181911529222"/>
    <n v="802.22957960623899"/>
    <n v="0"/>
    <n v="0"/>
    <n v="0"/>
    <n v="0"/>
    <n v="0"/>
    <n v="41.614403820898687"/>
    <m/>
    <n v="10.239776077165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33650542175229"/>
    <n v="0"/>
    <n v="1.44"/>
    <n v="6.15"/>
    <n v="0"/>
    <n v="5"/>
    <m/>
    <m/>
    <m/>
    <m/>
    <n v="162.92131800000021"/>
    <m/>
    <m/>
    <m/>
    <m/>
    <n v="947.56608502799122"/>
    <m/>
    <m/>
    <m/>
    <m/>
    <m/>
    <m/>
    <m/>
    <m/>
    <m/>
    <m/>
    <m/>
    <m/>
    <n v="2552.5219999999999"/>
    <n v="-1553.4068124000005"/>
    <m/>
    <m/>
    <m/>
    <m/>
    <n v="-1652.6221600000001"/>
    <n v="0"/>
    <n v="29"/>
    <n v="-71.235682293177888"/>
    <n v="0"/>
    <n v="0"/>
    <n v="0"/>
    <n v="0"/>
    <n v="0"/>
    <n v="0"/>
    <n v="0"/>
    <n v="-51.818911515049308"/>
    <n v="0"/>
    <n v="0"/>
    <n v="0"/>
    <n v="0"/>
    <n v="0"/>
    <n v="0"/>
    <n v="0"/>
    <n v="0"/>
    <n v="-16.65391952197723"/>
    <m/>
    <n v="0"/>
    <n v="0"/>
    <n v="0"/>
    <n v="0"/>
    <n v="-2.2310478614704152"/>
    <n v="-0.53180339468096882"/>
    <n v="0"/>
    <n v="0"/>
    <m/>
    <m/>
    <m/>
    <n v="2536.4181911529222"/>
    <n v="0"/>
    <n v="0"/>
    <n v="-1652.6221600000001"/>
    <n v="0"/>
    <n v="0"/>
    <n v="0"/>
    <n v="-1581.3981933448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6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0.98899999999999999"/>
    <n v="0.98899999999999999"/>
    <n v="0.98899999999999999"/>
    <n v="0.98899999999999999"/>
    <m/>
    <n v="825.6"/>
    <n v="185.74"/>
    <m/>
    <n v="1000.2152600000001"/>
    <n v="1000.2152600000001"/>
    <n v="621.78430000000003"/>
    <n v="0"/>
    <n v="61.659369261140988"/>
    <n v="0"/>
    <n v="0"/>
    <n v="0"/>
    <n v="128.89805748240121"/>
    <n v="580.80981501510541"/>
    <n v="183.70110077114387"/>
    <n v="0"/>
    <n v="0"/>
    <n v="0"/>
    <n v="0"/>
    <n v="0"/>
    <n v="9.5292070800807611"/>
    <m/>
    <n v="2.3447878074362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280343566129432"/>
    <n v="0"/>
    <n v="0.35"/>
    <n v="1.62"/>
    <n v="254.7"/>
    <n v="4"/>
    <m/>
    <m/>
    <m/>
    <m/>
    <m/>
    <m/>
    <m/>
    <m/>
    <m/>
    <n v="216.9814443372733"/>
    <m/>
    <m/>
    <m/>
    <m/>
    <m/>
    <m/>
    <m/>
    <m/>
    <m/>
    <m/>
    <m/>
    <m/>
    <n v="622.41300000000001"/>
    <n v="-377.83226000000002"/>
    <m/>
    <m/>
    <m/>
    <m/>
    <n v="-378.43096000000003"/>
    <n v="0"/>
    <n v="29"/>
    <n v="-16.312130073617254"/>
    <n v="0"/>
    <n v="0"/>
    <n v="0"/>
    <n v="0"/>
    <n v="0"/>
    <n v="0"/>
    <n v="0"/>
    <n v="-11.865918844265764"/>
    <n v="0"/>
    <n v="0"/>
    <n v="0"/>
    <n v="0"/>
    <n v="0"/>
    <n v="0"/>
    <n v="0"/>
    <n v="0"/>
    <n v="-3.8135509162388317"/>
    <m/>
    <n v="0"/>
    <n v="0"/>
    <n v="0"/>
    <n v="0"/>
    <n v="-0.51088361541890492"/>
    <n v="-0.12177669769378952"/>
    <n v="0"/>
    <n v="0"/>
    <m/>
    <m/>
    <m/>
    <n v="580.80981501510541"/>
    <n v="0"/>
    <n v="0"/>
    <n v="-378.43096000000008"/>
    <n v="0"/>
    <n v="0"/>
    <n v="0"/>
    <n v="-362.12151266915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7"/>
    <s v="Regular"/>
    <s v="Convencional"/>
    <s v="B3"/>
    <s v="Serviço público"/>
    <s v="Tração elétrica"/>
    <s v="Não se aplica"/>
    <s v="Não se aplica"/>
    <s v="Não se aplica"/>
    <s v="CATIVO"/>
    <x v="5"/>
    <n v="0"/>
    <n v="0"/>
    <n v="0.06"/>
    <n v="0.06"/>
    <n v="0.06"/>
    <n v="0.06"/>
    <m/>
    <n v="825.6"/>
    <n v="185.74"/>
    <m/>
    <n v="60.680400000000006"/>
    <n v="60.680400000000006"/>
    <n v="37.721999999999994"/>
    <n v="0"/>
    <n v="3.7407099652866118"/>
    <n v="0"/>
    <n v="0"/>
    <n v="0"/>
    <n v="7.81990237506984"/>
    <n v="35.236186957438143"/>
    <n v="11.14465727630802"/>
    <n v="0"/>
    <n v="0"/>
    <n v="0"/>
    <n v="0"/>
    <n v="0"/>
    <n v="0.57811165298771039"/>
    <m/>
    <n v="0.14225204089603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9029943344556"/>
    <n v="0"/>
    <n v="0.02"/>
    <n v="0.1"/>
    <n v="0"/>
    <n v="1"/>
    <m/>
    <m/>
    <m/>
    <m/>
    <m/>
    <m/>
    <m/>
    <m/>
    <m/>
    <n v="13.163687219652576"/>
    <m/>
    <m/>
    <m/>
    <m/>
    <m/>
    <m/>
    <m/>
    <m/>
    <m/>
    <m/>
    <m/>
    <m/>
    <n v="37.721999999999994"/>
    <n v="-22.988400000000006"/>
    <m/>
    <m/>
    <m/>
    <m/>
    <n v="-22.958400000000001"/>
    <n v="0"/>
    <n v="29"/>
    <n v="-0.98961355350559899"/>
    <n v="0"/>
    <n v="0"/>
    <n v="0"/>
    <n v="0"/>
    <n v="0"/>
    <n v="0"/>
    <n v="0"/>
    <n v="-0.71987374181592045"/>
    <n v="0"/>
    <n v="0"/>
    <n v="0"/>
    <n v="0"/>
    <n v="0"/>
    <n v="0"/>
    <n v="0"/>
    <n v="0"/>
    <n v="-0.23135799289618797"/>
    <m/>
    <n v="0"/>
    <n v="0"/>
    <n v="0"/>
    <n v="0"/>
    <n v="-3.0993950379306523E-2"/>
    <n v="-7.3878684141834017E-3"/>
    <n v="0"/>
    <n v="0"/>
    <m/>
    <m/>
    <m/>
    <n v="35.236186957438143"/>
    <n v="0"/>
    <n v="0"/>
    <n v="-22.958400000000005"/>
    <n v="0"/>
    <n v="0"/>
    <n v="0"/>
    <n v="-21.96894920136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8"/>
    <s v="Regular"/>
    <s v="Convencional"/>
    <s v="B1"/>
    <s v="Residencial"/>
    <s v="Residencial"/>
    <s v="Não se aplica"/>
    <s v="Não se aplica"/>
    <s v="Não se aplica"/>
    <s v="CATIVO"/>
    <x v="6"/>
    <n v="0"/>
    <n v="0"/>
    <n v="1452.6479999999999"/>
    <n v="1452.6479999999999"/>
    <n v="1452.6479999999999"/>
    <n v="1452.6479999999999"/>
    <m/>
    <n v="825.6"/>
    <n v="185.74"/>
    <m/>
    <n v="1469121.0283199998"/>
    <n v="1469121.0283199998"/>
    <n v="913279.79759999993"/>
    <n v="0"/>
    <n v="90565.580827561091"/>
    <n v="0"/>
    <n v="0"/>
    <n v="0"/>
    <n v="189326.09242234088"/>
    <n v="853096.27518914337"/>
    <n v="269821.06838523824"/>
    <n v="0"/>
    <n v="0"/>
    <n v="0"/>
    <n v="0"/>
    <n v="0"/>
    <n v="13996.54560815486"/>
    <m/>
    <n v="3444.0357117256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882.330152326373"/>
    <n v="0"/>
    <n v="402.78"/>
    <n v="2030.13"/>
    <n v="243442.36"/>
    <n v="8203"/>
    <m/>
    <m/>
    <m/>
    <m/>
    <m/>
    <m/>
    <m/>
    <m/>
    <m/>
    <n v="318703.39853756462"/>
    <m/>
    <m/>
    <m/>
    <m/>
    <m/>
    <m/>
    <m/>
    <m/>
    <m/>
    <m/>
    <m/>
    <m/>
    <n v="913281.05500000005"/>
    <n v="-555840.00331999979"/>
    <m/>
    <m/>
    <m/>
    <m/>
    <n v="-555841.23071999999"/>
    <n v="0"/>
    <n v="31"/>
    <n v="-23959.335821213201"/>
    <n v="0"/>
    <n v="0"/>
    <n v="0"/>
    <n v="0"/>
    <n v="0"/>
    <n v="0"/>
    <n v="0"/>
    <n v="-17428.719188356888"/>
    <n v="0"/>
    <n v="0"/>
    <n v="0"/>
    <n v="0"/>
    <n v="0"/>
    <n v="0"/>
    <n v="0"/>
    <n v="0"/>
    <n v="-5601.3620944110153"/>
    <m/>
    <n v="0"/>
    <n v="0"/>
    <n v="0"/>
    <n v="0"/>
    <n v="-750.38833384331701"/>
    <n v="-178.86620460211134"/>
    <n v="0"/>
    <n v="0"/>
    <m/>
    <m/>
    <m/>
    <n v="853096.27518914337"/>
    <n v="0"/>
    <n v="0"/>
    <n v="-555841.23071999999"/>
    <n v="0"/>
    <n v="0"/>
    <n v="0"/>
    <n v="-531885.83532439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49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3.2749999999999999"/>
    <n v="-3.2749999999999999"/>
    <n v="-3.2749999999999999"/>
    <n v="-3.2749999999999999"/>
    <m/>
    <n v="825.6"/>
    <n v="185.74"/>
    <m/>
    <n v="-3312.1385"/>
    <n v="-3312.1385"/>
    <n v="-2058.9924999999998"/>
    <n v="0"/>
    <n v="-204.18041893856088"/>
    <n v="0"/>
    <n v="0"/>
    <n v="0"/>
    <n v="-426.83633797256209"/>
    <n v="-1923.3085380934986"/>
    <n v="-608.31254299847944"/>
    <n v="0"/>
    <n v="0"/>
    <n v="0"/>
    <n v="0"/>
    <n v="0"/>
    <n v="-31.555261058912528"/>
    <m/>
    <n v="-7.7645905655749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0.20538440755701"/>
    <n v="0"/>
    <n v="-1.32"/>
    <n v="-6.33"/>
    <n v="-698.75"/>
    <n v="0"/>
    <m/>
    <m/>
    <m/>
    <m/>
    <m/>
    <m/>
    <m/>
    <m/>
    <m/>
    <n v="-718.51792740603651"/>
    <m/>
    <m/>
    <m/>
    <m/>
    <m/>
    <m/>
    <m/>
    <m/>
    <m/>
    <m/>
    <m/>
    <m/>
    <n v="-2062.136"/>
    <n v="1249.9724999999994"/>
    <m/>
    <m/>
    <m/>
    <m/>
    <n v="1253.1460000000002"/>
    <n v="0"/>
    <n v="31"/>
    <n v="54.016406462180157"/>
    <n v="0"/>
    <n v="0"/>
    <n v="0"/>
    <n v="0"/>
    <n v="0"/>
    <n v="0"/>
    <n v="0"/>
    <n v="39.29310840745228"/>
    <n v="0"/>
    <n v="0"/>
    <n v="0"/>
    <n v="0"/>
    <n v="0"/>
    <n v="0"/>
    <n v="0"/>
    <n v="0"/>
    <n v="12.628290445583588"/>
    <m/>
    <n v="0"/>
    <n v="0"/>
    <n v="0"/>
    <n v="0"/>
    <n v="1.691753124870484"/>
    <n v="0.40325448427417676"/>
    <n v="0"/>
    <n v="0"/>
    <m/>
    <m/>
    <m/>
    <n v="-1923.3085380934986"/>
    <n v="0"/>
    <n v="0"/>
    <n v="1253.1460000000002"/>
    <n v="0"/>
    <n v="0"/>
    <n v="0"/>
    <n v="1199.138477241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0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8.681999999999999"/>
    <n v="28.681999999999999"/>
    <n v="28.681999999999999"/>
    <n v="28.681999999999999"/>
    <m/>
    <n v="825.6"/>
    <n v="185.74"/>
    <m/>
    <n v="29007.25388"/>
    <n v="29007.25388"/>
    <n v="18032.3734"/>
    <n v="0"/>
    <n v="1788.1840537391765"/>
    <n v="0"/>
    <n v="0"/>
    <n v="0"/>
    <n v="3738.173998695886"/>
    <n v="16844.07190522068"/>
    <n v="5327.5176666511106"/>
    <n v="0"/>
    <n v="0"/>
    <n v="0"/>
    <n v="0"/>
    <n v="0"/>
    <n v="276.35664051655851"/>
    <m/>
    <n v="68.00121728299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5.16361391680925"/>
    <n v="0"/>
    <n v="8.14"/>
    <n v="37.94"/>
    <n v="10999.46"/>
    <n v="76"/>
    <m/>
    <m/>
    <m/>
    <m/>
    <m/>
    <m/>
    <m/>
    <m/>
    <m/>
    <n v="6292.6812805679201"/>
    <m/>
    <m/>
    <m/>
    <m/>
    <m/>
    <m/>
    <m/>
    <m/>
    <m/>
    <m/>
    <m/>
    <m/>
    <n v="18031.115999999998"/>
    <n v="-10976.167879999997"/>
    <m/>
    <m/>
    <m/>
    <m/>
    <n v="-10974.88048"/>
    <n v="0"/>
    <n v="31"/>
    <n v="-473.06826569412442"/>
    <n v="0"/>
    <n v="0"/>
    <n v="0"/>
    <n v="0"/>
    <n v="0"/>
    <n v="0"/>
    <n v="0"/>
    <n v="-344.12364437940369"/>
    <n v="0"/>
    <n v="0"/>
    <n v="0"/>
    <n v="0"/>
    <n v="0"/>
    <n v="0"/>
    <n v="0"/>
    <n v="0"/>
    <n v="-110.59683253747426"/>
    <m/>
    <n v="0"/>
    <n v="0"/>
    <n v="0"/>
    <n v="0"/>
    <n v="-14.816141412987861"/>
    <n v="-3.531647364260138"/>
    <n v="0"/>
    <n v="0"/>
    <m/>
    <m/>
    <m/>
    <n v="16844.07190522068"/>
    <n v="0"/>
    <n v="0"/>
    <n v="-10974.88048"/>
    <n v="0"/>
    <n v="0"/>
    <n v="0"/>
    <n v="-10501.890016558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1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6.54"/>
    <n v="6.54"/>
    <n v="6.54"/>
    <n v="6.54"/>
    <m/>
    <n v="753.62"/>
    <n v="185.74"/>
    <m/>
    <n v="6143.4143999999997"/>
    <n v="6143.4143999999997"/>
    <n v="3669.5286000000006"/>
    <n v="0"/>
    <n v="0"/>
    <n v="0"/>
    <n v="0"/>
    <n v="0"/>
    <n v="852.36935888261257"/>
    <n v="3840.7443783607573"/>
    <n v="1214.7676431175742"/>
    <n v="0"/>
    <n v="0"/>
    <n v="0"/>
    <n v="0"/>
    <n v="0"/>
    <n v="0"/>
    <m/>
    <n v="15.50547245766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.0742638245566"/>
    <n v="0"/>
    <n v="0"/>
    <n v="2.1800000000000002"/>
    <n v="174.4"/>
    <n v="13"/>
    <m/>
    <m/>
    <m/>
    <m/>
    <m/>
    <m/>
    <m/>
    <n v="2385.2034000000003"/>
    <m/>
    <n v="1434.8419069421307"/>
    <m/>
    <m/>
    <m/>
    <m/>
    <m/>
    <m/>
    <m/>
    <m/>
    <m/>
    <m/>
    <m/>
    <m/>
    <n v="1284.3252"/>
    <n v="-865.92600000000016"/>
    <m/>
    <m/>
    <m/>
    <m/>
    <n v="-2473.8858"/>
    <n v="0"/>
    <n v="31"/>
    <n v="-79.271515515081319"/>
    <n v="0"/>
    <n v="0"/>
    <n v="0"/>
    <n v="0"/>
    <n v="0"/>
    <n v="0"/>
    <n v="0"/>
    <n v="-78.466237857935312"/>
    <n v="0"/>
    <n v="0"/>
    <n v="0"/>
    <n v="0"/>
    <n v="0"/>
    <n v="0"/>
    <n v="0"/>
    <n v="0"/>
    <n v="0"/>
    <m/>
    <n v="0"/>
    <n v="0"/>
    <n v="0"/>
    <n v="0"/>
    <n v="0"/>
    <n v="-0.80527765714598942"/>
    <n v="0"/>
    <n v="0"/>
    <m/>
    <m/>
    <m/>
    <n v="3840.7443783607573"/>
    <n v="0"/>
    <n v="0"/>
    <n v="-2473.8857999999996"/>
    <n v="0"/>
    <n v="0"/>
    <n v="0"/>
    <n v="-2394.6154629487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2"/>
    <s v="Sistema de Compensação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03"/>
    <n v="1.0500000000000001E-2"/>
    <n v="0.03"/>
    <n v="1.0500000000000001E-2"/>
    <m/>
    <n v="753.62"/>
    <n v="185.74"/>
    <m/>
    <n v="28.180799999999998"/>
    <n v="28.180799999999998"/>
    <n v="16.832700000000003"/>
    <n v="0"/>
    <n v="0"/>
    <n v="0"/>
    <n v="0"/>
    <n v="0"/>
    <n v="3.90995118753492"/>
    <n v="17.618093478719071"/>
    <n v="5.5723286381540102"/>
    <n v="0"/>
    <n v="0"/>
    <n v="0"/>
    <n v="0"/>
    <n v="0"/>
    <n v="0"/>
    <m/>
    <n v="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9514971672278"/>
    <n v="0"/>
    <n v="0"/>
    <n v="0.01"/>
    <n v="0.8"/>
    <n v="0"/>
    <m/>
    <m/>
    <m/>
    <m/>
    <m/>
    <m/>
    <m/>
    <n v="14.770709999999999"/>
    <m/>
    <n v="6.5818436098262882"/>
    <m/>
    <m/>
    <m/>
    <m/>
    <m/>
    <m/>
    <m/>
    <m/>
    <m/>
    <m/>
    <m/>
    <m/>
    <n v="1.9638"/>
    <n v="-1.5183899999999997"/>
    <m/>
    <m/>
    <m/>
    <m/>
    <n v="-11.348099999999999"/>
    <n v="0"/>
    <n v="31"/>
    <n v="-0.36363080511505075"/>
    <n v="0"/>
    <n v="0"/>
    <n v="0"/>
    <n v="0"/>
    <n v="0"/>
    <n v="0"/>
    <n v="0"/>
    <n v="-0.35993687090796023"/>
    <n v="0"/>
    <n v="0"/>
    <n v="0"/>
    <n v="0"/>
    <n v="0"/>
    <n v="0"/>
    <n v="0"/>
    <n v="0"/>
    <n v="0"/>
    <m/>
    <n v="0"/>
    <n v="0"/>
    <n v="0"/>
    <n v="0"/>
    <n v="0"/>
    <n v="-3.6939342070917008E-3"/>
    <n v="0"/>
    <n v="0"/>
    <m/>
    <m/>
    <m/>
    <n v="17.618093478719071"/>
    <n v="0"/>
    <n v="0"/>
    <n v="-11.348099999999999"/>
    <n v="0"/>
    <n v="0"/>
    <n v="0"/>
    <n v="-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3.773"/>
    <n v="13.773"/>
    <n v="13.773"/>
    <n v="13.773"/>
    <m/>
    <n v="753.62"/>
    <n v="185.74"/>
    <m/>
    <n v="12937.805279999999"/>
    <n v="12937.805279999999"/>
    <n v="7727.89257"/>
    <n v="0"/>
    <n v="0"/>
    <n v="0"/>
    <n v="0"/>
    <n v="0"/>
    <n v="1795.0585901972818"/>
    <n v="8088.4667160799254"/>
    <n v="2558.2560777765061"/>
    <n v="0"/>
    <n v="0"/>
    <n v="0"/>
    <n v="0"/>
    <n v="0"/>
    <n v="0"/>
    <m/>
    <n v="32.65395598768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3.46832349474283"/>
    <n v="0"/>
    <n v="1.9"/>
    <n v="7.92"/>
    <n v="633.51"/>
    <n v="23"/>
    <m/>
    <m/>
    <m/>
    <m/>
    <m/>
    <m/>
    <m/>
    <n v="3091.0743900000002"/>
    <m/>
    <n v="3021.724401271249"/>
    <m/>
    <m/>
    <m/>
    <m/>
    <m/>
    <m/>
    <m/>
    <m/>
    <m/>
    <m/>
    <m/>
    <m/>
    <n v="4635.8082000000004"/>
    <n v="-3126.9600600000003"/>
    <m/>
    <m/>
    <m/>
    <m/>
    <n v="-5209.9127099999996"/>
    <n v="0"/>
    <n v="31"/>
    <n v="-166.94290262831964"/>
    <n v="0"/>
    <n v="0"/>
    <n v="0"/>
    <n v="0"/>
    <n v="0"/>
    <n v="0"/>
    <n v="0"/>
    <n v="-165.24701743384435"/>
    <n v="0"/>
    <n v="0"/>
    <n v="0"/>
    <n v="0"/>
    <n v="0"/>
    <n v="0"/>
    <n v="0"/>
    <n v="0"/>
    <n v="0"/>
    <m/>
    <n v="0"/>
    <n v="0"/>
    <n v="0"/>
    <n v="0"/>
    <n v="0"/>
    <n v="-1.6958851944757996"/>
    <n v="0"/>
    <n v="0"/>
    <m/>
    <m/>
    <m/>
    <n v="8088.4667160799254"/>
    <n v="0"/>
    <n v="0"/>
    <n v="-5209.9127099999987"/>
    <n v="0"/>
    <n v="0"/>
    <n v="0"/>
    <n v="-5042.972289173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4"/>
    <s v="Sistema de Compensação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6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55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5.63"/>
    <n v="15.63"/>
    <n v="15.63"/>
    <n v="15.63"/>
    <m/>
    <n v="753.62"/>
    <n v="185.74"/>
    <m/>
    <n v="14682.196800000002"/>
    <n v="14682.196800000002"/>
    <n v="8769.8366999999998"/>
    <n v="0"/>
    <n v="0"/>
    <n v="0"/>
    <n v="0"/>
    <n v="0"/>
    <n v="2037.0845687056935"/>
    <n v="9179.026702412637"/>
    <n v="2903.1832204782395"/>
    <n v="0"/>
    <n v="0"/>
    <n v="0"/>
    <n v="0"/>
    <n v="0"/>
    <n v="0"/>
    <m/>
    <n v="37.056656653415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95730024125692"/>
    <n v="0"/>
    <n v="2.5099999999999998"/>
    <n v="14.55"/>
    <n v="1825.39"/>
    <n v="99"/>
    <m/>
    <m/>
    <m/>
    <m/>
    <m/>
    <m/>
    <m/>
    <n v="876.84300000000087"/>
    <m/>
    <n v="3429.1405207194966"/>
    <m/>
    <m/>
    <m/>
    <m/>
    <m/>
    <m/>
    <m/>
    <m/>
    <m/>
    <m/>
    <m/>
    <m/>
    <n v="7892.9937000000009"/>
    <n v="-5321.1072000000004"/>
    <m/>
    <m/>
    <m/>
    <m/>
    <n v="-5912.3600999999999"/>
    <n v="0"/>
    <n v="31"/>
    <n v="-189.45164946494151"/>
    <n v="0"/>
    <n v="0"/>
    <n v="0"/>
    <n v="0"/>
    <n v="0"/>
    <n v="0"/>
    <n v="0"/>
    <n v="-187.52710974304728"/>
    <n v="0"/>
    <n v="0"/>
    <n v="0"/>
    <n v="0"/>
    <n v="0"/>
    <n v="0"/>
    <n v="0"/>
    <n v="0"/>
    <n v="0"/>
    <m/>
    <n v="0"/>
    <n v="0"/>
    <n v="0"/>
    <n v="0"/>
    <n v="0"/>
    <n v="-1.9245397218947744"/>
    <n v="0"/>
    <n v="0"/>
    <m/>
    <m/>
    <m/>
    <n v="9179.026702412637"/>
    <n v="0"/>
    <n v="0"/>
    <n v="-5912.3601000000008"/>
    <n v="0"/>
    <n v="0"/>
    <n v="0"/>
    <n v="-5722.9112669554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6"/>
    <s v="Sistema de Compensação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.2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57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8.2520000000000007"/>
    <n v="8.2520000000000007"/>
    <n v="8.2520000000000007"/>
    <n v="8.2520000000000007"/>
    <m/>
    <n v="753.62"/>
    <n v="185.74"/>
    <m/>
    <n v="7751.5987200000009"/>
    <n v="7751.5987200000009"/>
    <n v="4630.1146800000006"/>
    <n v="0"/>
    <n v="0"/>
    <n v="0"/>
    <n v="0"/>
    <n v="0"/>
    <n v="1075.4972399846056"/>
    <n v="4846.1502462129929"/>
    <n v="1532.7618640682299"/>
    <n v="0"/>
    <n v="0"/>
    <n v="0"/>
    <n v="0"/>
    <n v="0"/>
    <n v="0"/>
    <m/>
    <n v="19.5643973579006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.68391820798797"/>
    <n v="0"/>
    <n v="1.99"/>
    <n v="8.5299999999999994"/>
    <n v="1546.46"/>
    <n v="83"/>
    <m/>
    <m/>
    <m/>
    <m/>
    <m/>
    <m/>
    <m/>
    <m/>
    <m/>
    <n v="1810.4457822762179"/>
    <m/>
    <m/>
    <m/>
    <m/>
    <m/>
    <m/>
    <m/>
    <m/>
    <m/>
    <m/>
    <m/>
    <m/>
    <n v="4628.9925000000003"/>
    <n v="-3122.6362200000012"/>
    <m/>
    <m/>
    <m/>
    <m/>
    <n v="-3121.4840400000003"/>
    <n v="0"/>
    <n v="31"/>
    <n v="-100.02271346031375"/>
    <n v="0"/>
    <n v="0"/>
    <n v="0"/>
    <n v="0"/>
    <n v="0"/>
    <n v="0"/>
    <n v="0"/>
    <n v="-99.006635291083057"/>
    <n v="0"/>
    <n v="0"/>
    <n v="0"/>
    <n v="0"/>
    <n v="0"/>
    <n v="0"/>
    <n v="0"/>
    <n v="0"/>
    <n v="0"/>
    <m/>
    <n v="0"/>
    <n v="0"/>
    <n v="0"/>
    <n v="0"/>
    <n v="0"/>
    <n v="-1.0160781692306919"/>
    <n v="0"/>
    <n v="0"/>
    <m/>
    <m/>
    <m/>
    <n v="4846.1502462129929"/>
    <n v="0"/>
    <n v="0"/>
    <n v="-3121.4840400000003"/>
    <n v="0"/>
    <n v="0"/>
    <n v="0"/>
    <n v="-3021.462813494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58"/>
    <s v="Sistema de Compensação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59"/>
    <s v="Regular"/>
    <s v="Branca"/>
    <s v="B1"/>
    <s v="Residencial"/>
    <s v="Residencial"/>
    <s v="Não se aplica"/>
    <s v="Não se aplica"/>
    <s v="Ponta"/>
    <s v="CATIVO"/>
    <x v="6"/>
    <n v="0"/>
    <n v="0"/>
    <n v="1.7999999999999999E-2"/>
    <n v="1.7999999999999999E-2"/>
    <n v="1.7999999999999999E-2"/>
    <n v="1.7999999999999999E-2"/>
    <m/>
    <n v="2045.69"/>
    <n v="185.74"/>
    <m/>
    <n v="40.16574"/>
    <n v="40.16574"/>
    <n v="21.706559999999996"/>
    <n v="0"/>
    <n v="1.1222129895859834"/>
    <n v="0"/>
    <n v="0"/>
    <n v="0"/>
    <n v="6.3370185317694538"/>
    <n v="28.541302531283698"/>
    <n v="3.3433971828924061"/>
    <n v="0"/>
    <n v="0"/>
    <n v="0"/>
    <n v="0"/>
    <n v="0"/>
    <n v="0.17343349589631313"/>
    <m/>
    <n v="4.267561226880905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570898300336673"/>
    <n v="0"/>
    <n v="0"/>
    <n v="0"/>
    <n v="0"/>
    <n v="0"/>
    <m/>
    <m/>
    <m/>
    <m/>
    <m/>
    <m/>
    <m/>
    <m/>
    <m/>
    <n v="3.9491061658957727"/>
    <m/>
    <m/>
    <m/>
    <m/>
    <m/>
    <m/>
    <m/>
    <m/>
    <m/>
    <m/>
    <m/>
    <m/>
    <n v="24.118400000000001"/>
    <n v="-16.077339999999992"/>
    <m/>
    <m/>
    <m/>
    <m/>
    <n v="-18.459180000000003"/>
    <n v="0"/>
    <n v="31"/>
    <n v="-0.66428641835829616"/>
    <n v="0"/>
    <n v="0"/>
    <n v="0"/>
    <n v="0"/>
    <n v="0"/>
    <n v="0"/>
    <n v="0"/>
    <n v="-0.58336447485139242"/>
    <n v="0"/>
    <n v="0"/>
    <n v="0"/>
    <n v="0"/>
    <n v="0"/>
    <n v="0"/>
    <n v="0"/>
    <n v="0"/>
    <n v="-6.9407397868856302E-2"/>
    <m/>
    <n v="0"/>
    <n v="0"/>
    <n v="0"/>
    <n v="0"/>
    <n v="-9.2981851137919902E-3"/>
    <n v="-2.216360524255015E-3"/>
    <n v="0"/>
    <n v="0"/>
    <m/>
    <m/>
    <m/>
    <n v="28.541302531283698"/>
    <n v="0"/>
    <n v="0"/>
    <n v="-18.459180000000003"/>
    <n v="0"/>
    <n v="0"/>
    <n v="0"/>
    <n v="-17.794843301516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0"/>
    <s v="Regular"/>
    <s v="Branca"/>
    <s v="B1"/>
    <s v="Residencial"/>
    <s v="Residencial"/>
    <s v="Não se aplica"/>
    <s v="Não se aplica"/>
    <s v="Fora ponta"/>
    <s v="CATIVO"/>
    <x v="6"/>
    <n v="0"/>
    <n v="0"/>
    <n v="0.64500000000000002"/>
    <n v="0.64500000000000002"/>
    <n v="0.64500000000000002"/>
    <n v="0.64500000000000002"/>
    <m/>
    <n v="495.6"/>
    <n v="185.74"/>
    <m/>
    <n v="439.46430000000004"/>
    <n v="439.46430000000004"/>
    <n v="304.8528"/>
    <n v="0"/>
    <n v="40.212632126831082"/>
    <n v="0"/>
    <n v="0"/>
    <n v="0"/>
    <n v="45.456834440699168"/>
    <n v="204.54584193987921"/>
    <n v="119.80506572031122"/>
    <n v="0"/>
    <n v="0"/>
    <n v="0"/>
    <n v="0"/>
    <n v="0"/>
    <n v="6.2147002696178877"/>
    <m/>
    <n v="1.5292094396323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704571890953979"/>
    <n v="0"/>
    <n v="0"/>
    <n v="0"/>
    <n v="0"/>
    <n v="0"/>
    <m/>
    <m/>
    <m/>
    <m/>
    <m/>
    <m/>
    <m/>
    <m/>
    <m/>
    <n v="141.50963761126519"/>
    <m/>
    <m/>
    <m/>
    <m/>
    <m/>
    <m/>
    <m/>
    <m/>
    <m/>
    <m/>
    <m/>
    <m/>
    <n v="307.21600000000001"/>
    <n v="-132.2783"/>
    <m/>
    <m/>
    <m/>
    <m/>
    <n v="-134.61150000000004"/>
    <n v="0"/>
    <n v="31"/>
    <n v="-7.0843052801961619"/>
    <n v="0"/>
    <n v="0"/>
    <n v="0"/>
    <n v="0"/>
    <n v="0"/>
    <n v="0"/>
    <n v="0"/>
    <n v="-4.1846023045321132"/>
    <n v="0"/>
    <n v="0"/>
    <n v="0"/>
    <n v="0"/>
    <n v="0"/>
    <n v="0"/>
    <n v="0"/>
    <n v="0"/>
    <n v="-2.4870984236340234"/>
    <m/>
    <n v="0"/>
    <n v="0"/>
    <n v="0"/>
    <n v="0"/>
    <n v="-0.33318496657754615"/>
    <n v="-7.9419585452471519E-2"/>
    <n v="0"/>
    <n v="0"/>
    <m/>
    <m/>
    <m/>
    <n v="204.54584193987921"/>
    <n v="0"/>
    <n v="0"/>
    <n v="-134.61150000000004"/>
    <n v="0"/>
    <n v="0"/>
    <n v="0"/>
    <n v="-127.52961086156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1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6"/>
    <n v="0.75"/>
    <n v="103.8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62"/>
    <s v="Regular"/>
    <s v="Convencional"/>
    <s v="B3"/>
    <s v="Industrial"/>
    <s v="Não se aplica"/>
    <s v="Não se aplica"/>
    <s v="Não se aplica"/>
    <s v="Não se aplica"/>
    <s v="CATIVO"/>
    <x v="6"/>
    <n v="0"/>
    <n v="0"/>
    <n v="38.768999999999998"/>
    <n v="38.768999999999998"/>
    <n v="38.768999999999998"/>
    <n v="38.768999999999998"/>
    <m/>
    <n v="825.6"/>
    <n v="185.74"/>
    <m/>
    <n v="39208.640459999995"/>
    <n v="39208.640459999995"/>
    <n v="24374.070299999999"/>
    <n v="0"/>
    <n v="2417.0597440699439"/>
    <n v="0"/>
    <n v="0"/>
    <n v="0"/>
    <n v="5052.8299196513772"/>
    <n v="22767.862202548655"/>
    <n v="7201.1202990864276"/>
    <n v="0"/>
    <n v="0"/>
    <n v="0"/>
    <n v="0"/>
    <n v="0"/>
    <n v="373.54684457800909"/>
    <m/>
    <n v="91.91615622496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4.5961978920848"/>
    <n v="0"/>
    <n v="11.75"/>
    <n v="53.88"/>
    <n v="9981.31"/>
    <n v="44"/>
    <m/>
    <m/>
    <m/>
    <m/>
    <m/>
    <m/>
    <m/>
    <m/>
    <m/>
    <n v="8505.7164969785117"/>
    <m/>
    <m/>
    <m/>
    <m/>
    <m/>
    <m/>
    <m/>
    <m/>
    <m/>
    <m/>
    <m/>
    <m/>
    <n v="24374.699000000001"/>
    <n v="-14833.971460000001"/>
    <m/>
    <m/>
    <m/>
    <m/>
    <n v="-14834.570160000001"/>
    <n v="0"/>
    <n v="31"/>
    <n v="-639.43879759764241"/>
    <n v="0"/>
    <n v="0"/>
    <n v="0"/>
    <n v="0"/>
    <n v="0"/>
    <n v="0"/>
    <n v="0"/>
    <n v="-465.14641827435662"/>
    <n v="0"/>
    <n v="0"/>
    <n v="0"/>
    <n v="0"/>
    <n v="0"/>
    <n v="0"/>
    <n v="0"/>
    <n v="0"/>
    <n v="-149.49196710987144"/>
    <m/>
    <n v="0"/>
    <n v="0"/>
    <n v="0"/>
    <n v="0"/>
    <n v="-20.026741037588977"/>
    <n v="-4.7736711758246031"/>
    <n v="0"/>
    <n v="0"/>
    <m/>
    <m/>
    <m/>
    <n v="22767.862202548655"/>
    <n v="0"/>
    <n v="0"/>
    <n v="-14834.570159999999"/>
    <n v="0"/>
    <n v="0"/>
    <n v="0"/>
    <n v="-14195.23652646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3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3"/>
    <n v="0.3"/>
    <n v="0.3"/>
    <n v="0.3"/>
    <m/>
    <n v="825.6"/>
    <n v="185.74"/>
    <m/>
    <n v="303.40199999999999"/>
    <n v="303.40199999999999"/>
    <n v="188.60999999999999"/>
    <n v="0"/>
    <n v="18.703549826433058"/>
    <n v="0"/>
    <n v="0"/>
    <n v="0"/>
    <n v="39.099511875349201"/>
    <n v="176.18093478719069"/>
    <n v="55.723286381540099"/>
    <n v="0"/>
    <n v="0"/>
    <n v="0"/>
    <n v="0"/>
    <n v="0"/>
    <n v="2.8905582649385519"/>
    <m/>
    <n v="0.71126020448015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9514971672278"/>
    <n v="0"/>
    <n v="0.06"/>
    <n v="0.28999999999999998"/>
    <n v="1572.41"/>
    <n v="3"/>
    <m/>
    <m/>
    <m/>
    <m/>
    <m/>
    <m/>
    <m/>
    <m/>
    <m/>
    <n v="65.818436098262879"/>
    <m/>
    <m/>
    <m/>
    <m/>
    <m/>
    <m/>
    <m/>
    <m/>
    <m/>
    <m/>
    <m/>
    <m/>
    <n v="188.60999999999999"/>
    <n v="-114.82199999999997"/>
    <m/>
    <m/>
    <m/>
    <m/>
    <n v="-114.79200000000002"/>
    <n v="0"/>
    <n v="31"/>
    <n v="-4.948067767528002"/>
    <n v="0"/>
    <n v="0"/>
    <n v="0"/>
    <n v="0"/>
    <n v="0"/>
    <n v="0"/>
    <n v="0"/>
    <n v="-3.5993687090795987"/>
    <n v="0"/>
    <n v="0"/>
    <n v="0"/>
    <n v="0"/>
    <n v="0"/>
    <n v="0"/>
    <n v="0"/>
    <n v="0"/>
    <n v="-1.1567899644809394"/>
    <m/>
    <n v="0"/>
    <n v="0"/>
    <n v="0"/>
    <n v="0"/>
    <n v="-0.15496975189653295"/>
    <n v="-3.6939342070916981E-2"/>
    <n v="0"/>
    <n v="0"/>
    <m/>
    <m/>
    <m/>
    <n v="176.18093478719069"/>
    <n v="0"/>
    <n v="0"/>
    <n v="-114.79200000000003"/>
    <n v="0"/>
    <n v="0"/>
    <n v="0"/>
    <n v="-109.8447460068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4"/>
    <s v="Regular"/>
    <s v="Verde"/>
    <s v="A4"/>
    <s v="Industrial"/>
    <s v="Não se aplica"/>
    <s v="Não se aplica"/>
    <s v="Não se aplica"/>
    <s v="Ponta"/>
    <s v="CATIVO"/>
    <x v="6"/>
    <n v="0"/>
    <n v="0"/>
    <n v="1.3620000000000001"/>
    <n v="1.3620000000000001"/>
    <n v="1.3620000000000001"/>
    <n v="1.3620000000000001"/>
    <m/>
    <n v="4433.21"/>
    <n v="185.74"/>
    <m/>
    <n v="6291.0099000000009"/>
    <n v="6291.0099000000009"/>
    <n v="3283.2644400000004"/>
    <n v="0"/>
    <n v="73.875281104445207"/>
    <n v="0"/>
    <n v="0"/>
    <n v="0"/>
    <n v="1309.7304918517548"/>
    <n v="4622.1970038681075"/>
    <n v="252.98372017219208"/>
    <n v="0"/>
    <n v="0"/>
    <n v="0"/>
    <n v="0"/>
    <n v="0"/>
    <n v="13.123134522821028"/>
    <m/>
    <n v="1.4108704988952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95340712154277"/>
    <n v="0"/>
    <n v="0"/>
    <n v="0"/>
    <n v="0"/>
    <n v="0"/>
    <m/>
    <m/>
    <m/>
    <m/>
    <m/>
    <m/>
    <m/>
    <m/>
    <m/>
    <n v="270.67906088434637"/>
    <m/>
    <m/>
    <m/>
    <m/>
    <m/>
    <m/>
    <m/>
    <m/>
    <m/>
    <m/>
    <m/>
    <m/>
    <n v="3278.4432000000006"/>
    <n v="-3012.596700000001"/>
    <m/>
    <m/>
    <m/>
    <m/>
    <n v="-3007.7454600000001"/>
    <n v="0"/>
    <n v="31"/>
    <n v="-125.9152808852034"/>
    <n v="0"/>
    <n v="0"/>
    <n v="0"/>
    <n v="0"/>
    <n v="0"/>
    <n v="0"/>
    <n v="0"/>
    <n v="-120.56935556453391"/>
    <n v="0"/>
    <n v="0"/>
    <n v="0"/>
    <n v="0"/>
    <n v="0"/>
    <n v="0"/>
    <n v="0"/>
    <n v="0"/>
    <n v="-4.5690890017067858"/>
    <m/>
    <n v="0"/>
    <n v="0"/>
    <n v="0"/>
    <n v="0"/>
    <n v="-0.70356267361025893"/>
    <n v="-7.3273645352539551E-2"/>
    <n v="0"/>
    <n v="0"/>
    <m/>
    <m/>
    <m/>
    <n v="4622.1970038681075"/>
    <n v="0"/>
    <n v="0"/>
    <n v="-3007.7454600000001"/>
    <n v="0"/>
    <n v="0"/>
    <n v="0"/>
    <n v="-2881.833136466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5"/>
    <s v="Regular"/>
    <s v="Verde"/>
    <s v="A4"/>
    <s v="Industrial"/>
    <s v="Não se aplica"/>
    <s v="Não se aplica"/>
    <s v="Não se aplica"/>
    <s v="Fora ponta"/>
    <s v="CATIVO"/>
    <x v="6"/>
    <n v="0"/>
    <n v="0"/>
    <n v="46.277000000000001"/>
    <n v="46.277000000000001"/>
    <n v="46.277000000000001"/>
    <n v="46.277000000000001"/>
    <m/>
    <n v="77.900000000000006"/>
    <n v="185.74"/>
    <m/>
    <n v="12200.468280000001"/>
    <n v="12200.468280000001"/>
    <n v="12019.062440000002"/>
    <n v="0"/>
    <n v="2510.0781084217406"/>
    <n v="0"/>
    <n v="0"/>
    <n v="0"/>
    <n v="0"/>
    <n v="0"/>
    <n v="8595.6884129284372"/>
    <n v="0"/>
    <n v="0"/>
    <n v="0"/>
    <n v="0"/>
    <n v="0"/>
    <n v="445.8878827552046"/>
    <m/>
    <n v="47.937484638306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1.2388268255238"/>
    <n v="0"/>
    <n v="0"/>
    <n v="0"/>
    <n v="0"/>
    <n v="0"/>
    <m/>
    <m/>
    <m/>
    <m/>
    <m/>
    <m/>
    <m/>
    <m/>
    <m/>
    <n v="9196.9272397539607"/>
    <m/>
    <m/>
    <m/>
    <m/>
    <m/>
    <m/>
    <m/>
    <m/>
    <m/>
    <m/>
    <m/>
    <m/>
    <n v="12019.841600000002"/>
    <n v="-180.65668000000005"/>
    <m/>
    <m/>
    <m/>
    <m/>
    <n v="-181.40584000000007"/>
    <n v="0"/>
    <n v="31"/>
    <n v="-181.63978418842089"/>
    <n v="0"/>
    <n v="0"/>
    <n v="0"/>
    <n v="0"/>
    <n v="0"/>
    <n v="0"/>
    <n v="0"/>
    <n v="0"/>
    <n v="0"/>
    <n v="0"/>
    <n v="0"/>
    <n v="0"/>
    <n v="0"/>
    <n v="0"/>
    <n v="0"/>
    <n v="0"/>
    <n v="-155.24503064022383"/>
    <m/>
    <n v="0"/>
    <n v="0"/>
    <n v="0"/>
    <n v="0"/>
    <n v="-23.905117361719533"/>
    <n v="-2.4896361864753871"/>
    <n v="0"/>
    <n v="0"/>
    <m/>
    <m/>
    <m/>
    <n v="0"/>
    <n v="0"/>
    <n v="0"/>
    <n v="-181.405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6"/>
    <s v="Regular"/>
    <s v="Verde"/>
    <s v="A4"/>
    <s v="Industrial"/>
    <s v="Não se aplica"/>
    <s v="Não se aplica"/>
    <s v="Não se aplica"/>
    <s v="Não se aplica"/>
    <s v="CATIVO"/>
    <x v="6"/>
    <n v="339"/>
    <n v="339"/>
    <n v="0"/>
    <n v="0"/>
    <n v="0"/>
    <n v="0"/>
    <n v="55.59"/>
    <m/>
    <m/>
    <n v="18845.010000000002"/>
    <m/>
    <n v="18845.010000000002"/>
    <n v="10003.890000000001"/>
    <n v="0"/>
    <n v="0"/>
    <n v="0"/>
    <n v="0"/>
    <n v="0"/>
    <n v="5476.4334106159959"/>
    <n v="13367.0151432950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.29"/>
    <n v="59.87"/>
    <n v="10447.67"/>
    <n v="5"/>
    <m/>
    <m/>
    <m/>
    <m/>
    <m/>
    <m/>
    <m/>
    <m/>
    <m/>
    <n v="0"/>
    <m/>
    <m/>
    <m/>
    <m/>
    <m/>
    <m/>
    <m/>
    <m/>
    <m/>
    <m/>
    <m/>
    <m/>
    <n v="10003.890000000001"/>
    <n v="-8841.149999999996"/>
    <m/>
    <m/>
    <m/>
    <m/>
    <n v="-8841.1200000000008"/>
    <n v="0"/>
    <n v="31"/>
    <n v="-504.14192172965886"/>
    <n v="0"/>
    <n v="0"/>
    <n v="0"/>
    <n v="0"/>
    <m/>
    <m/>
    <m/>
    <n v="-504.141921729658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367.015143295093"/>
    <m/>
    <n v="0"/>
    <n v="0"/>
    <n v="-8841.1200000000008"/>
    <m/>
    <n v="0"/>
    <m/>
    <n v="-8334.0253873561924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267"/>
    <s v="Regular"/>
    <s v="Convencional"/>
    <s v="B3"/>
    <s v="Comercial"/>
    <s v="Não se aplica"/>
    <s v="Não se aplica"/>
    <s v="Não se aplica"/>
    <s v="Não se aplica"/>
    <s v="CATIVO"/>
    <x v="6"/>
    <n v="0"/>
    <n v="0"/>
    <n v="174.095"/>
    <n v="174.095"/>
    <n v="174.095"/>
    <n v="174.095"/>
    <m/>
    <n v="825.6"/>
    <n v="185.74"/>
    <m/>
    <n v="176069.23730000001"/>
    <n v="176069.23730000001"/>
    <n v="109453.52649999999"/>
    <n v="0"/>
    <n v="10853.981690109546"/>
    <n v="0"/>
    <n v="0"/>
    <n v="0"/>
    <n v="22690.098399796399"/>
    <n v="102240.73280591989"/>
    <n v="32337.151808647413"/>
    <n v="0"/>
    <n v="0"/>
    <n v="0"/>
    <n v="0"/>
    <n v="0"/>
    <n v="1677.4391371149241"/>
    <m/>
    <n v="412.75615099657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58.3836331095081"/>
    <n v="0"/>
    <n v="51.89"/>
    <n v="242.14"/>
    <n v="43330.27"/>
    <n v="365"/>
    <m/>
    <m/>
    <m/>
    <m/>
    <m/>
    <m/>
    <m/>
    <m/>
    <m/>
    <n v="38195.535441756918"/>
    <m/>
    <m/>
    <m/>
    <m/>
    <m/>
    <m/>
    <m/>
    <m/>
    <m/>
    <m/>
    <m/>
    <m/>
    <n v="109456.67"/>
    <n v="-66612.597300000038"/>
    <m/>
    <m/>
    <m/>
    <m/>
    <n v="-66615.710800000001"/>
    <n v="0"/>
    <n v="31"/>
    <n v="-2871.4461932926206"/>
    <n v="0"/>
    <n v="0"/>
    <n v="0"/>
    <n v="0"/>
    <n v="0"/>
    <n v="0"/>
    <n v="0"/>
    <n v="-2088.77365135738"/>
    <n v="0"/>
    <n v="0"/>
    <n v="0"/>
    <n v="0"/>
    <n v="0"/>
    <n v="0"/>
    <n v="0"/>
    <n v="0"/>
    <n v="-671.30449622103151"/>
    <m/>
    <n v="0"/>
    <n v="0"/>
    <n v="0"/>
    <n v="0"/>
    <n v="-89.931529854756263"/>
    <n v="-21.436515859454346"/>
    <n v="0"/>
    <n v="0"/>
    <m/>
    <m/>
    <m/>
    <n v="102240.73280591989"/>
    <n v="0"/>
    <n v="0"/>
    <n v="-66615.710800000001"/>
    <n v="0"/>
    <n v="0"/>
    <n v="0"/>
    <n v="-63744.73685352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8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0.60699999999999998"/>
    <n v="0.60699999999999998"/>
    <n v="0.60699999999999998"/>
    <n v="0.60699999999999998"/>
    <m/>
    <n v="825.6"/>
    <n v="185.74"/>
    <m/>
    <n v="613.88337999999999"/>
    <n v="613.88337999999999"/>
    <n v="381.62090000000001"/>
    <n v="0"/>
    <n v="37.843515815482888"/>
    <n v="0"/>
    <n v="0"/>
    <n v="0"/>
    <n v="79.111345694456546"/>
    <n v="356.47275805274921"/>
    <n v="112.74678277864948"/>
    <n v="0"/>
    <n v="0"/>
    <n v="0"/>
    <n v="0"/>
    <n v="0"/>
    <n v="5.8485628893923369"/>
    <m/>
    <n v="1.439116480398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425852926835759"/>
    <n v="0"/>
    <n v="0.24"/>
    <n v="0.98"/>
    <n v="0"/>
    <n v="0"/>
    <m/>
    <m/>
    <m/>
    <m/>
    <m/>
    <m/>
    <m/>
    <m/>
    <m/>
    <n v="133.17263570548522"/>
    <m/>
    <m/>
    <m/>
    <m/>
    <m/>
    <m/>
    <m/>
    <m/>
    <m/>
    <m/>
    <m/>
    <m/>
    <n v="383.50700000000001"/>
    <n v="-230.40637999999996"/>
    <m/>
    <m/>
    <m/>
    <m/>
    <n v="-232.26248000000001"/>
    <n v="0"/>
    <n v="31"/>
    <n v="-10.011590449631655"/>
    <n v="0"/>
    <n v="0"/>
    <n v="0"/>
    <n v="0"/>
    <n v="0"/>
    <n v="0"/>
    <n v="0"/>
    <n v="-7.2827226880377225"/>
    <n v="0"/>
    <n v="0"/>
    <n v="0"/>
    <n v="0"/>
    <n v="0"/>
    <n v="0"/>
    <n v="0"/>
    <n v="0"/>
    <n v="-2.3405716947997703"/>
    <m/>
    <n v="0"/>
    <n v="0"/>
    <n v="0"/>
    <n v="0"/>
    <n v="-0.31355546467065132"/>
    <n v="-7.4740602123488653E-2"/>
    <n v="0"/>
    <n v="0"/>
    <m/>
    <m/>
    <m/>
    <n v="356.47275805274921"/>
    <n v="0"/>
    <n v="0"/>
    <n v="-232.26248000000004"/>
    <n v="0"/>
    <n v="0"/>
    <n v="0"/>
    <n v="-222.25253608713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69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3.4049999999999998"/>
    <n v="3.4049999999999998"/>
    <n v="3.4049999999999998"/>
    <n v="3.4049999999999998"/>
    <m/>
    <n v="825.6"/>
    <n v="185.74"/>
    <m/>
    <n v="3443.6127000000001"/>
    <n v="3443.6127000000001"/>
    <n v="2140.7235000000001"/>
    <n v="0"/>
    <n v="212.2852905300152"/>
    <n v="0"/>
    <n v="0"/>
    <n v="0"/>
    <n v="443.77945978521342"/>
    <n v="1999.6536098346144"/>
    <n v="632.45930043048008"/>
    <n v="0"/>
    <n v="0"/>
    <n v="0"/>
    <n v="0"/>
    <n v="0"/>
    <n v="32.807836307052568"/>
    <m/>
    <n v="8.0728033208497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57994928480355"/>
    <n v="0"/>
    <n v="0.95"/>
    <n v="4.43"/>
    <n v="2557.5100000000002"/>
    <n v="13"/>
    <m/>
    <m/>
    <m/>
    <m/>
    <m/>
    <m/>
    <m/>
    <m/>
    <m/>
    <n v="747.03924971528363"/>
    <m/>
    <m/>
    <m/>
    <m/>
    <m/>
    <m/>
    <m/>
    <m/>
    <m/>
    <m/>
    <m/>
    <m/>
    <n v="2143.8670000000002"/>
    <n v="-1299.7757000000006"/>
    <m/>
    <m/>
    <m/>
    <m/>
    <n v="-1302.8892000000001"/>
    <n v="0"/>
    <n v="31"/>
    <n v="-56.160569161442709"/>
    <n v="0"/>
    <n v="0"/>
    <n v="0"/>
    <n v="0"/>
    <n v="0"/>
    <n v="0"/>
    <n v="0"/>
    <n v="-40.852834848053476"/>
    <n v="0"/>
    <n v="0"/>
    <n v="0"/>
    <n v="0"/>
    <n v="0"/>
    <n v="0"/>
    <n v="0"/>
    <n v="0"/>
    <n v="-13.129566096858667"/>
    <m/>
    <n v="0"/>
    <n v="0"/>
    <n v="0"/>
    <n v="0"/>
    <n v="-1.75890668402565"/>
    <n v="-0.41926153250490827"/>
    <n v="0"/>
    <n v="0"/>
    <m/>
    <m/>
    <m/>
    <n v="1999.6536098346144"/>
    <n v="0"/>
    <n v="0"/>
    <n v="-1302.8892000000003"/>
    <n v="0"/>
    <n v="0"/>
    <n v="0"/>
    <n v="-1246.7378671774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0"/>
    <s v="Regular"/>
    <s v="Azul"/>
    <s v="A4"/>
    <s v="Comercial"/>
    <s v="Não se aplica"/>
    <s v="Não se aplica"/>
    <s v="Não se aplica"/>
    <s v="Ponta"/>
    <s v="CATIVO"/>
    <x v="6"/>
    <n v="527"/>
    <n v="527"/>
    <n v="33.256"/>
    <n v="33.256"/>
    <n v="33.256"/>
    <n v="33.256"/>
    <n v="181.08"/>
    <n v="77.900000000000006"/>
    <n v="185.74"/>
    <n v="95429.16"/>
    <n v="8767.6118400000014"/>
    <n v="104196.77184"/>
    <n v="55761.588320000003"/>
    <n v="0"/>
    <n v="1803.8152337807853"/>
    <n v="0"/>
    <n v="0"/>
    <n v="0"/>
    <n v="21063.356254952323"/>
    <n v="74364.653716145869"/>
    <n v="6177.1120396816586"/>
    <n v="0"/>
    <n v="0"/>
    <n v="0"/>
    <n v="0"/>
    <n v="0"/>
    <n v="320.42801886265499"/>
    <m/>
    <n v="34.449272622069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06773180866566"/>
    <n v="0"/>
    <n v="0"/>
    <n v="0"/>
    <n v="0"/>
    <n v="0"/>
    <m/>
    <m/>
    <m/>
    <m/>
    <m/>
    <m/>
    <m/>
    <m/>
    <m/>
    <n v="6609.1797714903241"/>
    <m/>
    <m/>
    <m/>
    <m/>
    <m/>
    <m/>
    <m/>
    <m/>
    <m/>
    <m/>
    <m/>
    <m/>
    <n v="55762.627200000003"/>
    <n v="-48434.174639999983"/>
    <m/>
    <m/>
    <m/>
    <m/>
    <n v="-48435.183520000006"/>
    <n v="0"/>
    <n v="31"/>
    <n v="-2069.5529152289891"/>
    <n v="0"/>
    <n v="0"/>
    <n v="0"/>
    <n v="0"/>
    <n v="0"/>
    <n v="0"/>
    <n v="0"/>
    <n v="-1939.0212761216571"/>
    <n v="0"/>
    <n v="0"/>
    <n v="0"/>
    <n v="0"/>
    <n v="0"/>
    <n v="0"/>
    <n v="0"/>
    <n v="0"/>
    <n v="-111.56360047045564"/>
    <m/>
    <n v="0"/>
    <n v="0"/>
    <n v="0"/>
    <n v="0"/>
    <n v="-17.178913563570347"/>
    <n v="-1.7891250733069413"/>
    <n v="0"/>
    <n v="0"/>
    <m/>
    <m/>
    <n v="74364.653716145869"/>
    <n v="0"/>
    <n v="0"/>
    <n v="0"/>
    <n v="-48435.183519999999"/>
    <n v="0"/>
    <n v="0"/>
    <n v="0"/>
    <n v="-46364.645012254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1"/>
    <s v="Regular"/>
    <s v="Azul"/>
    <s v="A4"/>
    <s v="Comercial"/>
    <s v="Não se aplica"/>
    <s v="Não se aplica"/>
    <s v="Não se aplica"/>
    <s v="Fora ponta"/>
    <s v="CATIVO"/>
    <x v="6"/>
    <n v="527"/>
    <n v="527"/>
    <n v="308.38099999999997"/>
    <n v="308.38099999999997"/>
    <n v="308.38099999999997"/>
    <n v="308.38099999999997"/>
    <n v="55.59"/>
    <n v="77.900000000000006"/>
    <n v="185.74"/>
    <n v="29295.93"/>
    <n v="81301.56684"/>
    <n v="110597.49684000001"/>
    <n v="95644.483319999999"/>
    <n v="0"/>
    <n v="16726.676257173211"/>
    <n v="0"/>
    <n v="0"/>
    <n v="0"/>
    <n v="8513.5115262378458"/>
    <n v="20779.99109296907"/>
    <n v="57280.00925875239"/>
    <n v="0"/>
    <n v="0"/>
    <n v="0"/>
    <n v="0"/>
    <n v="0"/>
    <n v="2971.3108276667185"/>
    <m/>
    <n v="319.446149280324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06.5395478376267"/>
    <n v="0"/>
    <n v="0"/>
    <n v="0"/>
    <n v="0"/>
    <n v="0"/>
    <m/>
    <m/>
    <m/>
    <m/>
    <m/>
    <m/>
    <m/>
    <m/>
    <m/>
    <n v="61286.548806590014"/>
    <m/>
    <m/>
    <m/>
    <m/>
    <m/>
    <m/>
    <m/>
    <m/>
    <m/>
    <m/>
    <m/>
    <m/>
    <n v="95644.223599999998"/>
    <n v="-14953.303239999994"/>
    <m/>
    <m/>
    <m/>
    <m/>
    <n v="-14953.013520000002"/>
    <n v="0"/>
    <n v="31"/>
    <n v="-1994.1375313023018"/>
    <n v="0"/>
    <n v="0"/>
    <n v="0"/>
    <n v="0"/>
    <n v="0"/>
    <n v="0"/>
    <n v="0"/>
    <n v="-783.7250523643952"/>
    <n v="0"/>
    <n v="0"/>
    <n v="0"/>
    <n v="0"/>
    <n v="0"/>
    <n v="0"/>
    <n v="0"/>
    <n v="0"/>
    <n v="-1034.5229335061213"/>
    <m/>
    <n v="0"/>
    <n v="0"/>
    <n v="0"/>
    <n v="0"/>
    <n v="-159.29909019868228"/>
    <n v="-16.590455233084811"/>
    <n v="0"/>
    <n v="0"/>
    <m/>
    <m/>
    <n v="20779.99109296907"/>
    <n v="0"/>
    <n v="0"/>
    <n v="0"/>
    <n v="-14953.01352"/>
    <n v="0"/>
    <n v="0"/>
    <n v="0"/>
    <n v="-12955.84477621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2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0.14"/>
    <n v="360.64"/>
    <n v="66378.3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73"/>
    <s v="Regular"/>
    <s v="Verde"/>
    <s v="A4"/>
    <s v="Comercial"/>
    <s v="Não se aplica"/>
    <s v="Não se aplica"/>
    <s v="Não se aplica"/>
    <s v="Ponta"/>
    <s v="CATIVO"/>
    <x v="6"/>
    <n v="0"/>
    <n v="0"/>
    <n v="6.6360000000000001"/>
    <n v="6.6360000000000001"/>
    <n v="6.6360000000000001"/>
    <n v="6.6360000000000001"/>
    <m/>
    <n v="4433.21"/>
    <n v="185.74"/>
    <m/>
    <n v="30651.352200000001"/>
    <n v="30651.352200000001"/>
    <n v="15996.874320000001"/>
    <n v="0"/>
    <n v="359.93859427980789"/>
    <n v="0"/>
    <n v="0"/>
    <n v="0"/>
    <n v="6381.3300616213255"/>
    <n v="22520.484080520378"/>
    <n v="1232.5990947596672"/>
    <n v="0"/>
    <n v="0"/>
    <n v="0"/>
    <n v="0"/>
    <n v="0"/>
    <n v="63.939148820440778"/>
    <m/>
    <n v="6.874109126775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21606532001158"/>
    <n v="0"/>
    <n v="0"/>
    <n v="0"/>
    <n v="0"/>
    <n v="0"/>
    <m/>
    <m/>
    <m/>
    <m/>
    <m/>
    <m/>
    <m/>
    <m/>
    <m/>
    <n v="1318.8151600796787"/>
    <m/>
    <m/>
    <m/>
    <m/>
    <m/>
    <m/>
    <m/>
    <m/>
    <m/>
    <m/>
    <m/>
    <m/>
    <n v="16006.516799999999"/>
    <n v="-14644.865399999997"/>
    <m/>
    <m/>
    <m/>
    <m/>
    <n v="-14654.47788"/>
    <n v="0"/>
    <n v="31"/>
    <n v="-613.49031127328271"/>
    <n v="0"/>
    <n v="0"/>
    <n v="0"/>
    <n v="0"/>
    <n v="0"/>
    <n v="0"/>
    <n v="0"/>
    <n v="-587.44364429239977"/>
    <n v="0"/>
    <n v="0"/>
    <n v="0"/>
    <n v="0"/>
    <n v="0"/>
    <n v="0"/>
    <n v="0"/>
    <n v="0"/>
    <n v="-22.261728792456779"/>
    <m/>
    <n v="0"/>
    <n v="0"/>
    <n v="0"/>
    <n v="0"/>
    <n v="-3.4279309119513073"/>
    <n v="-0.35700727647536912"/>
    <n v="0"/>
    <n v="0"/>
    <m/>
    <m/>
    <m/>
    <n v="22520.484080520378"/>
    <n v="0"/>
    <n v="0"/>
    <n v="-14654.477879999999"/>
    <n v="0"/>
    <n v="0"/>
    <n v="0"/>
    <n v="-14041.00197767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4"/>
    <s v="Regular"/>
    <s v="Verde"/>
    <s v="A4"/>
    <s v="Comercial"/>
    <s v="Não se aplica"/>
    <s v="Não se aplica"/>
    <s v="Não se aplica"/>
    <s v="Fora ponta"/>
    <s v="CATIVO"/>
    <x v="6"/>
    <n v="0"/>
    <n v="0"/>
    <n v="341.32"/>
    <n v="341.32"/>
    <n v="341.32"/>
    <n v="341.32"/>
    <m/>
    <n v="77.900000000000006"/>
    <n v="185.74"/>
    <m/>
    <n v="89985.604800000001"/>
    <n v="89985.604800000001"/>
    <n v="88647.630399999995"/>
    <n v="0"/>
    <n v="18513.297317598557"/>
    <n v="0"/>
    <n v="0"/>
    <n v="0"/>
    <n v="0"/>
    <n v="0"/>
    <n v="63398.240359157557"/>
    <n v="0"/>
    <n v="0"/>
    <n v="0"/>
    <n v="0"/>
    <n v="0"/>
    <n v="3288.6844899627554"/>
    <m/>
    <n v="353.56704749112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34.4887605524946"/>
    <n v="0"/>
    <n v="0"/>
    <n v="0"/>
    <n v="0"/>
    <n v="0"/>
    <m/>
    <m/>
    <m/>
    <m/>
    <m/>
    <m/>
    <m/>
    <m/>
    <m/>
    <n v="67832.729119710057"/>
    <m/>
    <m/>
    <m/>
    <m/>
    <m/>
    <m/>
    <m/>
    <m/>
    <m/>
    <m/>
    <m/>
    <m/>
    <n v="88647.630399999995"/>
    <n v="-1338.0043999999907"/>
    <m/>
    <m/>
    <m/>
    <m/>
    <n v="-1337.9744000000005"/>
    <n v="0"/>
    <n v="31"/>
    <n v="-1339.6998755146487"/>
    <n v="0"/>
    <n v="0"/>
    <n v="0"/>
    <n v="0"/>
    <n v="0"/>
    <n v="0"/>
    <n v="0"/>
    <n v="0"/>
    <n v="0"/>
    <n v="0"/>
    <n v="0"/>
    <n v="0"/>
    <n v="0"/>
    <n v="0"/>
    <n v="0"/>
    <n v="0"/>
    <n v="-1145.0230969622316"/>
    <m/>
    <n v="0"/>
    <n v="0"/>
    <n v="0"/>
    <n v="0"/>
    <n v="-176.31425239108194"/>
    <n v="-18.362526161328049"/>
    <n v="0"/>
    <n v="0"/>
    <m/>
    <m/>
    <m/>
    <n v="0"/>
    <n v="0"/>
    <n v="0"/>
    <n v="-1337.974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5"/>
    <s v="Regular"/>
    <s v="Verde"/>
    <s v="A4"/>
    <s v="Comercial"/>
    <s v="Não se aplica"/>
    <s v="Não se aplica"/>
    <s v="Não se aplica"/>
    <s v="Não se aplica"/>
    <s v="CATIVO"/>
    <x v="6"/>
    <n v="1122"/>
    <n v="1122"/>
    <n v="0"/>
    <n v="0"/>
    <n v="0"/>
    <n v="0"/>
    <n v="55.59"/>
    <m/>
    <m/>
    <n v="62371.98"/>
    <m/>
    <n v="62371.98"/>
    <n v="33110.22"/>
    <n v="0"/>
    <n v="0"/>
    <n v="0"/>
    <n v="0"/>
    <n v="0"/>
    <n v="18125.540668764446"/>
    <n v="44241.2713592244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.319999999999993"/>
    <n v="339.14"/>
    <n v="60879.32"/>
    <n v="5"/>
    <m/>
    <m/>
    <m/>
    <m/>
    <m/>
    <m/>
    <m/>
    <m/>
    <m/>
    <n v="0"/>
    <m/>
    <m/>
    <m/>
    <m/>
    <m/>
    <m/>
    <m/>
    <m/>
    <m/>
    <m/>
    <m/>
    <m/>
    <n v="33110.22"/>
    <n v="-29261.790000000008"/>
    <m/>
    <m/>
    <m/>
    <m/>
    <n v="-29261.760000000002"/>
    <n v="0"/>
    <n v="31"/>
    <n v="-1668.5759179371016"/>
    <n v="0"/>
    <n v="0"/>
    <n v="0"/>
    <n v="0"/>
    <m/>
    <m/>
    <m/>
    <n v="-1668.57591793710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241.271359224469"/>
    <m/>
    <n v="0"/>
    <n v="0"/>
    <n v="-29261.760000000002"/>
    <m/>
    <n v="0"/>
    <m/>
    <n v="-27583.41145903731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276"/>
    <s v="Regular"/>
    <s v="Branca"/>
    <s v="B3"/>
    <s v="Comercial"/>
    <s v="Não se aplica"/>
    <s v="Não se aplica"/>
    <s v="Não se aplica"/>
    <s v="Fora ponta"/>
    <s v="CATIVO"/>
    <x v="6"/>
    <n v="0"/>
    <n v="0"/>
    <n v="0.12"/>
    <n v="0.12"/>
    <n v="0.12"/>
    <n v="0.12"/>
    <m/>
    <n v="603.13"/>
    <n v="185.74"/>
    <m/>
    <n v="94.664400000000001"/>
    <n v="94.664400000000001"/>
    <n v="62.815200000000004"/>
    <n v="0"/>
    <n v="7.4814199305732236"/>
    <n v="0"/>
    <n v="0"/>
    <n v="0"/>
    <n v="10.789536181223232"/>
    <n v="48.62596660276656"/>
    <n v="22.289314552616041"/>
    <n v="0"/>
    <n v="0"/>
    <n v="0"/>
    <n v="0"/>
    <n v="0"/>
    <n v="1.1562233059754208"/>
    <m/>
    <n v="0.28450408179206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38059886689112"/>
    <n v="0"/>
    <n v="0"/>
    <n v="0"/>
    <n v="0"/>
    <n v="0"/>
    <m/>
    <m/>
    <m/>
    <m/>
    <m/>
    <m/>
    <m/>
    <m/>
    <m/>
    <n v="26.327374439305153"/>
    <m/>
    <m/>
    <m/>
    <m/>
    <m/>
    <m/>
    <m/>
    <m/>
    <m/>
    <m/>
    <m/>
    <m/>
    <n v="62.815200000000004"/>
    <n v="-31.879200000000012"/>
    <m/>
    <m/>
    <m/>
    <m/>
    <n v="-31.849199999999996"/>
    <n v="0"/>
    <n v="31"/>
    <n v="-1.5327278010033396"/>
    <n v="0"/>
    <n v="0"/>
    <n v="0"/>
    <n v="0"/>
    <n v="0"/>
    <n v="0"/>
    <n v="0"/>
    <n v="-0.99324817762397899"/>
    <n v="0"/>
    <n v="0"/>
    <n v="0"/>
    <n v="0"/>
    <n v="0"/>
    <n v="0"/>
    <n v="0"/>
    <n v="0"/>
    <n v="-0.46271598579237594"/>
    <m/>
    <n v="0"/>
    <n v="0"/>
    <n v="0"/>
    <n v="0"/>
    <n v="-6.1987900758613046E-2"/>
    <n v="-1.4775736828366803E-2"/>
    <n v="0"/>
    <n v="0"/>
    <m/>
    <m/>
    <m/>
    <n v="48.62596660276656"/>
    <n v="0"/>
    <n v="0"/>
    <n v="-31.849199999999989"/>
    <n v="0"/>
    <n v="0"/>
    <n v="0"/>
    <n v="-30.31716773025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7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3"/>
    <n v="0.14000000000000001"/>
    <n v="26.6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78"/>
    <s v="Regular"/>
    <s v="Convencional"/>
    <s v="B2"/>
    <s v="Rural"/>
    <s v="Não se aplica"/>
    <s v="Não se aplica"/>
    <s v="Não se aplica"/>
    <s v="Não se aplica"/>
    <s v="CATIVO"/>
    <x v="6"/>
    <n v="0"/>
    <n v="0"/>
    <n v="1703.5640000000001"/>
    <n v="1703.5640000000001"/>
    <n v="1703.5640000000001"/>
    <n v="1703.5640000000001"/>
    <m/>
    <n v="825.6"/>
    <n v="185.74"/>
    <m/>
    <n v="1722882.4157600002"/>
    <n v="1722882.4157600002"/>
    <n v="1071030.6868"/>
    <n v="0"/>
    <n v="106208.98052172536"/>
    <n v="0"/>
    <n v="0"/>
    <n v="0"/>
    <n v="222028.40282805797"/>
    <n v="1000451.6599660192"/>
    <n v="316427.28213760664"/>
    <n v="0"/>
    <n v="0"/>
    <n v="0"/>
    <n v="0"/>
    <n v="0"/>
    <n v="16414.170000172599"/>
    <m/>
    <n v="4038.924263283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25.778773397091"/>
    <n v="0"/>
    <n v="444.23"/>
    <n v="2138.23"/>
    <n v="239234.79"/>
    <n v="5664"/>
    <m/>
    <m/>
    <m/>
    <m/>
    <m/>
    <n v="128516.86816"/>
    <m/>
    <m/>
    <m/>
    <n v="373753.06091100373"/>
    <m/>
    <m/>
    <m/>
    <m/>
    <m/>
    <m/>
    <m/>
    <m/>
    <m/>
    <m/>
    <m/>
    <m/>
    <n v="942511.60560000001"/>
    <n v="-573626.31311999995"/>
    <m/>
    <m/>
    <m/>
    <m/>
    <n v="-651851.72896000009"/>
    <n v="0"/>
    <n v="31"/>
    <n v="-28097.833727736725"/>
    <n v="0"/>
    <n v="0"/>
    <n v="0"/>
    <n v="0"/>
    <n v="0"/>
    <n v="0"/>
    <n v="0"/>
    <n v="-20439.183185048256"/>
    <n v="0"/>
    <n v="0"/>
    <n v="0"/>
    <n v="0"/>
    <n v="0"/>
    <n v="0"/>
    <n v="0"/>
    <n v="0"/>
    <n v="-6568.8857968366792"/>
    <m/>
    <n v="0"/>
    <n v="0"/>
    <n v="0"/>
    <n v="0"/>
    <n v="-880.00296806621554"/>
    <n v="-209.76177778566534"/>
    <n v="0"/>
    <n v="0"/>
    <m/>
    <m/>
    <m/>
    <n v="1000451.6599660192"/>
    <n v="0"/>
    <n v="0"/>
    <n v="-651851.72896000009"/>
    <n v="0"/>
    <n v="0"/>
    <n v="0"/>
    <n v="-623758.516287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79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14.714"/>
    <n v="-14.714"/>
    <n v="-14.714"/>
    <n v="-14.714"/>
    <m/>
    <n v="825.6"/>
    <n v="185.74"/>
    <m/>
    <n v="-14880.856760000002"/>
    <n v="-14880.856760000002"/>
    <n v="-9250.6918000000005"/>
    <n v="0"/>
    <n v="-917.34677382045345"/>
    <n v="0"/>
    <n v="0"/>
    <n v="0"/>
    <n v="-1917.7007257796272"/>
    <n v="-8641.0875815290801"/>
    <n v="-2733.0414527266039"/>
    <n v="0"/>
    <n v="0"/>
    <n v="0"/>
    <n v="0"/>
    <n v="0"/>
    <n v="-141.77224770101952"/>
    <m/>
    <n v="-34.8849421624031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95.13344310619664"/>
    <n v="0"/>
    <n v="-4.09"/>
    <n v="-18.38"/>
    <n v="-3840.39"/>
    <n v="0"/>
    <m/>
    <m/>
    <m/>
    <m/>
    <m/>
    <n v="-1110.0241599999999"/>
    <m/>
    <m/>
    <m/>
    <n v="-3228.1748958328008"/>
    <m/>
    <m/>
    <m/>
    <m/>
    <m/>
    <m/>
    <m/>
    <m/>
    <m/>
    <m/>
    <m/>
    <m/>
    <n v="-8138.4546000000009"/>
    <n v="4956.6811199999993"/>
    <m/>
    <m/>
    <m/>
    <m/>
    <n v="5630.164960000001"/>
    <n v="0"/>
    <n v="31"/>
    <n v="242.68623043802381"/>
    <n v="0"/>
    <n v="0"/>
    <n v="0"/>
    <n v="0"/>
    <n v="0"/>
    <n v="0"/>
    <n v="0"/>
    <n v="176.53703728465757"/>
    <n v="0"/>
    <n v="0"/>
    <n v="0"/>
    <n v="0"/>
    <n v="0"/>
    <n v="0"/>
    <n v="0"/>
    <n v="0"/>
    <n v="56.73669179124181"/>
    <m/>
    <n v="0"/>
    <n v="0"/>
    <n v="0"/>
    <n v="0"/>
    <n v="7.6007497646852755"/>
    <n v="1.8117515974382385"/>
    <n v="0"/>
    <n v="0"/>
    <m/>
    <m/>
    <m/>
    <n v="-8641.0875815290801"/>
    <n v="0"/>
    <n v="0"/>
    <n v="5630.1649600000019"/>
    <n v="0"/>
    <n v="0"/>
    <n v="0"/>
    <n v="5387.518642481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0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29.56"/>
    <n v="29.56"/>
    <n v="29.56"/>
    <n v="29.56"/>
    <m/>
    <n v="825.6"/>
    <n v="185.74"/>
    <m/>
    <n v="29895.2104"/>
    <n v="29895.2104"/>
    <n v="18584.371999999999"/>
    <n v="0"/>
    <n v="1842.9231095645373"/>
    <n v="0"/>
    <n v="0"/>
    <n v="0"/>
    <n v="3852.6052367844077"/>
    <n v="17359.694774364525"/>
    <n v="5490.6011514610846"/>
    <n v="0"/>
    <n v="0"/>
    <n v="0"/>
    <n v="0"/>
    <n v="0"/>
    <n v="284.81634103861199"/>
    <m/>
    <n v="70.082838814777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4.70875208775124"/>
    <n v="0"/>
    <n v="6.39"/>
    <n v="32.14"/>
    <n v="13049.61"/>
    <n v="140"/>
    <m/>
    <m/>
    <m/>
    <m/>
    <m/>
    <n v="2230.0063999999998"/>
    <m/>
    <m/>
    <m/>
    <n v="6485.3099035488358"/>
    <m/>
    <m/>
    <m/>
    <m/>
    <m/>
    <m/>
    <m/>
    <m/>
    <m/>
    <m/>
    <m/>
    <m/>
    <n v="16354.365599999997"/>
    <n v="-9953.4731999999931"/>
    <m/>
    <m/>
    <m/>
    <m/>
    <n v="-11310.838400000001"/>
    <n v="0"/>
    <n v="31"/>
    <n v="-487.54961069375895"/>
    <n v="0"/>
    <n v="0"/>
    <n v="0"/>
    <n v="0"/>
    <n v="0"/>
    <n v="0"/>
    <n v="0"/>
    <n v="-354.65779680130981"/>
    <n v="0"/>
    <n v="0"/>
    <n v="0"/>
    <n v="0"/>
    <n v="0"/>
    <n v="0"/>
    <n v="0"/>
    <n v="0"/>
    <n v="-113.98237116685527"/>
    <m/>
    <n v="0"/>
    <n v="0"/>
    <n v="0"/>
    <n v="0"/>
    <n v="-15.269686220205017"/>
    <n v="-3.6397565053876804"/>
    <n v="0"/>
    <n v="0"/>
    <m/>
    <m/>
    <m/>
    <n v="17359.694774364525"/>
    <n v="0"/>
    <n v="0"/>
    <n v="-11310.838400000002"/>
    <n v="0"/>
    <n v="0"/>
    <n v="0"/>
    <n v="-10823.36897320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1.5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82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30.733000000000001"/>
    <n v="30.733000000000001"/>
    <n v="30.733000000000001"/>
    <n v="30.733000000000001"/>
    <m/>
    <n v="825.6"/>
    <n v="185.74"/>
    <m/>
    <n v="31081.512220000004"/>
    <n v="31081.512220000004"/>
    <n v="19321.837099999997"/>
    <n v="0"/>
    <n v="1916.0539893858906"/>
    <n v="0"/>
    <n v="0"/>
    <n v="0"/>
    <n v="4005.4843282170236"/>
    <n v="18048.562229382442"/>
    <n v="5708.4792012129064"/>
    <n v="0"/>
    <n v="0"/>
    <n v="0"/>
    <n v="0"/>
    <n v="0"/>
    <n v="296.11842385452178"/>
    <m/>
    <n v="72.86386621429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4.1807874801373"/>
    <n v="0"/>
    <n v="8.8800000000000008"/>
    <n v="43.04"/>
    <n v="5757.64"/>
    <n v="93"/>
    <m/>
    <m/>
    <m/>
    <m/>
    <m/>
    <m/>
    <m/>
    <m/>
    <m/>
    <n v="6742.6599886930435"/>
    <m/>
    <m/>
    <m/>
    <m/>
    <m/>
    <m/>
    <m/>
    <m/>
    <m/>
    <m/>
    <m/>
    <m/>
    <n v="19319.951000000001"/>
    <n v="-11761.591219999998"/>
    <m/>
    <m/>
    <m/>
    <m/>
    <n v="-11759.675120000002"/>
    <n v="0"/>
    <n v="31"/>
    <n v="-506.89655566479269"/>
    <n v="0"/>
    <n v="0"/>
    <n v="0"/>
    <n v="0"/>
    <n v="0"/>
    <n v="0"/>
    <n v="0"/>
    <n v="-368.73132845381133"/>
    <n v="0"/>
    <n v="0"/>
    <n v="0"/>
    <n v="0"/>
    <n v="0"/>
    <n v="0"/>
    <n v="0"/>
    <n v="0"/>
    <n v="-118.50541992797571"/>
    <m/>
    <n v="0"/>
    <n v="0"/>
    <n v="0"/>
    <n v="0"/>
    <n v="-15.8756179501205"/>
    <n v="-3.7841893328849636"/>
    <n v="0"/>
    <n v="0"/>
    <m/>
    <m/>
    <m/>
    <n v="18048.562229382442"/>
    <n v="0"/>
    <n v="0"/>
    <n v="-11759.675120000004"/>
    <n v="0"/>
    <n v="0"/>
    <n v="0"/>
    <n v="-11252.86193009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3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37.35"/>
    <n v="168.32"/>
    <n v="31169.48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1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4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27.13"/>
    <n v="122.31"/>
    <n v="22648.9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n v="31"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5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3.2589999999999999"/>
    <n v="3.0634599999999996"/>
    <n v="3.2589999999999999"/>
    <n v="3.0634599999999996"/>
    <m/>
    <n v="825.6"/>
    <n v="185.74"/>
    <m/>
    <n v="3295.9570600000002"/>
    <n v="3295.9570600000002"/>
    <n v="2048.9333000000001"/>
    <n v="0"/>
    <n v="203.18289628115113"/>
    <n v="0"/>
    <n v="0"/>
    <n v="0"/>
    <n v="424.75103067254349"/>
    <n v="1913.9122215715149"/>
    <n v="605.34063439146394"/>
    <n v="0"/>
    <n v="0"/>
    <n v="0"/>
    <n v="0"/>
    <n v="0"/>
    <n v="31.401097951449138"/>
    <m/>
    <n v="7.7266566880027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66697642266513"/>
    <n v="0"/>
    <n v="0.86"/>
    <n v="3.98"/>
    <n v="0"/>
    <n v="5"/>
    <m/>
    <m/>
    <m/>
    <m/>
    <n v="122.93599800000018"/>
    <m/>
    <m/>
    <m/>
    <m/>
    <n v="715.00761081412907"/>
    <m/>
    <m/>
    <m/>
    <m/>
    <m/>
    <m/>
    <m/>
    <m/>
    <m/>
    <m/>
    <m/>
    <m/>
    <n v="1923.8220000000001"/>
    <n v="-1174.4076364000002"/>
    <m/>
    <m/>
    <m/>
    <m/>
    <n v="-1247.02376"/>
    <n v="0"/>
    <n v="31"/>
    <n v="-53.752509514579287"/>
    <n v="0"/>
    <n v="0"/>
    <n v="0"/>
    <n v="0"/>
    <n v="0"/>
    <n v="0"/>
    <n v="0"/>
    <n v="-39.101142076301414"/>
    <n v="0"/>
    <n v="0"/>
    <n v="0"/>
    <n v="0"/>
    <n v="0"/>
    <n v="0"/>
    <n v="0"/>
    <n v="0"/>
    <n v="-12.566594980811288"/>
    <m/>
    <n v="0"/>
    <n v="0"/>
    <n v="0"/>
    <n v="0"/>
    <n v="-1.6834880714360025"/>
    <n v="-0.40128438603039474"/>
    <n v="0"/>
    <n v="0"/>
    <m/>
    <m/>
    <m/>
    <n v="1913.9122215715149"/>
    <n v="0"/>
    <n v="0"/>
    <n v="-1247.02376"/>
    <n v="0"/>
    <n v="0"/>
    <n v="0"/>
    <n v="-1193.2800907874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6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0.78800000000000003"/>
    <n v="0.78800000000000003"/>
    <n v="0.78800000000000003"/>
    <n v="0.78800000000000003"/>
    <m/>
    <n v="825.6"/>
    <n v="185.74"/>
    <m/>
    <n v="796.93592000000001"/>
    <n v="796.93592000000001"/>
    <n v="495.41560000000004"/>
    <n v="0"/>
    <n v="49.12799087743084"/>
    <n v="0"/>
    <n v="0"/>
    <n v="0"/>
    <n v="102.70138452591725"/>
    <n v="462.76858870768763"/>
    <n v="146.36649889551202"/>
    <n v="0"/>
    <n v="0"/>
    <n v="0"/>
    <n v="0"/>
    <n v="0"/>
    <n v="7.5925330425719304"/>
    <m/>
    <n v="1.8682434704345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516593255925169"/>
    <n v="0"/>
    <n v="0.22"/>
    <n v="1.1000000000000001"/>
    <n v="202.85"/>
    <n v="4"/>
    <m/>
    <m/>
    <m/>
    <m/>
    <m/>
    <m/>
    <m/>
    <m/>
    <m/>
    <n v="172.88309215143718"/>
    <m/>
    <m/>
    <m/>
    <m/>
    <m/>
    <m/>
    <m/>
    <m/>
    <m/>
    <m/>
    <m/>
    <m/>
    <n v="496.673"/>
    <n v="-300.29291999999998"/>
    <m/>
    <m/>
    <m/>
    <m/>
    <n v="-301.52032000000003"/>
    <n v="0"/>
    <n v="31"/>
    <n v="-12.996924669373527"/>
    <n v="0"/>
    <n v="0"/>
    <n v="0"/>
    <n v="0"/>
    <n v="0"/>
    <n v="0"/>
    <n v="0"/>
    <n v="-9.4543418091824236"/>
    <n v="0"/>
    <n v="0"/>
    <n v="0"/>
    <n v="0"/>
    <n v="0"/>
    <n v="0"/>
    <n v="0"/>
    <n v="0"/>
    <n v="-3.0385016400365998"/>
    <m/>
    <n v="0"/>
    <n v="0"/>
    <n v="0"/>
    <n v="0"/>
    <n v="-0.40705388164822587"/>
    <n v="-9.7027338506275207E-2"/>
    <n v="0"/>
    <n v="0"/>
    <m/>
    <m/>
    <m/>
    <n v="462.76858870768763"/>
    <n v="0"/>
    <n v="0"/>
    <n v="-301.52032000000003"/>
    <n v="0"/>
    <n v="0"/>
    <n v="0"/>
    <n v="-288.52553284458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7"/>
    <s v="Regular"/>
    <s v="Convencional"/>
    <s v="B3"/>
    <s v="Serviço público"/>
    <s v="Tração elétrica"/>
    <s v="Não se aplica"/>
    <s v="Não se aplica"/>
    <s v="Não se aplica"/>
    <s v="CATIVO"/>
    <x v="6"/>
    <n v="0"/>
    <n v="0"/>
    <n v="7.0000000000000007E-2"/>
    <n v="7.0000000000000007E-2"/>
    <n v="7.0000000000000007E-2"/>
    <n v="7.0000000000000007E-2"/>
    <m/>
    <n v="825.6"/>
    <n v="185.74"/>
    <m/>
    <n v="70.793800000000005"/>
    <n v="70.793800000000005"/>
    <n v="44.009"/>
    <n v="0"/>
    <n v="4.3641616261677143"/>
    <n v="0"/>
    <n v="0"/>
    <n v="0"/>
    <n v="9.123219437581481"/>
    <n v="41.108884783677837"/>
    <n v="13.002100155692691"/>
    <n v="0"/>
    <n v="0"/>
    <n v="0"/>
    <n v="0"/>
    <n v="0"/>
    <n v="0.6744635951523289"/>
    <m/>
    <n v="0.16596071437870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555349339019824"/>
    <n v="0"/>
    <n v="0.02"/>
    <n v="0.09"/>
    <n v="0"/>
    <n v="1"/>
    <m/>
    <m/>
    <m/>
    <m/>
    <m/>
    <m/>
    <m/>
    <m/>
    <m/>
    <n v="15.357635089594673"/>
    <m/>
    <m/>
    <m/>
    <m/>
    <m/>
    <m/>
    <m/>
    <m/>
    <m/>
    <m/>
    <m/>
    <m/>
    <n v="44.009"/>
    <n v="-26.814800000000005"/>
    <m/>
    <m/>
    <m/>
    <m/>
    <n v="-26.784800000000004"/>
    <n v="0"/>
    <n v="31"/>
    <n v="-1.1545491457565369"/>
    <n v="0"/>
    <n v="0"/>
    <n v="0"/>
    <n v="0"/>
    <n v="0"/>
    <n v="0"/>
    <n v="0"/>
    <n v="-0.83985269878523994"/>
    <n v="0"/>
    <n v="0"/>
    <n v="0"/>
    <n v="0"/>
    <n v="0"/>
    <n v="0"/>
    <n v="0"/>
    <n v="0"/>
    <n v="-0.26991765837888604"/>
    <m/>
    <n v="0"/>
    <n v="0"/>
    <n v="0"/>
    <n v="0"/>
    <n v="-3.6159608775857666E-2"/>
    <n v="-8.6191798165473066E-3"/>
    <n v="0"/>
    <n v="0"/>
    <m/>
    <m/>
    <m/>
    <n v="41.108884783677837"/>
    <n v="0"/>
    <n v="0"/>
    <n v="-26.784800000000008"/>
    <n v="0"/>
    <n v="0"/>
    <n v="0"/>
    <n v="-25.630440734925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8"/>
    <s v="Regular"/>
    <s v="Convencional"/>
    <s v="B1"/>
    <s v="Residencial"/>
    <s v="Residencial"/>
    <s v="Não se aplica"/>
    <s v="Não se aplica"/>
    <s v="Não se aplica"/>
    <s v="CATIVO"/>
    <x v="7"/>
    <n v="0"/>
    <n v="0"/>
    <n v="1364.9770000000001"/>
    <n v="1364.9770000000001"/>
    <n v="1364.9770000000001"/>
    <n v="1364.9770000000001"/>
    <m/>
    <n v="825.6"/>
    <n v="185.74"/>
    <m/>
    <n v="1380455.8391800001"/>
    <n v="1380455.8391800001"/>
    <n v="858161.03990000009"/>
    <n v="0"/>
    <n v="85099.717771450392"/>
    <n v="0"/>
    <n v="0"/>
    <n v="0"/>
    <n v="177899.78140359512"/>
    <n v="801609.74607671739"/>
    <n v="253536.68091738489"/>
    <n v="0"/>
    <n v="0"/>
    <n v="0"/>
    <n v="0"/>
    <n v="0"/>
    <n v="13151.818496003434"/>
    <m/>
    <n v="3236.1794004356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932.157249610369"/>
    <n v="0"/>
    <n v="370.05"/>
    <n v="1770.98"/>
    <n v="221514.73"/>
    <n v="8104"/>
    <m/>
    <m/>
    <m/>
    <m/>
    <m/>
    <m/>
    <m/>
    <m/>
    <m/>
    <n v="299468.83816699527"/>
    <m/>
    <m/>
    <m/>
    <m/>
    <m/>
    <m/>
    <m/>
    <m/>
    <m/>
    <m/>
    <m/>
    <m/>
    <n v="858162.92599999998"/>
    <n v="-522292.94318000018"/>
    <m/>
    <m/>
    <m/>
    <m/>
    <n v="-522294.79928000009"/>
    <n v="0"/>
    <n v="30"/>
    <n v="-22513.328990390175"/>
    <n v="0"/>
    <n v="0"/>
    <n v="0"/>
    <n v="0"/>
    <n v="0"/>
    <n v="0"/>
    <n v="0"/>
    <n v="-16376.851674711157"/>
    <n v="0"/>
    <n v="0"/>
    <n v="0"/>
    <n v="0"/>
    <n v="0"/>
    <n v="0"/>
    <n v="0"/>
    <n v="0"/>
    <n v="-5263.3056511576578"/>
    <m/>
    <n v="0"/>
    <n v="0"/>
    <n v="0"/>
    <n v="0"/>
    <n v="-705.10049011491174"/>
    <n v="-168.07117440644697"/>
    <n v="0"/>
    <n v="0"/>
    <m/>
    <m/>
    <m/>
    <n v="801609.74607671739"/>
    <n v="0"/>
    <n v="0"/>
    <n v="-522294.79928000004"/>
    <n v="0"/>
    <n v="0"/>
    <n v="0"/>
    <n v="-499785.1729005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89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5.3970000000000002"/>
    <n v="5.3970000000000002"/>
    <n v="5.3970000000000002"/>
    <n v="5.3970000000000002"/>
    <m/>
    <n v="825.6"/>
    <n v="185.74"/>
    <m/>
    <n v="5458.2019800000007"/>
    <n v="5458.2019800000007"/>
    <n v="3393.0938999999998"/>
    <n v="0"/>
    <n v="336.47686137753072"/>
    <n v="0"/>
    <n v="0"/>
    <n v="0"/>
    <n v="703.40021863753213"/>
    <n v="3169.495016821561"/>
    <n v="1002.4619220039065"/>
    <n v="0"/>
    <n v="0"/>
    <n v="0"/>
    <n v="0"/>
    <n v="0"/>
    <n v="52.001143186244555"/>
    <m/>
    <n v="12.795571078597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61174340384281"/>
    <n v="0"/>
    <n v="1.65"/>
    <n v="6.91"/>
    <n v="1444.6"/>
    <n v="0"/>
    <m/>
    <m/>
    <m/>
    <m/>
    <m/>
    <m/>
    <m/>
    <m/>
    <m/>
    <n v="1184.0736654077493"/>
    <m/>
    <m/>
    <m/>
    <m/>
    <m/>
    <m/>
    <m/>
    <m/>
    <m/>
    <m/>
    <m/>
    <m/>
    <n v="3394.98"/>
    <n v="-2063.2519800000014"/>
    <m/>
    <m/>
    <m/>
    <m/>
    <n v="-2065.1080800000004"/>
    <n v="0"/>
    <n v="30"/>
    <n v="-89.01573913782795"/>
    <n v="0"/>
    <n v="0"/>
    <n v="0"/>
    <n v="0"/>
    <n v="0"/>
    <n v="0"/>
    <n v="0"/>
    <n v="-64.752643076341997"/>
    <n v="0"/>
    <n v="0"/>
    <n v="0"/>
    <n v="0"/>
    <n v="0"/>
    <n v="0"/>
    <n v="0"/>
    <n v="0"/>
    <n v="-20.810651461012071"/>
    <m/>
    <n v="0"/>
    <n v="0"/>
    <n v="0"/>
    <n v="0"/>
    <n v="-2.7879058366186271"/>
    <n v="-0.66453876385579669"/>
    <n v="0"/>
    <n v="0"/>
    <m/>
    <m/>
    <m/>
    <n v="3169.495016821561"/>
    <n v="0"/>
    <n v="0"/>
    <n v="-2065.1080800000004"/>
    <n v="0"/>
    <n v="0"/>
    <n v="0"/>
    <n v="-1976.1069806627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0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31.420999999999999"/>
    <n v="31.420999999999999"/>
    <n v="31.420999999999999"/>
    <n v="31.420999999999999"/>
    <m/>
    <n v="825.6"/>
    <n v="185.74"/>
    <m/>
    <n v="31777.314139999999"/>
    <n v="31777.314139999999"/>
    <n v="19754.382699999998"/>
    <n v="0"/>
    <n v="1958.9474636545106"/>
    <n v="0"/>
    <n v="0"/>
    <n v="0"/>
    <n v="4095.1525421178244"/>
    <n v="18452.603839827731"/>
    <n v="5836.271271314572"/>
    <n v="0"/>
    <n v="0"/>
    <n v="0"/>
    <n v="0"/>
    <n v="0"/>
    <n v="302.7474374754475"/>
    <m/>
    <n v="74.495022949902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7.3323308304882"/>
    <n v="0"/>
    <n v="8.8699999999999992"/>
    <n v="39.22"/>
    <n v="10834.61"/>
    <n v="78"/>
    <m/>
    <m/>
    <m/>
    <m/>
    <m/>
    <m/>
    <m/>
    <m/>
    <m/>
    <n v="6893.60360214506"/>
    <m/>
    <m/>
    <m/>
    <m/>
    <m/>
    <m/>
    <m/>
    <m/>
    <m/>
    <m/>
    <m/>
    <m/>
    <n v="19753.754000000001"/>
    <n v="-12023.590139999993"/>
    <m/>
    <m/>
    <m/>
    <m/>
    <n v="-12022.93144"/>
    <n v="0"/>
    <n v="30"/>
    <n v="-518.24412441165805"/>
    <n v="0"/>
    <n v="0"/>
    <n v="0"/>
    <n v="0"/>
    <n v="0"/>
    <n v="0"/>
    <n v="0"/>
    <n v="-376.98588069330071"/>
    <n v="0"/>
    <n v="0"/>
    <n v="0"/>
    <n v="0"/>
    <n v="0"/>
    <n v="0"/>
    <n v="0"/>
    <n v="0"/>
    <n v="-121.15832491318542"/>
    <m/>
    <n v="0"/>
    <n v="0"/>
    <n v="0"/>
    <n v="0"/>
    <n v="-16.231015247803214"/>
    <n v="-3.8689035573676165"/>
    <n v="0"/>
    <n v="0"/>
    <m/>
    <m/>
    <m/>
    <n v="18452.603839827731"/>
    <n v="0"/>
    <n v="0"/>
    <n v="-12022.93144"/>
    <n v="0"/>
    <n v="0"/>
    <n v="0"/>
    <n v="-11504.772547601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-12.362"/>
    <n v="-12.362"/>
    <n v="-12.362"/>
    <n v="-12.362"/>
    <m/>
    <n v="825.6"/>
    <n v="185.74"/>
    <m/>
    <n v="-12502.185079999999"/>
    <n v="-12502.185079999999"/>
    <n v="-7771.9894000000004"/>
    <n v="0"/>
    <n v="-770.71094318121823"/>
    <n v="0"/>
    <n v="0"/>
    <n v="0"/>
    <n v="-1611.1605526768894"/>
    <n v="-7259.829052797505"/>
    <n v="-2296.1708874953292"/>
    <n v="0"/>
    <n v="0"/>
    <n v="0"/>
    <n v="0"/>
    <n v="0"/>
    <n v="-119.11027090390128"/>
    <m/>
    <n v="-29.308662159278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15.98746932709003"/>
    <n v="0"/>
    <n v="-3.81"/>
    <n v="-17.190000000000001"/>
    <n v="-3394.51"/>
    <n v="1"/>
    <m/>
    <m/>
    <m/>
    <m/>
    <m/>
    <m/>
    <m/>
    <m/>
    <m/>
    <n v="-2712.1583568224191"/>
    <m/>
    <m/>
    <m/>
    <m/>
    <m/>
    <m/>
    <m/>
    <m/>
    <m/>
    <m/>
    <m/>
    <m/>
    <n v="-7770.7319999999991"/>
    <n v="4731.4230799999996"/>
    <m/>
    <m/>
    <m/>
    <m/>
    <n v="4730.1956800000007"/>
    <n v="0"/>
    <n v="30"/>
    <n v="203.89337914060252"/>
    <n v="0"/>
    <n v="0"/>
    <n v="0"/>
    <n v="0"/>
    <n v="0"/>
    <n v="0"/>
    <n v="0"/>
    <n v="148.31798660547338"/>
    <n v="0"/>
    <n v="0"/>
    <n v="0"/>
    <n v="0"/>
    <n v="0"/>
    <n v="0"/>
    <n v="0"/>
    <n v="0"/>
    <n v="47.667458469711164"/>
    <m/>
    <n v="0"/>
    <n v="0"/>
    <n v="0"/>
    <n v="0"/>
    <n v="6.3857869098164741"/>
    <n v="1.5221471556022514"/>
    <n v="0"/>
    <n v="0"/>
    <m/>
    <m/>
    <m/>
    <n v="-7259.829052797505"/>
    <n v="0"/>
    <n v="0"/>
    <n v="4730.1956799999998"/>
    <n v="0"/>
    <n v="0"/>
    <n v="0"/>
    <n v="4526.3358337877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11.1"/>
    <n v="11.1"/>
    <n v="11.1"/>
    <n v="11.1"/>
    <m/>
    <n v="753.62"/>
    <n v="185.74"/>
    <m/>
    <n v="10426.895999999999"/>
    <n v="10426.895999999999"/>
    <n v="6228.0990000000002"/>
    <n v="0"/>
    <n v="0"/>
    <n v="0"/>
    <n v="0"/>
    <n v="0"/>
    <n v="1446.6819393879205"/>
    <n v="6518.6945871260559"/>
    <n v="2061.7615961169836"/>
    <n v="0"/>
    <n v="0"/>
    <n v="0"/>
    <n v="0"/>
    <n v="0"/>
    <n v="0"/>
    <m/>
    <n v="26.316627565765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.52053951874285"/>
    <n v="0"/>
    <n v="0"/>
    <n v="3.7"/>
    <n v="296"/>
    <n v="31"/>
    <m/>
    <m/>
    <m/>
    <m/>
    <m/>
    <m/>
    <m/>
    <n v="4048.2810000000004"/>
    <m/>
    <n v="2435.2821356357263"/>
    <m/>
    <m/>
    <m/>
    <m/>
    <m/>
    <m/>
    <m/>
    <m/>
    <m/>
    <m/>
    <m/>
    <m/>
    <n v="2179.8180000000002"/>
    <n v="-1469.67"/>
    <m/>
    <m/>
    <m/>
    <m/>
    <n v="-4198.7969999999996"/>
    <n v="0"/>
    <n v="30"/>
    <n v="-134.54339789256892"/>
    <n v="0"/>
    <n v="0"/>
    <n v="0"/>
    <n v="0"/>
    <n v="0"/>
    <n v="0"/>
    <n v="0"/>
    <n v="-133.17664223594534"/>
    <n v="0"/>
    <n v="0"/>
    <n v="0"/>
    <n v="0"/>
    <n v="0"/>
    <n v="0"/>
    <n v="0"/>
    <n v="0"/>
    <n v="0"/>
    <m/>
    <n v="0"/>
    <n v="0"/>
    <n v="0"/>
    <n v="0"/>
    <n v="0"/>
    <n v="-1.3667556566239298"/>
    <n v="0"/>
    <n v="0"/>
    <m/>
    <m/>
    <m/>
    <n v="6518.6945871260559"/>
    <n v="0"/>
    <n v="0"/>
    <n v="-4198.7969999999987"/>
    <n v="0"/>
    <n v="0"/>
    <n v="0"/>
    <n v="-4064.2556022524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3"/>
    <s v="Refaturamento - 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-0.03"/>
    <n v="-0.03"/>
    <n v="-0.03"/>
    <n v="-0.03"/>
    <m/>
    <n v="753.62"/>
    <n v="185.74"/>
    <m/>
    <n v="-28.180799999999998"/>
    <n v="-28.180799999999998"/>
    <n v="-16.832700000000003"/>
    <n v="0"/>
    <n v="0"/>
    <n v="0"/>
    <n v="0"/>
    <n v="0"/>
    <n v="-3.90995118753492"/>
    <n v="-17.618093478719071"/>
    <n v="-5.5723286381540102"/>
    <n v="0"/>
    <n v="0"/>
    <n v="0"/>
    <n v="0"/>
    <n v="0"/>
    <n v="0"/>
    <m/>
    <n v="-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09514971672278"/>
    <n v="0"/>
    <n v="0"/>
    <n v="-0.01"/>
    <n v="-0.8"/>
    <n v="0"/>
    <m/>
    <m/>
    <m/>
    <m/>
    <m/>
    <m/>
    <m/>
    <n v="-10.9413"/>
    <m/>
    <n v="-6.5818436098262882"/>
    <m/>
    <m/>
    <m/>
    <m/>
    <m/>
    <m/>
    <m/>
    <m/>
    <m/>
    <m/>
    <m/>
    <m/>
    <n v="-5.8914"/>
    <n v="3.9419999999999993"/>
    <m/>
    <m/>
    <m/>
    <m/>
    <n v="11.348099999999999"/>
    <n v="0"/>
    <n v="30"/>
    <n v="0.36363080511505075"/>
    <n v="0"/>
    <n v="0"/>
    <n v="0"/>
    <n v="0"/>
    <n v="0"/>
    <n v="0"/>
    <n v="0"/>
    <n v="0.35993687090796023"/>
    <n v="0"/>
    <n v="0"/>
    <n v="0"/>
    <n v="0"/>
    <n v="0"/>
    <n v="0"/>
    <n v="0"/>
    <n v="0"/>
    <n v="0"/>
    <m/>
    <n v="0"/>
    <n v="0"/>
    <n v="0"/>
    <n v="0"/>
    <n v="0"/>
    <n v="3.6939342070917008E-3"/>
    <n v="0"/>
    <n v="0"/>
    <m/>
    <m/>
    <m/>
    <n v="-17.618093478719071"/>
    <n v="0"/>
    <n v="0"/>
    <n v="11.348099999999999"/>
    <n v="0"/>
    <n v="0"/>
    <n v="0"/>
    <n v="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4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5.2999999999999999E-2"/>
    <n v="-5.0349999999999999E-2"/>
    <n v="5.2999999999999999E-2"/>
    <n v="-5.0349999999999999E-2"/>
    <m/>
    <n v="753.62"/>
    <n v="185.74"/>
    <m/>
    <n v="49.786079999999998"/>
    <n v="49.786079999999998"/>
    <n v="29.737770000000001"/>
    <n v="0"/>
    <n v="0"/>
    <n v="0"/>
    <n v="0"/>
    <n v="0"/>
    <n v="6.9075804313116924"/>
    <n v="31.125298479070359"/>
    <n v="9.8444472607387521"/>
    <n v="0"/>
    <n v="0"/>
    <n v="0"/>
    <n v="0"/>
    <n v="0"/>
    <n v="0"/>
    <m/>
    <n v="0.12565596945815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34764499543578"/>
    <n v="0"/>
    <n v="0"/>
    <n v="0.01"/>
    <n v="2.33"/>
    <n v="0"/>
    <m/>
    <m/>
    <m/>
    <m/>
    <m/>
    <m/>
    <m/>
    <n v="39.625503000000002"/>
    <m/>
    <n v="11.627923710693111"/>
    <m/>
    <m/>
    <m/>
    <m/>
    <m/>
    <m/>
    <m/>
    <m/>
    <m/>
    <m/>
    <m/>
    <m/>
    <n v="-9.8190000000000008"/>
    <n v="6.705072999999997"/>
    <m/>
    <m/>
    <m/>
    <m/>
    <n v="-20.048309999999997"/>
    <n v="0"/>
    <n v="30"/>
    <n v="-0.64241442236992441"/>
    <n v="0"/>
    <n v="0"/>
    <n v="0"/>
    <n v="0"/>
    <n v="0"/>
    <n v="0"/>
    <n v="0"/>
    <n v="-0.63588847193739628"/>
    <n v="0"/>
    <n v="0"/>
    <n v="0"/>
    <n v="0"/>
    <n v="0"/>
    <n v="0"/>
    <n v="0"/>
    <n v="0"/>
    <n v="0"/>
    <m/>
    <n v="0"/>
    <n v="0"/>
    <n v="0"/>
    <n v="0"/>
    <n v="0"/>
    <n v="-6.5259504325286544E-3"/>
    <n v="0"/>
    <n v="0"/>
    <m/>
    <m/>
    <m/>
    <n v="31.125298479070359"/>
    <n v="0"/>
    <n v="0"/>
    <n v="-20.048309999999997"/>
    <n v="0"/>
    <n v="0"/>
    <n v="0"/>
    <n v="-19.405905127871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5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22.285"/>
    <n v="22.285"/>
    <n v="22.285"/>
    <n v="22.285"/>
    <m/>
    <n v="753.62"/>
    <n v="185.74"/>
    <m/>
    <n v="20933.637599999998"/>
    <n v="20933.637599999998"/>
    <n v="12503.890650000001"/>
    <n v="0"/>
    <n v="0"/>
    <n v="0"/>
    <n v="0"/>
    <n v="0"/>
    <n v="2904.4420738071899"/>
    <n v="13087.307105775149"/>
    <n v="4139.3114567087378"/>
    <n v="0"/>
    <n v="0"/>
    <n v="0"/>
    <n v="0"/>
    <n v="0"/>
    <n v="0"/>
    <m/>
    <n v="52.83477885613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9.90137145722383"/>
    <n v="0"/>
    <n v="3.02"/>
    <n v="12.74"/>
    <n v="1024.98"/>
    <n v="45"/>
    <m/>
    <m/>
    <m/>
    <m/>
    <m/>
    <m/>
    <m/>
    <n v="5001.4225500000002"/>
    <m/>
    <n v="4889.2128281659616"/>
    <m/>
    <m/>
    <m/>
    <m/>
    <m/>
    <m/>
    <m/>
    <m/>
    <m/>
    <m/>
    <m/>
    <m/>
    <n v="7504.1514000000006"/>
    <n v="-5056.1502999999993"/>
    <m/>
    <m/>
    <m/>
    <m/>
    <n v="-8429.7469499999988"/>
    <n v="0"/>
    <n v="30"/>
    <n v="-270.11708306629771"/>
    <n v="0"/>
    <n v="0"/>
    <n v="0"/>
    <n v="0"/>
    <n v="0"/>
    <n v="0"/>
    <n v="0"/>
    <n v="-267.37310560612968"/>
    <n v="0"/>
    <n v="0"/>
    <n v="0"/>
    <n v="0"/>
    <n v="0"/>
    <n v="0"/>
    <n v="0"/>
    <n v="0"/>
    <n v="0"/>
    <m/>
    <n v="0"/>
    <n v="0"/>
    <n v="0"/>
    <n v="0"/>
    <n v="0"/>
    <n v="-2.7439774601679474"/>
    <n v="0"/>
    <n v="0"/>
    <m/>
    <m/>
    <m/>
    <n v="13087.307105775149"/>
    <n v="0"/>
    <n v="0"/>
    <n v="-8429.7469499999988"/>
    <n v="0"/>
    <n v="0"/>
    <n v="0"/>
    <n v="-8159.633882540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6"/>
    <s v="Refaturamento - 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-7.0000000000000007E-2"/>
    <n v="-7.0000000000000007E-2"/>
    <n v="-7.0000000000000007E-2"/>
    <n v="-7.0000000000000007E-2"/>
    <m/>
    <n v="753.62"/>
    <n v="185.74"/>
    <m/>
    <n v="-65.755200000000002"/>
    <n v="-65.755200000000002"/>
    <n v="-39.276300000000006"/>
    <n v="0"/>
    <n v="0"/>
    <n v="0"/>
    <n v="0"/>
    <n v="0"/>
    <n v="-9.123219437581481"/>
    <n v="-41.108884783677837"/>
    <n v="-13.002100155692691"/>
    <n v="0"/>
    <n v="0"/>
    <n v="0"/>
    <n v="0"/>
    <n v="0"/>
    <n v="0"/>
    <m/>
    <n v="-0.16596071437870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3555349339019824"/>
    <n v="0"/>
    <n v="-0.01"/>
    <n v="-0.04"/>
    <n v="-3.22"/>
    <n v="0"/>
    <m/>
    <m/>
    <m/>
    <m/>
    <m/>
    <m/>
    <m/>
    <n v="-15.710100000000004"/>
    <m/>
    <n v="-15.357635089594673"/>
    <m/>
    <m/>
    <m/>
    <m/>
    <m/>
    <m/>
    <m/>
    <m/>
    <m/>
    <m/>
    <m/>
    <m/>
    <n v="-23.566200000000002"/>
    <n v="15.857200000000006"/>
    <m/>
    <m/>
    <m/>
    <m/>
    <n v="26.478900000000003"/>
    <n v="0"/>
    <n v="30"/>
    <n v="0.84847187860179218"/>
    <n v="0"/>
    <n v="0"/>
    <n v="0"/>
    <n v="0"/>
    <n v="0"/>
    <n v="0"/>
    <n v="0"/>
    <n v="0.83985269878523994"/>
    <n v="0"/>
    <n v="0"/>
    <n v="0"/>
    <n v="0"/>
    <n v="0"/>
    <n v="0"/>
    <n v="0"/>
    <n v="0"/>
    <n v="0"/>
    <m/>
    <n v="0"/>
    <n v="0"/>
    <n v="0"/>
    <n v="0"/>
    <n v="0"/>
    <n v="8.6191798165473066E-3"/>
    <n v="0"/>
    <n v="0"/>
    <m/>
    <m/>
    <m/>
    <n v="-41.108884783677837"/>
    <n v="0"/>
    <n v="0"/>
    <n v="26.478900000000003"/>
    <n v="0"/>
    <n v="0"/>
    <n v="0"/>
    <n v="25.630440734925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7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298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5.216000000000001"/>
    <n v="25.216000000000001"/>
    <n v="25.216000000000001"/>
    <n v="25.216000000000001"/>
    <m/>
    <n v="753.62"/>
    <n v="185.74"/>
    <m/>
    <n v="23686.901760000001"/>
    <n v="23686.901760000001"/>
    <n v="14148.44544"/>
    <n v="0"/>
    <n v="0"/>
    <n v="0"/>
    <n v="0"/>
    <n v="0"/>
    <n v="3286.4443048293519"/>
    <n v="14808.594838646004"/>
    <n v="4683.7279646563848"/>
    <n v="0"/>
    <n v="0"/>
    <n v="0"/>
    <n v="0"/>
    <n v="0"/>
    <n v="0"/>
    <m/>
    <n v="59.783791053904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8.53098418960542"/>
    <n v="0"/>
    <n v="4.0199999999999996"/>
    <n v="21.36"/>
    <n v="2942.22"/>
    <n v="172"/>
    <m/>
    <m/>
    <m/>
    <m/>
    <m/>
    <m/>
    <m/>
    <n v="1414.6176000000014"/>
    <m/>
    <n v="5532.2589488459898"/>
    <m/>
    <m/>
    <m/>
    <m/>
    <m/>
    <m/>
    <m/>
    <m/>
    <m/>
    <m/>
    <m/>
    <m/>
    <n v="12735.8478"/>
    <n v="-8582.5450799999962"/>
    <m/>
    <m/>
    <m/>
    <m/>
    <n v="-9538.4563199999993"/>
    <n v="0"/>
    <n v="30"/>
    <n v="-305.64381272603714"/>
    <n v="0"/>
    <n v="0"/>
    <n v="0"/>
    <n v="0"/>
    <n v="0"/>
    <n v="0"/>
    <n v="0"/>
    <n v="-302.53893789383756"/>
    <n v="0"/>
    <n v="0"/>
    <n v="0"/>
    <n v="0"/>
    <n v="0"/>
    <n v="0"/>
    <n v="0"/>
    <n v="0"/>
    <n v="0"/>
    <m/>
    <n v="0"/>
    <n v="0"/>
    <n v="0"/>
    <n v="0"/>
    <n v="0"/>
    <n v="-3.1048748322008066"/>
    <n v="0"/>
    <n v="0"/>
    <m/>
    <m/>
    <m/>
    <n v="14808.594838646004"/>
    <n v="0"/>
    <n v="0"/>
    <n v="-9538.4563200000011"/>
    <n v="0"/>
    <n v="0"/>
    <n v="0"/>
    <n v="-9232.8170510267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299"/>
    <s v="Refaturamento - 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-0.05"/>
    <n v="-0.05"/>
    <n v="-0.05"/>
    <n v="-0.05"/>
    <m/>
    <n v="753.62"/>
    <n v="185.74"/>
    <m/>
    <n v="-46.968000000000004"/>
    <n v="-46.968000000000004"/>
    <n v="-28.054500000000004"/>
    <n v="0"/>
    <n v="0"/>
    <n v="0"/>
    <n v="0"/>
    <n v="0"/>
    <n v="-6.5165853125582007"/>
    <n v="-29.363489131198452"/>
    <n v="-9.2872143969233516"/>
    <n v="0"/>
    <n v="0"/>
    <n v="0"/>
    <n v="0"/>
    <n v="0"/>
    <n v="0"/>
    <m/>
    <n v="-0.1185433674133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68252495278713"/>
    <n v="0"/>
    <n v="-0.01"/>
    <n v="-0.05"/>
    <n v="-3.45"/>
    <n v="0"/>
    <m/>
    <m/>
    <m/>
    <m/>
    <m/>
    <m/>
    <m/>
    <n v="-2.8050000000000028"/>
    <m/>
    <n v="-10.969739349710482"/>
    <m/>
    <m/>
    <m/>
    <m/>
    <m/>
    <m/>
    <m/>
    <m/>
    <m/>
    <m/>
    <m/>
    <m/>
    <n v="-25.249500000000001"/>
    <n v="16.992000000000008"/>
    <m/>
    <m/>
    <m/>
    <m/>
    <n v="18.913499999999999"/>
    <n v="0"/>
    <n v="30"/>
    <n v="0.60605134185842147"/>
    <n v="0"/>
    <n v="0"/>
    <n v="0"/>
    <n v="0"/>
    <n v="0"/>
    <n v="0"/>
    <n v="0"/>
    <n v="0.59989478484660008"/>
    <n v="0"/>
    <n v="0"/>
    <n v="0"/>
    <n v="0"/>
    <n v="0"/>
    <n v="0"/>
    <n v="0"/>
    <n v="0"/>
    <n v="0"/>
    <m/>
    <n v="0"/>
    <n v="0"/>
    <n v="0"/>
    <n v="0"/>
    <n v="0"/>
    <n v="6.1565570118194968E-3"/>
    <n v="0"/>
    <n v="0"/>
    <m/>
    <m/>
    <m/>
    <n v="-29.363489131198452"/>
    <n v="0"/>
    <n v="0"/>
    <n v="18.913500000000003"/>
    <n v="0"/>
    <n v="0"/>
    <n v="0"/>
    <n v="18.307457667803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0"/>
    <s v="Sistema de Compensação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.63000000000000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01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1.680999999999999"/>
    <n v="11.680999999999999"/>
    <n v="11.680999999999999"/>
    <n v="11.680999999999999"/>
    <m/>
    <n v="753.62"/>
    <n v="185.74"/>
    <m/>
    <n v="10972.66416"/>
    <n v="10972.66416"/>
    <n v="6554.0922900000005"/>
    <n v="0"/>
    <n v="0"/>
    <n v="0"/>
    <n v="0"/>
    <n v="0"/>
    <n v="1522.4046607198466"/>
    <n v="6859.8983308305815"/>
    <n v="2169.6790274092332"/>
    <n v="0"/>
    <n v="0"/>
    <n v="0"/>
    <n v="0"/>
    <n v="0"/>
    <n v="0"/>
    <m/>
    <n v="27.694101495108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3.0714794701293"/>
    <n v="0"/>
    <n v="2.73"/>
    <n v="11.57"/>
    <n v="2188.89"/>
    <n v="122"/>
    <m/>
    <m/>
    <m/>
    <m/>
    <m/>
    <m/>
    <m/>
    <m/>
    <m/>
    <n v="2562.7505068793625"/>
    <m/>
    <m/>
    <m/>
    <m/>
    <m/>
    <m/>
    <m/>
    <m/>
    <m/>
    <m/>
    <m/>
    <m/>
    <n v="6553.5311999999994"/>
    <n v="-4419.1629600000015"/>
    <m/>
    <m/>
    <m/>
    <m/>
    <n v="-4418.5718699999998"/>
    <n v="0"/>
    <n v="30"/>
    <n v="-141.58571448496377"/>
    <n v="0"/>
    <n v="0"/>
    <n v="0"/>
    <n v="0"/>
    <n v="0"/>
    <n v="0"/>
    <n v="0"/>
    <n v="-140.14741963586266"/>
    <n v="0"/>
    <n v="0"/>
    <n v="0"/>
    <n v="0"/>
    <n v="0"/>
    <n v="0"/>
    <n v="0"/>
    <n v="0"/>
    <n v="0"/>
    <m/>
    <n v="0"/>
    <n v="0"/>
    <n v="0"/>
    <n v="0"/>
    <n v="0"/>
    <n v="-1.4382948491012684"/>
    <n v="0"/>
    <n v="0"/>
    <m/>
    <m/>
    <m/>
    <n v="6859.8983308305815"/>
    <n v="0"/>
    <n v="0"/>
    <n v="-4418.5718699999998"/>
    <n v="0"/>
    <n v="0"/>
    <n v="0"/>
    <n v="-4276.9882603523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2"/>
    <s v="Sistema de Compensação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.0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03"/>
    <s v="Regular"/>
    <s v="Branca"/>
    <s v="B1"/>
    <s v="Residencial"/>
    <s v="Residencial"/>
    <s v="Não se aplica"/>
    <s v="Não se aplica"/>
    <s v="Ponta"/>
    <s v="CATIVO"/>
    <x v="7"/>
    <n v="0"/>
    <n v="0"/>
    <n v="6.5000000000000002E-2"/>
    <n v="6.5000000000000002E-2"/>
    <n v="6.5000000000000002E-2"/>
    <n v="6.5000000000000002E-2"/>
    <m/>
    <n v="2045.69"/>
    <n v="185.74"/>
    <m/>
    <n v="145.04295000000002"/>
    <n v="145.04295000000002"/>
    <n v="78.384799999999998"/>
    <n v="0"/>
    <n v="4.0524357957271633"/>
    <n v="0"/>
    <n v="0"/>
    <n v="0"/>
    <n v="22.883678031389696"/>
    <n v="103.06581469630225"/>
    <n v="12.073378716000356"/>
    <n v="0"/>
    <n v="0"/>
    <n v="0"/>
    <n v="0"/>
    <n v="0"/>
    <n v="0.6262876240700197"/>
    <m/>
    <n v="0.15410637763736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87282438623269"/>
    <n v="0"/>
    <n v="0"/>
    <n v="0"/>
    <n v="0"/>
    <n v="0"/>
    <m/>
    <m/>
    <m/>
    <m/>
    <m/>
    <m/>
    <m/>
    <m/>
    <m/>
    <n v="14.260661154623625"/>
    <m/>
    <m/>
    <m/>
    <m/>
    <m/>
    <m/>
    <m/>
    <m/>
    <m/>
    <m/>
    <m/>
    <m/>
    <n v="84.414400000000001"/>
    <n v="-60.658549999999991"/>
    <m/>
    <m/>
    <m/>
    <m/>
    <n v="-66.65815000000002"/>
    <n v="0"/>
    <n v="30"/>
    <n v="-2.3988120662938499"/>
    <n v="0"/>
    <n v="0"/>
    <n v="0"/>
    <n v="0"/>
    <n v="0"/>
    <n v="0"/>
    <n v="0"/>
    <n v="-2.1065939369633604"/>
    <n v="0"/>
    <n v="0"/>
    <n v="0"/>
    <n v="0"/>
    <n v="0"/>
    <n v="0"/>
    <n v="0"/>
    <n v="0"/>
    <n v="-0.25063782563753723"/>
    <m/>
    <n v="0"/>
    <n v="0"/>
    <n v="0"/>
    <n v="0"/>
    <n v="-3.3576779577582205E-2"/>
    <n v="-8.0035241153653403E-3"/>
    <n v="0"/>
    <n v="0"/>
    <m/>
    <m/>
    <m/>
    <n v="103.06581469630225"/>
    <n v="0"/>
    <n v="0"/>
    <n v="-66.658150000000006"/>
    <n v="0"/>
    <n v="0"/>
    <n v="0"/>
    <n v="-64.259156366586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4"/>
    <s v="Regular"/>
    <s v="Branca"/>
    <s v="B1"/>
    <s v="Residencial"/>
    <s v="Residencial"/>
    <s v="Não se aplica"/>
    <s v="Não se aplica"/>
    <s v="Fora ponta"/>
    <s v="CATIVO"/>
    <x v="7"/>
    <n v="0"/>
    <n v="0"/>
    <n v="0.85399999999999998"/>
    <n v="0.85399999999999998"/>
    <n v="0.85399999999999998"/>
    <n v="0.85399999999999998"/>
    <m/>
    <n v="495.6"/>
    <n v="185.74"/>
    <m/>
    <n v="581.86436000000003"/>
    <n v="581.86436000000003"/>
    <n v="403.63455999999996"/>
    <n v="0"/>
    <n v="53.24277183924611"/>
    <n v="0"/>
    <n v="0"/>
    <n v="0"/>
    <n v="60.186258313731919"/>
    <n v="270.8250372351269"/>
    <n v="158.62562189945083"/>
    <n v="0"/>
    <n v="0"/>
    <n v="0"/>
    <n v="0"/>
    <n v="0"/>
    <n v="8.2284558608584124"/>
    <m/>
    <n v="2.024720715420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737526193604179"/>
    <n v="0"/>
    <n v="0"/>
    <n v="0"/>
    <n v="0"/>
    <n v="0"/>
    <m/>
    <m/>
    <m/>
    <m/>
    <m/>
    <m/>
    <m/>
    <m/>
    <m/>
    <n v="187.363148093055"/>
    <m/>
    <m/>
    <m/>
    <m/>
    <m/>
    <m/>
    <m/>
    <m/>
    <m/>
    <m/>
    <m/>
    <m/>
    <n v="401.74399999999997"/>
    <n v="-180.15036000000003"/>
    <m/>
    <m/>
    <m/>
    <m/>
    <n v="-178.22980000000004"/>
    <n v="0"/>
    <n v="30"/>
    <n v="-9.3798398593604588"/>
    <n v="0"/>
    <n v="0"/>
    <n v="0"/>
    <n v="0"/>
    <n v="0"/>
    <n v="0"/>
    <n v="0"/>
    <n v="-5.5405432063107369"/>
    <n v="0"/>
    <n v="0"/>
    <n v="0"/>
    <n v="0"/>
    <n v="0"/>
    <n v="0"/>
    <n v="0"/>
    <n v="0"/>
    <n v="-3.292995432222412"/>
    <m/>
    <n v="0"/>
    <n v="0"/>
    <n v="0"/>
    <n v="0"/>
    <n v="-0.44114722706546416"/>
    <n v="-0.10515399376187706"/>
    <n v="0"/>
    <n v="0"/>
    <m/>
    <m/>
    <m/>
    <n v="270.8250372351269"/>
    <n v="0"/>
    <n v="0"/>
    <n v="-178.22980000000007"/>
    <n v="0"/>
    <n v="0"/>
    <n v="0"/>
    <n v="-168.85315918725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5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5"/>
    <n v="1.0900000000000001"/>
    <n v="165.4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06"/>
    <s v="Regular"/>
    <s v="Branca"/>
    <s v="B1"/>
    <s v="Residencial"/>
    <s v="Residencial"/>
    <s v="Não se aplica"/>
    <s v="Não se aplica"/>
    <s v="Intermediário"/>
    <s v="CATIVO"/>
    <x v="7"/>
    <n v="0"/>
    <n v="0"/>
    <n v="2.5999999999999999E-2"/>
    <n v="2.5999999999999999E-2"/>
    <n v="2.5999999999999999E-2"/>
    <n v="2.5999999999999999E-2"/>
    <m/>
    <n v="1270.6099999999999"/>
    <n v="185.74"/>
    <m/>
    <n v="37.865099999999991"/>
    <n v="37.865099999999991"/>
    <n v="21.820500000000003"/>
    <n v="0"/>
    <n v="1.6209743182908651"/>
    <n v="0"/>
    <n v="0"/>
    <n v="0"/>
    <n v="5.4920832479803945"/>
    <n v="24.735808388794254"/>
    <n v="4.8293514864001423"/>
    <n v="0"/>
    <n v="0"/>
    <n v="0"/>
    <n v="0"/>
    <n v="0"/>
    <n v="0.25051504962800786"/>
    <m/>
    <n v="6.16425510549464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491297544930757"/>
    <n v="0"/>
    <n v="0"/>
    <n v="0"/>
    <n v="0"/>
    <n v="0"/>
    <m/>
    <m/>
    <m/>
    <m/>
    <m/>
    <m/>
    <m/>
    <m/>
    <m/>
    <n v="5.7042644618494496"/>
    <m/>
    <m/>
    <m/>
    <m/>
    <m/>
    <m/>
    <m/>
    <m/>
    <m/>
    <m/>
    <m/>
    <m/>
    <n v="25.177500000000002"/>
    <n v="-12.717599999999983"/>
    <m/>
    <m/>
    <m/>
    <m/>
    <n v="-16.044599999999996"/>
    <n v="0"/>
    <n v="30"/>
    <n v="-0.62246984451398291"/>
    <n v="0"/>
    <n v="0"/>
    <n v="0"/>
    <n v="0"/>
    <n v="0"/>
    <n v="0"/>
    <n v="0"/>
    <n v="-0.50558259278178674"/>
    <n v="0"/>
    <n v="0"/>
    <n v="0"/>
    <n v="0"/>
    <n v="0"/>
    <n v="0"/>
    <n v="0"/>
    <n v="0"/>
    <n v="-0.10025513025501476"/>
    <m/>
    <n v="0"/>
    <n v="0"/>
    <n v="0"/>
    <n v="0"/>
    <n v="-1.3430711831032865E-2"/>
    <n v="-3.2014096461461389E-3"/>
    <n v="0"/>
    <n v="0"/>
    <m/>
    <m/>
    <m/>
    <n v="24.735808388794254"/>
    <n v="0"/>
    <n v="0"/>
    <n v="-16.044599999999992"/>
    <n v="0"/>
    <n v="0"/>
    <n v="0"/>
    <n v="-15.422205546942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7"/>
    <s v="Regular"/>
    <s v="Convencional"/>
    <s v="B3"/>
    <s v="Industrial"/>
    <s v="Não se aplica"/>
    <s v="Não se aplica"/>
    <s v="Não se aplica"/>
    <s v="Não se aplica"/>
    <s v="CATIVO"/>
    <x v="7"/>
    <n v="0"/>
    <n v="0"/>
    <n v="36.091000000000001"/>
    <n v="36.091000000000001"/>
    <n v="36.091000000000001"/>
    <n v="36.091000000000001"/>
    <m/>
    <n v="825.6"/>
    <n v="185.74"/>
    <m/>
    <n v="36500.271940000006"/>
    <n v="36500.271940000006"/>
    <n v="22690.411700000001"/>
    <n v="0"/>
    <n v="2250.0993892859851"/>
    <n v="0"/>
    <n v="0"/>
    <n v="0"/>
    <n v="4703.8016103107602"/>
    <n v="21195.153724681666"/>
    <n v="6703.6970959872133"/>
    <n v="0"/>
    <n v="0"/>
    <n v="0"/>
    <n v="0"/>
    <n v="0"/>
    <n v="347.74379446632429"/>
    <m/>
    <n v="85.56697346631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4.4801614208061"/>
    <n v="0"/>
    <n v="10.76"/>
    <n v="46.37"/>
    <n v="9095.85"/>
    <n v="42"/>
    <m/>
    <m/>
    <m/>
    <m/>
    <m/>
    <m/>
    <m/>
    <m/>
    <m/>
    <n v="7918.1772574080196"/>
    <m/>
    <m/>
    <m/>
    <m/>
    <m/>
    <m/>
    <m/>
    <m/>
    <m/>
    <m/>
    <m/>
    <m/>
    <n v="22689.783000000003"/>
    <n v="-13810.518940000002"/>
    <m/>
    <m/>
    <m/>
    <m/>
    <n v="-13809.860240000002"/>
    <n v="0"/>
    <n v="30"/>
    <n v="-595.26904599284171"/>
    <n v="0"/>
    <n v="0"/>
    <n v="0"/>
    <n v="0"/>
    <n v="0"/>
    <n v="0"/>
    <n v="0"/>
    <n v="-433.01605359797304"/>
    <n v="0"/>
    <n v="0"/>
    <n v="0"/>
    <n v="0"/>
    <n v="0"/>
    <n v="0"/>
    <n v="0"/>
    <n v="0"/>
    <n v="-139.16568869360526"/>
    <m/>
    <n v="0"/>
    <n v="0"/>
    <n v="0"/>
    <n v="0"/>
    <n v="-18.643377718992554"/>
    <n v="-4.4439259822715513"/>
    <n v="0"/>
    <n v="0"/>
    <m/>
    <m/>
    <m/>
    <n v="21195.153724681666"/>
    <n v="0"/>
    <n v="0"/>
    <n v="-13809.860240000002"/>
    <n v="0"/>
    <n v="0"/>
    <n v="0"/>
    <n v="-13214.68909377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8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2410000000000001"/>
    <n v="2.2410000000000001"/>
    <n v="2.2410000000000001"/>
    <n v="2.2410000000000001"/>
    <m/>
    <n v="825.6"/>
    <n v="185.74"/>
    <m/>
    <n v="2266.4129400000002"/>
    <n v="2266.4129400000002"/>
    <n v="1408.9167"/>
    <n v="0"/>
    <n v="139.71551720345497"/>
    <n v="0"/>
    <n v="0"/>
    <n v="0"/>
    <n v="292.07335370885858"/>
    <n v="1316.0715828603147"/>
    <n v="416.25294927010458"/>
    <n v="0"/>
    <n v="0"/>
    <n v="0"/>
    <n v="0"/>
    <n v="0"/>
    <n v="21.592470239090986"/>
    <m/>
    <n v="5.3131137274667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410768383919176"/>
    <n v="0"/>
    <n v="0.66"/>
    <n v="2.83"/>
    <n v="2260.3000000000002"/>
    <n v="3"/>
    <m/>
    <m/>
    <m/>
    <m/>
    <m/>
    <m/>
    <m/>
    <m/>
    <m/>
    <n v="491.66371765402374"/>
    <m/>
    <m/>
    <m/>
    <m/>
    <m/>
    <m/>
    <m/>
    <m/>
    <m/>
    <m/>
    <m/>
    <m/>
    <n v="1408.288"/>
    <n v="-858.15494000000035"/>
    <m/>
    <m/>
    <m/>
    <m/>
    <n v="-857.49624000000017"/>
    <n v="0"/>
    <n v="30"/>
    <n v="-36.962066223434135"/>
    <n v="0"/>
    <n v="0"/>
    <n v="0"/>
    <n v="0"/>
    <n v="0"/>
    <n v="0"/>
    <n v="0"/>
    <n v="-26.887284256824671"/>
    <n v="0"/>
    <n v="0"/>
    <n v="0"/>
    <n v="0"/>
    <n v="0"/>
    <n v="0"/>
    <n v="0"/>
    <n v="0"/>
    <n v="-8.6412210346726113"/>
    <m/>
    <n v="0"/>
    <n v="0"/>
    <n v="0"/>
    <n v="0"/>
    <n v="-1.1576240466671024"/>
    <n v="-0.27593688526975058"/>
    <n v="0"/>
    <n v="0"/>
    <m/>
    <m/>
    <m/>
    <n v="1316.0715828603147"/>
    <n v="0"/>
    <n v="0"/>
    <n v="-857.49624000000017"/>
    <n v="0"/>
    <n v="0"/>
    <n v="0"/>
    <n v="-820.54025267096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09"/>
    <s v="Regular"/>
    <s v="Verde"/>
    <s v="A4"/>
    <s v="Industrial"/>
    <s v="Não se aplica"/>
    <s v="Não se aplica"/>
    <s v="Não se aplica"/>
    <s v="Ponta"/>
    <s v="CATIVO"/>
    <x v="7"/>
    <n v="0"/>
    <n v="0"/>
    <n v="0.72299999999999998"/>
    <n v="0.72299999999999998"/>
    <n v="0.72299999999999998"/>
    <n v="0.72299999999999998"/>
    <m/>
    <n v="4433.21"/>
    <n v="185.74"/>
    <m/>
    <n v="3339.5008499999999"/>
    <n v="3339.5008499999999"/>
    <n v="1742.87826"/>
    <n v="0"/>
    <n v="39.215732921082143"/>
    <n v="0"/>
    <n v="0"/>
    <n v="0"/>
    <n v="695.25341087284778"/>
    <n v="2453.6332113044355"/>
    <n v="134.29312017951165"/>
    <n v="0"/>
    <n v="0"/>
    <n v="0"/>
    <n v="0"/>
    <n v="0"/>
    <n v="6.9662454185019103"/>
    <m/>
    <n v="0.748942269237321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933416555708824"/>
    <n v="0"/>
    <n v="0"/>
    <n v="0"/>
    <n v="0"/>
    <n v="0"/>
    <m/>
    <m/>
    <m/>
    <m/>
    <m/>
    <m/>
    <m/>
    <m/>
    <m/>
    <n v="143.68646183508253"/>
    <m/>
    <m/>
    <m/>
    <m/>
    <m/>
    <m/>
    <m/>
    <m/>
    <m/>
    <m/>
    <m/>
    <m/>
    <n v="1735.6464000000001"/>
    <n v="-1603.8844500000005"/>
    <m/>
    <m/>
    <m/>
    <m/>
    <n v="-1596.6225899999999"/>
    <n v="0"/>
    <n v="30"/>
    <n v="-66.84049051395175"/>
    <n v="0"/>
    <n v="0"/>
    <n v="0"/>
    <n v="0"/>
    <n v="0"/>
    <n v="0"/>
    <n v="0"/>
    <n v="-64.00267553095307"/>
    <n v="0"/>
    <n v="0"/>
    <n v="0"/>
    <n v="0"/>
    <n v="0"/>
    <n v="0"/>
    <n v="0"/>
    <n v="0"/>
    <n v="-2.4254415185271654"/>
    <m/>
    <n v="0"/>
    <n v="0"/>
    <n v="0"/>
    <n v="0"/>
    <n v="-0.37347710207064377"/>
    <n v="-3.8896362400797413E-2"/>
    <n v="0"/>
    <n v="0"/>
    <m/>
    <m/>
    <m/>
    <n v="2453.6332113044355"/>
    <n v="0"/>
    <n v="0"/>
    <n v="-1596.6225899999999"/>
    <n v="0"/>
    <n v="0"/>
    <n v="0"/>
    <n v="-1529.7836693578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0"/>
    <s v="Regular"/>
    <s v="Verde"/>
    <s v="A4"/>
    <s v="Industrial"/>
    <s v="Não se aplica"/>
    <s v="Não se aplica"/>
    <s v="Não se aplica"/>
    <s v="Fora ponta"/>
    <s v="CATIVO"/>
    <x v="7"/>
    <n v="0"/>
    <n v="0"/>
    <n v="39.561"/>
    <n v="39.561"/>
    <n v="39.561"/>
    <n v="39.561"/>
    <m/>
    <n v="77.900000000000006"/>
    <n v="185.74"/>
    <m/>
    <n v="10429.86204"/>
    <n v="10429.86204"/>
    <n v="10274.782920000001"/>
    <n v="0"/>
    <n v="2145.8002905822"/>
    <n v="0"/>
    <n v="0"/>
    <n v="0"/>
    <n v="0"/>
    <n v="0"/>
    <n v="7348.2297751336937"/>
    <n v="0"/>
    <n v="0"/>
    <n v="0"/>
    <n v="0"/>
    <n v="0"/>
    <n v="381.17791839744689"/>
    <m/>
    <n v="40.980504997645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.98338760171464"/>
    <n v="0"/>
    <n v="0"/>
    <n v="0"/>
    <n v="0"/>
    <n v="0"/>
    <m/>
    <m/>
    <m/>
    <m/>
    <m/>
    <m/>
    <m/>
    <m/>
    <m/>
    <n v="7862.2131627354083"/>
    <m/>
    <m/>
    <m/>
    <m/>
    <m/>
    <m/>
    <m/>
    <m/>
    <m/>
    <m/>
    <m/>
    <m/>
    <n v="10274.523200000001"/>
    <n v="-155.36883999999918"/>
    <m/>
    <m/>
    <m/>
    <m/>
    <n v="-155.07912000000007"/>
    <n v="0"/>
    <n v="30"/>
    <n v="-155.27911278341344"/>
    <n v="0"/>
    <n v="0"/>
    <n v="0"/>
    <n v="0"/>
    <n v="0"/>
    <n v="0"/>
    <n v="0"/>
    <n v="0"/>
    <n v="0"/>
    <n v="0"/>
    <n v="0"/>
    <n v="0"/>
    <n v="0"/>
    <n v="0"/>
    <n v="0"/>
    <n v="0"/>
    <n v="-132.7149265760072"/>
    <m/>
    <n v="0"/>
    <n v="0"/>
    <n v="0"/>
    <n v="0"/>
    <n v="-20.435861182595829"/>
    <n v="-2.1283250248104366"/>
    <n v="0"/>
    <n v="0"/>
    <m/>
    <m/>
    <m/>
    <n v="0"/>
    <n v="0"/>
    <n v="0"/>
    <n v="-155.079120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1"/>
    <s v="Regular"/>
    <s v="Verde"/>
    <s v="A4"/>
    <s v="Industrial"/>
    <s v="Não se aplica"/>
    <s v="Não se aplica"/>
    <s v="Não se aplica"/>
    <s v="Não se aplica"/>
    <s v="CATIVO"/>
    <x v="7"/>
    <n v="337"/>
    <n v="337"/>
    <n v="0"/>
    <n v="0"/>
    <n v="0"/>
    <n v="0"/>
    <n v="55.59"/>
    <m/>
    <m/>
    <n v="18733.830000000002"/>
    <m/>
    <n v="18733.830000000002"/>
    <n v="9944.8700000000008"/>
    <n v="0"/>
    <n v="0"/>
    <n v="0"/>
    <n v="0"/>
    <n v="0"/>
    <n v="5444.1240689604447"/>
    <n v="13288.1536970219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33"/>
    <n v="43.98"/>
    <n v="7700.09"/>
    <n v="5"/>
    <m/>
    <m/>
    <m/>
    <m/>
    <m/>
    <m/>
    <m/>
    <m/>
    <m/>
    <n v="0"/>
    <m/>
    <m/>
    <m/>
    <m/>
    <m/>
    <m/>
    <m/>
    <m/>
    <m/>
    <m/>
    <m/>
    <m/>
    <n v="9944.8700000000008"/>
    <n v="-8788.9899999999961"/>
    <m/>
    <m/>
    <m/>
    <m/>
    <n v="-8788.9600000000009"/>
    <n v="0"/>
    <n v="30"/>
    <n v="-501.16763310588522"/>
    <n v="0"/>
    <n v="0"/>
    <n v="0"/>
    <n v="0"/>
    <m/>
    <m/>
    <m/>
    <n v="-501.167633105885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288.153697021966"/>
    <m/>
    <n v="0"/>
    <n v="0"/>
    <n v="-8788.9600000000009"/>
    <m/>
    <n v="0"/>
    <m/>
    <n v="-8284.8570959853605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12"/>
    <s v="Regular"/>
    <s v="Convencional"/>
    <s v="B3"/>
    <s v="Comercial"/>
    <s v="Não se aplica"/>
    <s v="Não se aplica"/>
    <s v="Não se aplica"/>
    <s v="Não se aplica"/>
    <s v="CATIVO"/>
    <x v="7"/>
    <n v="0"/>
    <n v="0"/>
    <n v="152.637"/>
    <n v="152.637"/>
    <n v="152.637"/>
    <n v="152.637"/>
    <m/>
    <n v="825.6"/>
    <n v="185.74"/>
    <m/>
    <n v="154367.90357999998"/>
    <n v="154367.90357999998"/>
    <n v="95962.881899999993"/>
    <n v="0"/>
    <n v="9516.1791161908768"/>
    <n v="0"/>
    <n v="0"/>
    <n v="0"/>
    <n v="19893.44064705892"/>
    <n v="89639.097810374762"/>
    <n v="28351.450878063788"/>
    <n v="0"/>
    <n v="0"/>
    <n v="0"/>
    <n v="0"/>
    <n v="0"/>
    <n v="1470.6871396180859"/>
    <m/>
    <n v="361.88207943745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36.3112243713831"/>
    <n v="0"/>
    <n v="44.38"/>
    <n v="197.47"/>
    <n v="37396.86"/>
    <n v="362"/>
    <m/>
    <m/>
    <m/>
    <m/>
    <m/>
    <m/>
    <m/>
    <m/>
    <m/>
    <n v="33487.762102435168"/>
    <m/>
    <m/>
    <m/>
    <m/>
    <m/>
    <m/>
    <m/>
    <m/>
    <m/>
    <m/>
    <m/>
    <m/>
    <n v="95964.767999999996"/>
    <n v="-58403.165580000015"/>
    <m/>
    <m/>
    <m/>
    <m/>
    <n v="-58405.021680000005"/>
    <n v="0"/>
    <n v="30"/>
    <n v="-2517.5273994405652"/>
    <n v="0"/>
    <n v="0"/>
    <n v="0"/>
    <n v="0"/>
    <n v="0"/>
    <n v="0"/>
    <n v="0"/>
    <n v="-1831.3228054926112"/>
    <n v="0"/>
    <n v="0"/>
    <n v="0"/>
    <n v="0"/>
    <n v="0"/>
    <n v="0"/>
    <n v="0"/>
    <n v="0"/>
    <n v="-588.56316602825791"/>
    <m/>
    <n v="0"/>
    <n v="0"/>
    <n v="0"/>
    <n v="0"/>
    <n v="-78.847060067436814"/>
    <n v="-18.794367852261871"/>
    <n v="0"/>
    <n v="0"/>
    <m/>
    <m/>
    <m/>
    <n v="89639.097810374762"/>
    <n v="0"/>
    <n v="0"/>
    <n v="-58405.021680000005"/>
    <n v="0"/>
    <n v="0"/>
    <n v="0"/>
    <n v="-55887.90832081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3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6.9139999999999997"/>
    <n v="6.9139999999999997"/>
    <n v="6.9139999999999997"/>
    <n v="6.9139999999999997"/>
    <m/>
    <n v="825.6"/>
    <n v="185.74"/>
    <m/>
    <n v="6992.4047600000004"/>
    <n v="6992.4047600000004"/>
    <n v="4346.8317999999999"/>
    <n v="0"/>
    <n v="431.05447833319391"/>
    <n v="0"/>
    <n v="0"/>
    <n v="0"/>
    <n v="901.1134170205479"/>
    <n v="4060.3832770621216"/>
    <n v="1284.2360068065609"/>
    <n v="0"/>
    <n v="0"/>
    <n v="0"/>
    <n v="0"/>
    <n v="0"/>
    <n v="66.617732812617163"/>
    <m/>
    <n v="16.392176845919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65955047140432"/>
    <n v="0"/>
    <n v="2.0299999999999998"/>
    <n v="8.84"/>
    <n v="3523.83"/>
    <n v="14"/>
    <m/>
    <m/>
    <m/>
    <m/>
    <m/>
    <m/>
    <m/>
    <m/>
    <m/>
    <n v="1516.8955572779653"/>
    <m/>
    <m/>
    <m/>
    <m/>
    <m/>
    <m/>
    <m/>
    <m/>
    <m/>
    <m/>
    <m/>
    <m/>
    <n v="4344.317"/>
    <n v="-2648.117760000001"/>
    <m/>
    <m/>
    <m/>
    <m/>
    <n v="-2645.57296"/>
    <n v="0"/>
    <n v="30"/>
    <n v="-114.03646848229528"/>
    <n v="0"/>
    <n v="0"/>
    <n v="0"/>
    <n v="0"/>
    <n v="0"/>
    <n v="0"/>
    <n v="0"/>
    <n v="-82.953450848587863"/>
    <n v="0"/>
    <n v="0"/>
    <n v="0"/>
    <n v="0"/>
    <n v="0"/>
    <n v="0"/>
    <n v="0"/>
    <n v="0"/>
    <n v="-26.660152714737421"/>
    <m/>
    <n v="0"/>
    <n v="0"/>
    <n v="0"/>
    <n v="0"/>
    <n v="-3.5715362153754313"/>
    <n v="-0.85132870359440105"/>
    <n v="0"/>
    <n v="0"/>
    <m/>
    <m/>
    <m/>
    <n v="4060.3832770621216"/>
    <n v="0"/>
    <n v="0"/>
    <n v="-2645.5729600000004"/>
    <n v="0"/>
    <n v="0"/>
    <n v="0"/>
    <n v="-2531.555246303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4"/>
    <s v="Regular"/>
    <s v="Azul"/>
    <s v="A4"/>
    <s v="Comercial"/>
    <s v="Não se aplica"/>
    <s v="Não se aplica"/>
    <s v="Não se aplica"/>
    <s v="Ponta"/>
    <s v="CATIVO"/>
    <x v="7"/>
    <n v="527"/>
    <n v="527"/>
    <n v="25.899000000000001"/>
    <n v="25.899000000000001"/>
    <n v="25.899000000000001"/>
    <n v="25.899000000000001"/>
    <n v="181.08"/>
    <n v="77.900000000000006"/>
    <n v="185.74"/>
    <n v="95429.16"/>
    <n v="6828.0123600000006"/>
    <n v="102257.17236"/>
    <n v="53850.828280000002"/>
    <n v="0"/>
    <n v="1404.7693871688887"/>
    <n v="0"/>
    <n v="0"/>
    <n v="0"/>
    <n v="21063.356254952323"/>
    <n v="74364.653716145869"/>
    <n v="4810.5913133183576"/>
    <n v="0"/>
    <n v="0"/>
    <n v="0"/>
    <n v="0"/>
    <n v="0"/>
    <n v="249.54189501214523"/>
    <m/>
    <n v="26.828292988903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48430918067811"/>
    <n v="0"/>
    <n v="0"/>
    <n v="0"/>
    <n v="0"/>
    <n v="0"/>
    <m/>
    <m/>
    <m/>
    <m/>
    <m/>
    <m/>
    <m/>
    <m/>
    <m/>
    <n v="5147.0756224990355"/>
    <m/>
    <m/>
    <m/>
    <m/>
    <m/>
    <m/>
    <m/>
    <m/>
    <m/>
    <m/>
    <m/>
    <m/>
    <n v="53851.088000000003"/>
    <n v="-48406.114359999978"/>
    <m/>
    <m/>
    <m/>
    <m/>
    <n v="-48406.34408000001"/>
    <n v="0"/>
    <n v="30"/>
    <n v="-2040.6762833757093"/>
    <n v="0"/>
    <n v="0"/>
    <n v="0"/>
    <n v="0"/>
    <n v="0"/>
    <n v="0"/>
    <n v="0"/>
    <n v="-1939.0212761216571"/>
    <n v="0"/>
    <n v="0"/>
    <n v="0"/>
    <n v="0"/>
    <n v="0"/>
    <n v="0"/>
    <n v="0"/>
    <n v="0"/>
    <n v="-86.883139541265791"/>
    <m/>
    <n v="0"/>
    <n v="0"/>
    <n v="0"/>
    <n v="0"/>
    <n v="-13.378538681227695"/>
    <n v="-1.3933290315605156"/>
    <n v="0"/>
    <n v="0"/>
    <m/>
    <m/>
    <n v="74364.653716145869"/>
    <n v="0"/>
    <n v="0"/>
    <n v="0"/>
    <n v="-48406.344079999995"/>
    <n v="0"/>
    <n v="0"/>
    <n v="0"/>
    <n v="-46364.645012254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5"/>
    <s v="Regular"/>
    <s v="Azul"/>
    <s v="A4"/>
    <s v="Comercial"/>
    <s v="Não se aplica"/>
    <s v="Não se aplica"/>
    <s v="Não se aplica"/>
    <s v="Fora ponta"/>
    <s v="CATIVO"/>
    <x v="7"/>
    <n v="527"/>
    <n v="527"/>
    <n v="283.87799999999999"/>
    <n v="283.87799999999999"/>
    <n v="283.87799999999999"/>
    <n v="283.87799999999999"/>
    <n v="55.59"/>
    <n v="77.900000000000006"/>
    <n v="185.74"/>
    <n v="29295.93"/>
    <n v="74841.595919999992"/>
    <n v="104137.52592"/>
    <n v="89280.564160000009"/>
    <n v="0"/>
    <n v="15397.626321121654"/>
    <n v="0"/>
    <n v="0"/>
    <n v="0"/>
    <n v="8513.5115262378458"/>
    <n v="20779.99109296907"/>
    <n v="52728.716971396134"/>
    <n v="0"/>
    <n v="0"/>
    <n v="0"/>
    <n v="0"/>
    <n v="0"/>
    <n v="2735.2196637807542"/>
    <m/>
    <n v="294.0639467587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8.1923132782167"/>
    <n v="0"/>
    <n v="0"/>
    <n v="0"/>
    <n v="0"/>
    <n v="0"/>
    <m/>
    <m/>
    <m/>
    <m/>
    <m/>
    <m/>
    <m/>
    <m/>
    <m/>
    <n v="56416.909284674352"/>
    <m/>
    <m/>
    <m/>
    <m/>
    <m/>
    <m/>
    <m/>
    <m/>
    <m/>
    <m/>
    <m/>
    <m/>
    <n v="89281.083600000013"/>
    <n v="-14856.472319999986"/>
    <m/>
    <m/>
    <m/>
    <m/>
    <n v="-14856.961760000002"/>
    <n v="0"/>
    <n v="30"/>
    <n v="-1897.9619012491603"/>
    <n v="0"/>
    <n v="0"/>
    <n v="0"/>
    <n v="0"/>
    <n v="0"/>
    <n v="0"/>
    <n v="0"/>
    <n v="-783.7250523643952"/>
    <n v="0"/>
    <n v="0"/>
    <n v="0"/>
    <n v="0"/>
    <n v="0"/>
    <n v="0"/>
    <n v="0"/>
    <n v="0"/>
    <n v="-952.32294245705998"/>
    <m/>
    <n v="0"/>
    <n v="0"/>
    <n v="0"/>
    <n v="0"/>
    <n v="-146.64167742961308"/>
    <n v="-15.272228998082369"/>
    <n v="0"/>
    <n v="0"/>
    <m/>
    <m/>
    <n v="20779.99109296907"/>
    <n v="0"/>
    <n v="0"/>
    <n v="0"/>
    <n v="-14856.961759999998"/>
    <n v="0"/>
    <n v="0"/>
    <n v="0"/>
    <n v="-12955.84477621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6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6.180000000000007"/>
    <n v="281.3"/>
    <n v="54631.04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17"/>
    <s v="Regular"/>
    <s v="Verde"/>
    <s v="A4"/>
    <s v="Comercial"/>
    <s v="Não se aplica"/>
    <s v="Não se aplica"/>
    <s v="Não se aplica"/>
    <s v="Ponta"/>
    <s v="CATIVO"/>
    <x v="7"/>
    <n v="0"/>
    <n v="0"/>
    <n v="8.109"/>
    <n v="8.109"/>
    <n v="8.109"/>
    <n v="8.109"/>
    <m/>
    <n v="4433.21"/>
    <n v="185.74"/>
    <m/>
    <n v="37455.065549999999"/>
    <n v="37455.065549999999"/>
    <n v="19547.71758"/>
    <n v="0"/>
    <n v="439.83454807338188"/>
    <n v="0"/>
    <n v="0"/>
    <n v="0"/>
    <n v="7797.8007036900726"/>
    <n v="27519.379959153066"/>
    <n v="1506.2004308930291"/>
    <n v="0"/>
    <n v="0"/>
    <n v="0"/>
    <n v="0"/>
    <n v="0"/>
    <n v="78.131789901289068"/>
    <m/>
    <n v="8.3999624636866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35353732368505"/>
    <n v="0"/>
    <n v="0"/>
    <n v="0"/>
    <n v="0"/>
    <n v="0"/>
    <m/>
    <m/>
    <m/>
    <m/>
    <m/>
    <m/>
    <m/>
    <m/>
    <m/>
    <n v="1611.5539682167141"/>
    <m/>
    <m/>
    <m/>
    <m/>
    <m/>
    <m/>
    <m/>
    <m/>
    <m/>
    <m/>
    <m/>
    <m/>
    <n v="19550.128199999999"/>
    <n v="-17904.967350000006"/>
    <m/>
    <m/>
    <m/>
    <m/>
    <n v="-17907.347969999999"/>
    <n v="0"/>
    <n v="30"/>
    <n v="-749.66741020419613"/>
    <n v="0"/>
    <n v="0"/>
    <n v="0"/>
    <n v="0"/>
    <n v="0"/>
    <n v="0"/>
    <n v="0"/>
    <n v="-717.83913676417433"/>
    <n v="0"/>
    <n v="0"/>
    <n v="0"/>
    <n v="0"/>
    <n v="0"/>
    <n v="0"/>
    <n v="0"/>
    <n v="0"/>
    <n v="-27.203188483730003"/>
    <m/>
    <n v="0"/>
    <n v="0"/>
    <n v="0"/>
    <n v="0"/>
    <n v="-4.1888323937632919"/>
    <n v="-0.43625256252844569"/>
    <n v="0"/>
    <n v="0"/>
    <m/>
    <m/>
    <m/>
    <n v="27519.379959153066"/>
    <n v="0"/>
    <n v="0"/>
    <n v="-17907.347969999999"/>
    <n v="0"/>
    <n v="0"/>
    <n v="0"/>
    <n v="-17157.698167112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8"/>
    <s v="Regular"/>
    <s v="Verde"/>
    <s v="A4"/>
    <s v="Comercial"/>
    <s v="Não se aplica"/>
    <s v="Não se aplica"/>
    <s v="Não se aplica"/>
    <s v="Fora ponta"/>
    <s v="CATIVO"/>
    <x v="7"/>
    <n v="0"/>
    <n v="0"/>
    <n v="390.05599999999998"/>
    <n v="390.05599999999998"/>
    <n v="390.05599999999998"/>
    <n v="390.05599999999998"/>
    <m/>
    <n v="77.900000000000006"/>
    <n v="185.74"/>
    <m/>
    <n v="102834.36384000001"/>
    <n v="102834.36384000001"/>
    <n v="101305.34432"/>
    <n v="0"/>
    <n v="21156.752310187574"/>
    <n v="0"/>
    <n v="0"/>
    <n v="0"/>
    <n v="0"/>
    <n v="0"/>
    <n v="72450.67397612668"/>
    <n v="0"/>
    <n v="0"/>
    <n v="0"/>
    <n v="0"/>
    <n v="0"/>
    <n v="3758.2653152962398"/>
    <m/>
    <n v="404.05176454997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67.6753427459971"/>
    <n v="0"/>
    <n v="0"/>
    <n v="0"/>
    <n v="0"/>
    <n v="0"/>
    <m/>
    <m/>
    <m/>
    <m/>
    <m/>
    <m/>
    <m/>
    <m/>
    <m/>
    <n v="77518.349318872672"/>
    <m/>
    <m/>
    <m/>
    <m/>
    <m/>
    <m/>
    <m/>
    <m/>
    <m/>
    <m/>
    <m/>
    <m/>
    <n v="101306.38320000001"/>
    <n v="-1528.0106399999931"/>
    <m/>
    <m/>
    <m/>
    <m/>
    <n v="-1529.0195200000005"/>
    <n v="0"/>
    <n v="30"/>
    <n v="-1530.9913706895022"/>
    <n v="0"/>
    <n v="0"/>
    <n v="0"/>
    <n v="0"/>
    <n v="0"/>
    <n v="0"/>
    <n v="0"/>
    <n v="0"/>
    <n v="0"/>
    <n v="0"/>
    <n v="0"/>
    <n v="0"/>
    <n v="0"/>
    <n v="0"/>
    <n v="0"/>
    <n v="0"/>
    <n v="-1308.5173125181645"/>
    <m/>
    <n v="0"/>
    <n v="0"/>
    <n v="0"/>
    <n v="0"/>
    <n v="-201.48960515251383"/>
    <n v="-20.984453018818044"/>
    <n v="0"/>
    <n v="0"/>
    <m/>
    <m/>
    <m/>
    <n v="0"/>
    <n v="0"/>
    <n v="0"/>
    <n v="-1529.01952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19"/>
    <s v="Regular"/>
    <s v="Verde"/>
    <s v="A4"/>
    <s v="Comercial"/>
    <s v="Não se aplica"/>
    <s v="Não se aplica"/>
    <s v="Não se aplica"/>
    <s v="Não se aplica"/>
    <s v="CATIVO"/>
    <x v="7"/>
    <n v="1166"/>
    <n v="1166"/>
    <n v="0"/>
    <n v="0"/>
    <n v="0"/>
    <n v="0"/>
    <n v="55.59"/>
    <m/>
    <m/>
    <n v="64817.94"/>
    <m/>
    <n v="64817.94"/>
    <n v="34408.660000000003"/>
    <n v="0"/>
    <n v="0"/>
    <n v="0"/>
    <n v="0"/>
    <n v="0"/>
    <n v="18836.346185186583"/>
    <n v="45976.2231772332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4.84"/>
    <n v="318.19"/>
    <n v="62084.42"/>
    <n v="5"/>
    <m/>
    <m/>
    <m/>
    <m/>
    <m/>
    <m/>
    <m/>
    <m/>
    <m/>
    <n v="0"/>
    <m/>
    <m/>
    <m/>
    <m/>
    <m/>
    <m/>
    <m/>
    <m/>
    <m/>
    <m/>
    <m/>
    <m/>
    <n v="34408.660000000003"/>
    <n v="-30409.310000000005"/>
    <m/>
    <m/>
    <m/>
    <m/>
    <n v="-30409.280000000002"/>
    <n v="0"/>
    <n v="30"/>
    <n v="-1734.0102676601273"/>
    <n v="0"/>
    <n v="0"/>
    <n v="0"/>
    <n v="0"/>
    <m/>
    <m/>
    <m/>
    <n v="-1734.01026766012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976.223177233274"/>
    <m/>
    <n v="0"/>
    <n v="0"/>
    <n v="-30409.279999999999"/>
    <m/>
    <n v="0"/>
    <m/>
    <n v="-28665.11386919564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20"/>
    <s v="Regular"/>
    <s v="Convencional"/>
    <s v="B2"/>
    <s v="Rural"/>
    <s v="Não se aplica"/>
    <s v="Não se aplica"/>
    <s v="Não se aplica"/>
    <s v="Não se aplica"/>
    <s v="CATIVO"/>
    <x v="7"/>
    <n v="0"/>
    <n v="0"/>
    <n v="1461.453"/>
    <n v="1461.453"/>
    <n v="1461.453"/>
    <n v="1461.453"/>
    <m/>
    <n v="825.6"/>
    <n v="185.74"/>
    <m/>
    <n v="1478025.87702"/>
    <n v="1478025.87702"/>
    <n v="918815.50109999999"/>
    <n v="0"/>
    <n v="91114.530014966906"/>
    <n v="0"/>
    <n v="0"/>
    <n v="0"/>
    <n v="190473.6630958824"/>
    <n v="858267.18562514742"/>
    <n v="271456.54684053641"/>
    <n v="0"/>
    <n v="0"/>
    <n v="0"/>
    <n v="0"/>
    <n v="0"/>
    <n v="14081.383493230805"/>
    <m/>
    <n v="3464.9111987270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178.622796512187"/>
    <n v="0"/>
    <n v="369.2"/>
    <n v="1700.29"/>
    <n v="193566.85"/>
    <n v="5631"/>
    <m/>
    <m/>
    <m/>
    <m/>
    <m/>
    <n v="110252.01432"/>
    <m/>
    <m/>
    <m/>
    <n v="320635.16963704862"/>
    <m/>
    <m/>
    <m/>
    <m/>
    <m/>
    <m/>
    <m/>
    <m/>
    <m/>
    <m/>
    <m/>
    <m/>
    <n v="808561.82700000005"/>
    <n v="-492102.14393999986"/>
    <m/>
    <m/>
    <m/>
    <m/>
    <n v="-559210.37592000002"/>
    <n v="0"/>
    <n v="30"/>
    <n v="-24104.561610190198"/>
    <n v="0"/>
    <n v="0"/>
    <n v="0"/>
    <n v="0"/>
    <n v="0"/>
    <n v="0"/>
    <n v="0"/>
    <n v="-17534.36065996837"/>
    <n v="0"/>
    <n v="0"/>
    <n v="0"/>
    <n v="0"/>
    <n v="0"/>
    <n v="0"/>
    <n v="0"/>
    <n v="0"/>
    <n v="-5635.3138798685395"/>
    <m/>
    <n v="0"/>
    <n v="0"/>
    <n v="0"/>
    <n v="0"/>
    <n v="-754.93669606147887"/>
    <n v="-179.95037429189279"/>
    <n v="0"/>
    <n v="0"/>
    <m/>
    <m/>
    <m/>
    <n v="858267.18562514742"/>
    <n v="0"/>
    <n v="0"/>
    <n v="-559210.37592000002"/>
    <n v="0"/>
    <n v="0"/>
    <n v="0"/>
    <n v="-535109.7786196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1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0.51600000000000001"/>
    <n v="-0.51600000000000001"/>
    <n v="-0.51600000000000001"/>
    <n v="-0.51600000000000001"/>
    <m/>
    <n v="825.6"/>
    <n v="185.74"/>
    <m/>
    <n v="-521.85144000000003"/>
    <n v="-521.85144000000003"/>
    <n v="-324.4092"/>
    <n v="0"/>
    <n v="-32.170105701464863"/>
    <n v="0"/>
    <n v="0"/>
    <n v="0"/>
    <n v="-67.251160425600631"/>
    <n v="-303.03120783396804"/>
    <n v="-95.844052576248984"/>
    <n v="0"/>
    <n v="0"/>
    <n v="0"/>
    <n v="0"/>
    <n v="0"/>
    <n v="-4.9717602156943101"/>
    <m/>
    <n v="-1.2233675517058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.363657512763183"/>
    <n v="0"/>
    <n v="-0.12"/>
    <n v="-0.56999999999999995"/>
    <n v="-108.97"/>
    <n v="0"/>
    <m/>
    <m/>
    <m/>
    <m/>
    <m/>
    <n v="-38.927039999999998"/>
    <m/>
    <m/>
    <m/>
    <n v="-113.20771008901217"/>
    <m/>
    <m/>
    <m/>
    <m/>
    <m/>
    <m/>
    <m/>
    <m/>
    <m/>
    <m/>
    <m/>
    <m/>
    <n v="-287.6952"/>
    <n v="171.50448"/>
    <m/>
    <m/>
    <m/>
    <m/>
    <n v="197.44224000000003"/>
    <n v="0"/>
    <n v="30"/>
    <n v="8.5106765601481413"/>
    <n v="0"/>
    <n v="0"/>
    <n v="0"/>
    <n v="0"/>
    <n v="0"/>
    <n v="0"/>
    <n v="0"/>
    <n v="6.190914179616918"/>
    <n v="0"/>
    <n v="0"/>
    <n v="0"/>
    <n v="0"/>
    <n v="0"/>
    <n v="0"/>
    <n v="0"/>
    <n v="0"/>
    <n v="1.9896787389072159"/>
    <m/>
    <n v="0"/>
    <n v="0"/>
    <n v="0"/>
    <n v="0"/>
    <n v="0.26654797326203727"/>
    <n v="6.3535668361977216E-2"/>
    <n v="0"/>
    <n v="0"/>
    <m/>
    <m/>
    <m/>
    <n v="-303.03120783396804"/>
    <n v="0"/>
    <n v="0"/>
    <n v="197.44224000000003"/>
    <n v="0"/>
    <n v="0"/>
    <n v="0"/>
    <n v="188.9329631317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2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30.376999999999999"/>
    <n v="30.376999999999999"/>
    <n v="30.376999999999999"/>
    <n v="30.376999999999999"/>
    <m/>
    <n v="825.6"/>
    <n v="185.74"/>
    <m/>
    <n v="30721.475179999998"/>
    <n v="30721.475179999998"/>
    <n v="19098.019899999999"/>
    <n v="0"/>
    <n v="1893.8591102585233"/>
    <n v="0"/>
    <n v="0"/>
    <n v="0"/>
    <n v="3959.0862407916088"/>
    <n v="17839.494186768308"/>
    <n v="5642.3542347068123"/>
    <n v="0"/>
    <n v="0"/>
    <n v="0"/>
    <n v="0"/>
    <n v="0"/>
    <n v="292.68829471346135"/>
    <m/>
    <n v="72.019837438311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2.2012098162929"/>
    <n v="0"/>
    <n v="6.25"/>
    <n v="29.85"/>
    <n v="12180.09"/>
    <n v="160"/>
    <m/>
    <m/>
    <m/>
    <m/>
    <m/>
    <n v="2291.6408799999999"/>
    <m/>
    <m/>
    <m/>
    <n v="6664.5554445231055"/>
    <m/>
    <m/>
    <m/>
    <m/>
    <m/>
    <m/>
    <m/>
    <m/>
    <m/>
    <m/>
    <m/>
    <m/>
    <n v="16808.038799999998"/>
    <n v="-10226.913659999995"/>
    <m/>
    <m/>
    <m/>
    <m/>
    <n v="-11623.45528"/>
    <n v="0"/>
    <n v="30"/>
    <n v="-501.02484858066055"/>
    <n v="0"/>
    <n v="0"/>
    <n v="0"/>
    <n v="0"/>
    <n v="0"/>
    <n v="0"/>
    <n v="0"/>
    <n v="-364.4600775857034"/>
    <n v="0"/>
    <n v="0"/>
    <n v="0"/>
    <n v="0"/>
    <n v="0"/>
    <n v="0"/>
    <n v="0"/>
    <n v="0"/>
    <n v="-117.13269583679153"/>
    <m/>
    <n v="0"/>
    <n v="0"/>
    <n v="0"/>
    <n v="0"/>
    <n v="-15.6917205112033"/>
    <n v="-3.7403546469608102"/>
    <n v="0"/>
    <n v="0"/>
    <m/>
    <m/>
    <m/>
    <n v="17839.494186768308"/>
    <n v="0"/>
    <n v="0"/>
    <n v="-11623.45528"/>
    <n v="0"/>
    <n v="0"/>
    <n v="0"/>
    <n v="-11122.512831497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3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12.362"/>
    <n v="12.362"/>
    <n v="12.362"/>
    <n v="12.362"/>
    <m/>
    <n v="825.6"/>
    <n v="185.74"/>
    <m/>
    <n v="12502.185079999999"/>
    <n v="12502.185079999999"/>
    <n v="7771.9894000000004"/>
    <n v="0"/>
    <n v="770.71094318121823"/>
    <n v="0"/>
    <n v="0"/>
    <n v="0"/>
    <n v="1611.1605526768894"/>
    <n v="7259.829052797505"/>
    <n v="2296.1708874953292"/>
    <n v="0"/>
    <n v="0"/>
    <n v="0"/>
    <n v="0"/>
    <n v="0"/>
    <n v="119.11027090390128"/>
    <m/>
    <n v="29.308662159278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98746932709003"/>
    <n v="0"/>
    <n v="3.44"/>
    <n v="15.51"/>
    <n v="3354.16"/>
    <n v="1"/>
    <m/>
    <m/>
    <m/>
    <m/>
    <m/>
    <n v="932.58928000000003"/>
    <m/>
    <m/>
    <m/>
    <n v="2712.1583568224191"/>
    <m/>
    <m/>
    <m/>
    <m/>
    <m/>
    <m/>
    <m/>
    <m/>
    <m/>
    <m/>
    <m/>
    <m/>
    <n v="6838.2935999999991"/>
    <n v="-4163.6691600000013"/>
    <m/>
    <m/>
    <m/>
    <m/>
    <n v="-4730.1956800000007"/>
    <n v="0"/>
    <n v="30"/>
    <n v="-203.89337914060252"/>
    <n v="0"/>
    <n v="0"/>
    <n v="0"/>
    <n v="0"/>
    <n v="0"/>
    <n v="0"/>
    <n v="0"/>
    <n v="-148.31798660547338"/>
    <n v="0"/>
    <n v="0"/>
    <n v="0"/>
    <n v="0"/>
    <n v="0"/>
    <n v="0"/>
    <n v="0"/>
    <n v="0"/>
    <n v="-47.667458469711164"/>
    <m/>
    <n v="0"/>
    <n v="0"/>
    <n v="0"/>
    <n v="0"/>
    <n v="-6.3857869098164741"/>
    <n v="-1.5221471556022514"/>
    <n v="0"/>
    <n v="0"/>
    <m/>
    <m/>
    <m/>
    <n v="7259.829052797505"/>
    <n v="0"/>
    <n v="0"/>
    <n v="-4730.1956799999998"/>
    <n v="0"/>
    <n v="0"/>
    <n v="0"/>
    <n v="-4526.3358337877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4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5.068999999999999"/>
    <n v="25.068999999999999"/>
    <n v="25.068999999999999"/>
    <n v="25.068999999999999"/>
    <m/>
    <n v="825.6"/>
    <n v="185.74"/>
    <m/>
    <n v="25353.282460000002"/>
    <n v="25353.282460000002"/>
    <n v="15760.880300000001"/>
    <n v="0"/>
    <n v="1562.9309686628344"/>
    <n v="0"/>
    <n v="0"/>
    <n v="0"/>
    <n v="3267.2855440104304"/>
    <n v="14722.26618060028"/>
    <n v="4656.423554329429"/>
    <n v="0"/>
    <n v="0"/>
    <n v="0"/>
    <n v="0"/>
    <n v="0"/>
    <n v="241.54468381248188"/>
    <m/>
    <n v="59.435273553709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3.58436082841115"/>
    <n v="0"/>
    <n v="7.03"/>
    <n v="32.5"/>
    <n v="4665.3900000000003"/>
    <n v="93"/>
    <m/>
    <m/>
    <m/>
    <m/>
    <m/>
    <m/>
    <m/>
    <m/>
    <m/>
    <n v="5500.0079151578402"/>
    <m/>
    <m/>
    <m/>
    <m/>
    <m/>
    <m/>
    <m/>
    <m/>
    <m/>
    <m/>
    <m/>
    <m/>
    <n v="15761.509"/>
    <n v="-9591.8034599999974"/>
    <m/>
    <m/>
    <m/>
    <m/>
    <n v="-9592.4021600000015"/>
    <n v="0"/>
    <n v="30"/>
    <n v="-413.47703621386609"/>
    <n v="0"/>
    <n v="0"/>
    <n v="0"/>
    <n v="0"/>
    <n v="0"/>
    <n v="0"/>
    <n v="0"/>
    <n v="-300.77524722638827"/>
    <n v="0"/>
    <n v="0"/>
    <n v="0"/>
    <n v="0"/>
    <n v="0"/>
    <n v="0"/>
    <n v="0"/>
    <n v="0"/>
    <n v="-96.665225398575558"/>
    <m/>
    <n v="0"/>
    <n v="0"/>
    <n v="0"/>
    <n v="0"/>
    <n v="-12.949789034313937"/>
    <n v="-3.0867745545860572"/>
    <n v="0"/>
    <n v="0"/>
    <m/>
    <m/>
    <m/>
    <n v="14722.26618060028"/>
    <n v="0"/>
    <n v="0"/>
    <n v="-9592.4021600000015"/>
    <n v="0"/>
    <n v="0"/>
    <n v="0"/>
    <n v="-9178.9931254834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5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31.91"/>
    <n v="135.81"/>
    <n v="26629.81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0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6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23.44"/>
    <n v="99.69"/>
    <n v="19549.79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n v="30"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7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3.5129999999999999"/>
    <n v="3.3022199999999997"/>
    <n v="3.5129999999999999"/>
    <n v="3.3022199999999997"/>
    <m/>
    <n v="825.6"/>
    <n v="185.74"/>
    <m/>
    <n v="3552.8374200000003"/>
    <n v="3552.8374200000003"/>
    <n v="2208.6230999999998"/>
    <n v="0"/>
    <n v="219.01856846753111"/>
    <n v="0"/>
    <n v="0"/>
    <n v="0"/>
    <n v="457.85528406033916"/>
    <n v="2063.0787463580032"/>
    <n v="652.51968352783456"/>
    <n v="0"/>
    <n v="0"/>
    <n v="0"/>
    <n v="0"/>
    <n v="0"/>
    <n v="33.848437282430446"/>
    <m/>
    <n v="8.3288569944625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21420318282375"/>
    <n v="0"/>
    <n v="0.93"/>
    <n v="4.04"/>
    <n v="0"/>
    <n v="5"/>
    <m/>
    <m/>
    <m/>
    <m/>
    <n v="132.51738600000013"/>
    <m/>
    <m/>
    <m/>
    <m/>
    <n v="770.73388671065834"/>
    <m/>
    <m/>
    <m/>
    <m/>
    <m/>
    <m/>
    <m/>
    <m/>
    <m/>
    <m/>
    <m/>
    <m/>
    <n v="2074.71"/>
    <n v="-1264.9871748"/>
    <m/>
    <m/>
    <m/>
    <m/>
    <n v="-1344.21432"/>
    <n v="0"/>
    <n v="30"/>
    <n v="-57.941873557752842"/>
    <n v="0"/>
    <n v="0"/>
    <n v="0"/>
    <n v="0"/>
    <n v="0"/>
    <n v="0"/>
    <n v="0"/>
    <n v="-42.148607583322132"/>
    <n v="0"/>
    <n v="0"/>
    <n v="0"/>
    <n v="0"/>
    <n v="0"/>
    <n v="0"/>
    <n v="0"/>
    <n v="0"/>
    <n v="-13.546010484071786"/>
    <m/>
    <n v="0"/>
    <n v="0"/>
    <n v="0"/>
    <n v="0"/>
    <n v="-1.814695794708399"/>
    <n v="-0.43255969565043806"/>
    <n v="0"/>
    <n v="0"/>
    <m/>
    <m/>
    <m/>
    <n v="2063.0787463580032"/>
    <n v="0"/>
    <n v="0"/>
    <n v="-1344.2143200000003"/>
    <n v="0"/>
    <n v="0"/>
    <n v="0"/>
    <n v="-1286.281975739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55900000000000005"/>
    <n v="0.55900000000000005"/>
    <n v="0.55900000000000005"/>
    <n v="0.55900000000000005"/>
    <m/>
    <n v="825.6"/>
    <n v="185.74"/>
    <m/>
    <n v="565.33906000000002"/>
    <n v="565.33906000000002"/>
    <n v="351.44330000000002"/>
    <n v="0"/>
    <n v="34.850947843253607"/>
    <n v="0"/>
    <n v="0"/>
    <n v="0"/>
    <n v="72.855423794400693"/>
    <n v="328.2838084867987"/>
    <n v="103.83105695760307"/>
    <n v="0"/>
    <n v="0"/>
    <n v="0"/>
    <n v="0"/>
    <n v="0"/>
    <n v="5.3860735670021693"/>
    <m/>
    <n v="1.3253148476813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810628972160114"/>
    <n v="0"/>
    <n v="0.15"/>
    <n v="0.74"/>
    <n v="142.91999999999999"/>
    <n v="4"/>
    <m/>
    <m/>
    <m/>
    <m/>
    <m/>
    <m/>
    <m/>
    <m/>
    <m/>
    <n v="122.64168592976318"/>
    <m/>
    <m/>
    <m/>
    <m/>
    <m/>
    <m/>
    <m/>
    <m/>
    <m/>
    <m/>
    <m/>
    <m/>
    <n v="352.072"/>
    <n v="-213.29705999999999"/>
    <m/>
    <m/>
    <m/>
    <m/>
    <n v="-213.89576000000005"/>
    <n v="0"/>
    <n v="30"/>
    <n v="-9.2198996068271413"/>
    <n v="0"/>
    <n v="0"/>
    <n v="0"/>
    <n v="0"/>
    <n v="0"/>
    <n v="0"/>
    <n v="0"/>
    <n v="-6.7068236945849975"/>
    <n v="0"/>
    <n v="0"/>
    <n v="0"/>
    <n v="0"/>
    <n v="0"/>
    <n v="0"/>
    <n v="0"/>
    <n v="0"/>
    <n v="-2.1554853004828232"/>
    <m/>
    <n v="0"/>
    <n v="0"/>
    <n v="0"/>
    <n v="0"/>
    <n v="-0.28876030436720601"/>
    <n v="-6.8830307392142132E-2"/>
    <n v="0"/>
    <n v="0"/>
    <m/>
    <m/>
    <m/>
    <n v="328.2838084867987"/>
    <n v="0"/>
    <n v="0"/>
    <n v="-213.89576000000005"/>
    <n v="0"/>
    <n v="0"/>
    <n v="0"/>
    <n v="-204.677376726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29"/>
    <s v="Regular"/>
    <s v="Convencional"/>
    <s v="B3"/>
    <s v="Serviço público"/>
    <s v="Tração elétrica"/>
    <s v="Não se aplica"/>
    <s v="Não se aplica"/>
    <s v="Não se aplica"/>
    <s v="CATIVO"/>
    <x v="7"/>
    <n v="0"/>
    <n v="0"/>
    <n v="0.03"/>
    <n v="0.03"/>
    <n v="0.03"/>
    <n v="0.03"/>
    <m/>
    <n v="825.6"/>
    <n v="185.74"/>
    <m/>
    <n v="30.340200000000003"/>
    <n v="30.340200000000003"/>
    <n v="18.860999999999997"/>
    <n v="0"/>
    <n v="1.8703549826433059"/>
    <n v="0"/>
    <n v="0"/>
    <n v="0"/>
    <n v="3.90995118753492"/>
    <n v="17.618093478719071"/>
    <n v="5.5723286381540102"/>
    <n v="0"/>
    <n v="0"/>
    <n v="0"/>
    <n v="0"/>
    <n v="0"/>
    <n v="0.28905582649385519"/>
    <m/>
    <n v="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9514971672278"/>
    <n v="0"/>
    <n v="0"/>
    <n v="0.04"/>
    <n v="0"/>
    <n v="1"/>
    <m/>
    <m/>
    <m/>
    <m/>
    <m/>
    <m/>
    <m/>
    <m/>
    <m/>
    <n v="6.5818436098262882"/>
    <m/>
    <m/>
    <m/>
    <m/>
    <m/>
    <m/>
    <m/>
    <m/>
    <m/>
    <m/>
    <m/>
    <m/>
    <n v="18.860999999999997"/>
    <n v="-11.509200000000011"/>
    <m/>
    <m/>
    <m/>
    <m/>
    <n v="-11.479200000000001"/>
    <n v="0"/>
    <n v="30"/>
    <n v="-0.49480677675279949"/>
    <n v="0"/>
    <n v="0"/>
    <n v="0"/>
    <n v="0"/>
    <n v="0"/>
    <n v="0"/>
    <n v="0"/>
    <n v="-0.35993687090796023"/>
    <n v="0"/>
    <n v="0"/>
    <n v="0"/>
    <n v="0"/>
    <n v="0"/>
    <n v="0"/>
    <n v="0"/>
    <n v="0"/>
    <n v="-0.11567899644809398"/>
    <m/>
    <n v="0"/>
    <n v="0"/>
    <n v="0"/>
    <n v="0"/>
    <n v="-1.5496975189653261E-2"/>
    <n v="-3.6939342070917008E-3"/>
    <n v="0"/>
    <n v="0"/>
    <m/>
    <m/>
    <m/>
    <n v="17.618093478719071"/>
    <n v="0"/>
    <n v="0"/>
    <n v="-11.479200000000002"/>
    <n v="0"/>
    <n v="0"/>
    <n v="0"/>
    <n v="-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0"/>
    <s v="Regular"/>
    <s v="Convencional"/>
    <s v="B1"/>
    <s v="Residencial"/>
    <s v="Residencial"/>
    <s v="Não se aplica"/>
    <s v="Não se aplica"/>
    <s v="Não se aplica"/>
    <s v="CATIVO"/>
    <x v="8"/>
    <n v="0"/>
    <n v="0"/>
    <n v="1274.4059999999999"/>
    <n v="1274.4059999999999"/>
    <n v="1274.4059999999999"/>
    <n v="1274.4059999999999"/>
    <m/>
    <n v="825.6"/>
    <n v="185.74"/>
    <m/>
    <n v="1288857.76404"/>
    <n v="1288857.76404"/>
    <n v="801219.05219999992"/>
    <n v="0"/>
    <n v="79453.053733684166"/>
    <n v="0"/>
    <n v="0"/>
    <n v="0"/>
    <n v="166095.50843672091"/>
    <n v="748420.13459468191"/>
    <n v="236713.63501450999"/>
    <n v="0"/>
    <n v="0"/>
    <n v="0"/>
    <n v="0"/>
    <n v="0"/>
    <n v="12279.149320624269"/>
    <m/>
    <n v="3021.4475738357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884.397899632699"/>
    <n v="0"/>
    <n v="288.13"/>
    <n v="1667.74"/>
    <n v="170736.84"/>
    <n v="8231"/>
    <m/>
    <m/>
    <m/>
    <m/>
    <m/>
    <m/>
    <m/>
    <m/>
    <m/>
    <n v="279598.03291414271"/>
    <m/>
    <m/>
    <m/>
    <m/>
    <m/>
    <m/>
    <m/>
    <m/>
    <m/>
    <m/>
    <m/>
    <m/>
    <n v="801221.56700000004"/>
    <n v="-487636.22704000003"/>
    <m/>
    <m/>
    <m/>
    <m/>
    <n v="-487638.71184000006"/>
    <n v="0"/>
    <n v="31"/>
    <n v="-21019.490837814228"/>
    <n v="0"/>
    <n v="0"/>
    <n v="0"/>
    <n v="0"/>
    <n v="0"/>
    <n v="0"/>
    <n v="0"/>
    <n v="-15290.190263544326"/>
    <n v="0"/>
    <n v="0"/>
    <n v="0"/>
    <n v="0"/>
    <n v="0"/>
    <n v="0"/>
    <n v="0"/>
    <n v="0"/>
    <n v="-4914.0669049143326"/>
    <m/>
    <n v="0"/>
    <n v="0"/>
    <n v="0"/>
    <n v="0"/>
    <n v="-658.31460545151094"/>
    <n v="-156.91906390409667"/>
    <n v="0"/>
    <n v="0"/>
    <m/>
    <m/>
    <m/>
    <n v="748420.13459468191"/>
    <n v="0"/>
    <n v="0"/>
    <n v="-487638.71184000012"/>
    <n v="0"/>
    <n v="0"/>
    <n v="0"/>
    <n v="-466622.67793190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1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11.041"/>
    <n v="-11.041"/>
    <n v="-11.041"/>
    <n v="-11.041"/>
    <m/>
    <n v="825.6"/>
    <n v="185.74"/>
    <m/>
    <n v="-11166.20494"/>
    <n v="-11166.20494"/>
    <n v="-6941.4766999999993"/>
    <n v="0"/>
    <n v="-688.35297877882476"/>
    <n v="0"/>
    <n v="0"/>
    <n v="0"/>
    <n v="-1438.9923687191019"/>
    <n v="-6484.0456699512424"/>
    <n v="-2050.8026831286143"/>
    <n v="0"/>
    <n v="0"/>
    <n v="0"/>
    <n v="0"/>
    <n v="0"/>
    <n v="-106.38217934395519"/>
    <m/>
    <n v="-26.176746392217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71.53516007445404"/>
    <n v="0"/>
    <n v="-2.91"/>
    <n v="-14.54"/>
    <n v="-2343.0100000000002"/>
    <n v="0"/>
    <m/>
    <m/>
    <m/>
    <m/>
    <m/>
    <m/>
    <m/>
    <m/>
    <m/>
    <n v="-2422.3378432030681"/>
    <m/>
    <m/>
    <m/>
    <m/>
    <m/>
    <m/>
    <m/>
    <m/>
    <m/>
    <m/>
    <m/>
    <m/>
    <n v="-6940.847999999999"/>
    <n v="4225.3269399999999"/>
    <m/>
    <m/>
    <m/>
    <m/>
    <n v="4224.7282400000004"/>
    <n v="0"/>
    <n v="31"/>
    <n v="182.10538740425636"/>
    <n v="0"/>
    <n v="0"/>
    <n v="0"/>
    <n v="0"/>
    <n v="0"/>
    <n v="0"/>
    <n v="0"/>
    <n v="132.46876638982644"/>
    <n v="0"/>
    <n v="0"/>
    <n v="0"/>
    <n v="0"/>
    <n v="0"/>
    <n v="0"/>
    <n v="0"/>
    <n v="0"/>
    <n v="42.573726659446947"/>
    <m/>
    <n v="0"/>
    <n v="0"/>
    <n v="0"/>
    <n v="0"/>
    <n v="5.7034034356320689"/>
    <n v="1.3594909193499802"/>
    <n v="0"/>
    <n v="0"/>
    <m/>
    <m/>
    <m/>
    <n v="-6484.0456699512424"/>
    <n v="0"/>
    <n v="0"/>
    <n v="4224.7282400000004"/>
    <n v="0"/>
    <n v="0"/>
    <n v="0"/>
    <n v="4042.6528022044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2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2.147"/>
    <n v="12.147"/>
    <n v="12.147"/>
    <n v="12.147"/>
    <m/>
    <n v="825.6"/>
    <n v="185.74"/>
    <m/>
    <n v="12284.74698"/>
    <n v="12284.74698"/>
    <n v="7636.8189000000002"/>
    <n v="0"/>
    <n v="757.30673247227458"/>
    <n v="0"/>
    <n v="0"/>
    <n v="0"/>
    <n v="1583.1392358328892"/>
    <n v="7133.5660495333523"/>
    <n v="2256.2358655885587"/>
    <n v="0"/>
    <n v="0"/>
    <n v="0"/>
    <n v="0"/>
    <n v="0"/>
    <n v="117.03870414736198"/>
    <m/>
    <n v="28.798925679401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75261203010535"/>
    <n v="0"/>
    <n v="2.37"/>
    <n v="13.69"/>
    <n v="6240.07"/>
    <n v="87"/>
    <m/>
    <m/>
    <m/>
    <m/>
    <m/>
    <m/>
    <m/>
    <m/>
    <m/>
    <n v="2664.9884776186641"/>
    <m/>
    <m/>
    <m/>
    <m/>
    <m/>
    <m/>
    <m/>
    <m/>
    <m/>
    <m/>
    <m/>
    <m/>
    <n v="7638.7049999999999"/>
    <n v="-4646.0719800000006"/>
    <m/>
    <m/>
    <m/>
    <m/>
    <n v="-4647.9280800000006"/>
    <n v="0"/>
    <n v="31"/>
    <n v="-200.34726390721062"/>
    <n v="0"/>
    <n v="0"/>
    <n v="0"/>
    <n v="0"/>
    <n v="0"/>
    <n v="0"/>
    <n v="0"/>
    <n v="-145.73843903063312"/>
    <n v="0"/>
    <n v="0"/>
    <n v="0"/>
    <n v="0"/>
    <n v="0"/>
    <n v="0"/>
    <n v="0"/>
    <n v="0"/>
    <n v="-46.838425661833185"/>
    <m/>
    <n v="0"/>
    <n v="0"/>
    <n v="0"/>
    <n v="0"/>
    <n v="-6.2747252542906153"/>
    <n v="-1.4956739604514269"/>
    <n v="0"/>
    <n v="0"/>
    <m/>
    <m/>
    <m/>
    <n v="7133.5660495333523"/>
    <n v="0"/>
    <n v="0"/>
    <n v="-4647.9280800000006"/>
    <n v="0"/>
    <n v="0"/>
    <n v="0"/>
    <n v="-4447.6137658162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3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-17.548999999999999"/>
    <n v="-17.548999999999999"/>
    <n v="-17.548999999999999"/>
    <n v="-17.548999999999999"/>
    <m/>
    <n v="825.6"/>
    <n v="185.74"/>
    <m/>
    <n v="-17748.005660000003"/>
    <n v="-17748.005660000003"/>
    <n v="-11033.0563"/>
    <n v="0"/>
    <n v="-1094.0953196802459"/>
    <n v="0"/>
    <n v="0"/>
    <n v="0"/>
    <n v="-2287.191113001677"/>
    <n v="-10305.997415268032"/>
    <n v="-3259.6265090321576"/>
    <n v="0"/>
    <n v="0"/>
    <n v="0"/>
    <n v="0"/>
    <n v="0"/>
    <n v="-169.08802330468885"/>
    <m/>
    <n v="-41.606351094740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90.53260792922686"/>
    <n v="0"/>
    <n v="-5.44"/>
    <n v="-23.09"/>
    <n v="-4802.8100000000004"/>
    <n v="4"/>
    <m/>
    <m/>
    <m/>
    <m/>
    <m/>
    <m/>
    <m/>
    <m/>
    <m/>
    <n v="-3850.1591169613844"/>
    <m/>
    <m/>
    <m/>
    <m/>
    <m/>
    <m/>
    <m/>
    <m/>
    <m/>
    <m/>
    <m/>
    <m/>
    <n v="-11033.685000000001"/>
    <n v="6714.2906599999988"/>
    <m/>
    <m/>
    <m/>
    <m/>
    <n v="6714.9493600000005"/>
    <n v="0"/>
    <n v="31"/>
    <n v="289.44547084116221"/>
    <n v="0"/>
    <n v="0"/>
    <n v="0"/>
    <n v="0"/>
    <n v="0"/>
    <n v="0"/>
    <n v="0"/>
    <n v="210.55107158545979"/>
    <n v="0"/>
    <n v="0"/>
    <n v="0"/>
    <n v="0"/>
    <n v="0"/>
    <n v="0"/>
    <n v="0"/>
    <n v="0"/>
    <n v="67.66835695558666"/>
    <m/>
    <n v="0"/>
    <n v="0"/>
    <n v="0"/>
    <n v="0"/>
    <n v="9.0652139201075386"/>
    <n v="2.1608283800084038"/>
    <n v="0"/>
    <n v="0"/>
    <m/>
    <m/>
    <m/>
    <n v="-10305.997415268032"/>
    <n v="0"/>
    <n v="0"/>
    <n v="6714.9493600000014"/>
    <n v="0"/>
    <n v="0"/>
    <n v="0"/>
    <n v="6425.5514922457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4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8.52"/>
    <n v="8.52"/>
    <n v="8.52"/>
    <n v="8.52"/>
    <m/>
    <n v="753.62"/>
    <n v="185.74"/>
    <m/>
    <n v="8003.3471999999992"/>
    <n v="8003.3471999999992"/>
    <n v="4780.4867999999997"/>
    <n v="0"/>
    <n v="0"/>
    <n v="0"/>
    <n v="0"/>
    <n v="0"/>
    <n v="1110.4261372599174"/>
    <n v="5003.5385479562156"/>
    <n v="1582.5413332357389"/>
    <n v="0"/>
    <n v="0"/>
    <n v="0"/>
    <n v="0"/>
    <n v="0"/>
    <n v="0"/>
    <m/>
    <n v="20.199789807236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.70225195492691"/>
    <n v="0"/>
    <n v="0"/>
    <n v="2.84"/>
    <n v="227.2"/>
    <n v="26"/>
    <m/>
    <m/>
    <m/>
    <m/>
    <m/>
    <m/>
    <m/>
    <n v="3107.3292000000001"/>
    <m/>
    <n v="1869.2435851906657"/>
    <m/>
    <m/>
    <m/>
    <m/>
    <m/>
    <m/>
    <m/>
    <m/>
    <m/>
    <m/>
    <m/>
    <m/>
    <n v="1673.1576"/>
    <n v="-1128.0780000000004"/>
    <m/>
    <m/>
    <m/>
    <m/>
    <n v="-3222.8603999999996"/>
    <n v="0"/>
    <n v="31"/>
    <n v="-103.27114865267504"/>
    <n v="0"/>
    <n v="0"/>
    <n v="0"/>
    <n v="0"/>
    <n v="0"/>
    <n v="0"/>
    <n v="0"/>
    <n v="-102.22207133786071"/>
    <n v="0"/>
    <n v="0"/>
    <n v="0"/>
    <n v="0"/>
    <n v="0"/>
    <n v="0"/>
    <n v="0"/>
    <n v="0"/>
    <n v="0"/>
    <m/>
    <n v="0"/>
    <n v="0"/>
    <n v="0"/>
    <n v="0"/>
    <n v="0"/>
    <n v="-1.049077314814042"/>
    <n v="0"/>
    <n v="0"/>
    <m/>
    <m/>
    <m/>
    <n v="5003.5385479562156"/>
    <n v="0"/>
    <n v="0"/>
    <n v="-3222.8603999999996"/>
    <n v="0"/>
    <n v="0"/>
    <n v="0"/>
    <n v="-3119.5907865937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5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3"/>
    <n v="-2.8500000000000001E-2"/>
    <n v="0.03"/>
    <n v="-2.8500000000000001E-2"/>
    <m/>
    <n v="753.62"/>
    <n v="185.74"/>
    <m/>
    <n v="28.180799999999998"/>
    <n v="28.180799999999998"/>
    <n v="16.832700000000003"/>
    <n v="0"/>
    <n v="0"/>
    <n v="0"/>
    <n v="0"/>
    <n v="0"/>
    <n v="3.90995118753492"/>
    <n v="17.618093478719071"/>
    <n v="5.5723286381540102"/>
    <n v="0"/>
    <n v="0"/>
    <n v="0"/>
    <n v="0"/>
    <n v="0"/>
    <n v="0"/>
    <m/>
    <n v="7.11260204480150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9514971672278"/>
    <n v="0"/>
    <n v="0"/>
    <n v="0.01"/>
    <n v="2.13"/>
    <n v="0"/>
    <m/>
    <m/>
    <m/>
    <m/>
    <m/>
    <m/>
    <m/>
    <n v="22.42953"/>
    <m/>
    <n v="6.5818436098262882"/>
    <m/>
    <m/>
    <m/>
    <m/>
    <m/>
    <m/>
    <m/>
    <m/>
    <m/>
    <m/>
    <m/>
    <m/>
    <n v="-5.8914"/>
    <n v="3.4488300000000001"/>
    <m/>
    <m/>
    <m/>
    <m/>
    <n v="-11.348099999999999"/>
    <n v="0"/>
    <n v="31"/>
    <n v="-0.36363080511505075"/>
    <n v="0"/>
    <n v="0"/>
    <n v="0"/>
    <n v="0"/>
    <n v="0"/>
    <n v="0"/>
    <n v="0"/>
    <n v="-0.35993687090796023"/>
    <n v="0"/>
    <n v="0"/>
    <n v="0"/>
    <n v="0"/>
    <n v="0"/>
    <n v="0"/>
    <n v="0"/>
    <n v="0"/>
    <n v="0"/>
    <m/>
    <n v="0"/>
    <n v="0"/>
    <n v="0"/>
    <n v="0"/>
    <n v="0"/>
    <n v="-3.6939342070917008E-3"/>
    <n v="0"/>
    <n v="0"/>
    <m/>
    <m/>
    <m/>
    <n v="17.618093478719071"/>
    <n v="0"/>
    <n v="0"/>
    <n v="-11.348099999999999"/>
    <n v="0"/>
    <n v="0"/>
    <n v="0"/>
    <n v="-10.98447460068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6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6.582000000000001"/>
    <n v="16.582000000000001"/>
    <n v="16.582000000000001"/>
    <n v="16.582000000000001"/>
    <m/>
    <n v="753.62"/>
    <n v="185.74"/>
    <m/>
    <n v="15576.46752"/>
    <n v="15576.46752"/>
    <n v="9303.9943800000001"/>
    <n v="0"/>
    <n v="0"/>
    <n v="0"/>
    <n v="0"/>
    <n v="0"/>
    <n v="2161.1603530568018"/>
    <n v="9738.1075354706554"/>
    <n v="3080.01178259566"/>
    <n v="0"/>
    <n v="0"/>
    <n v="0"/>
    <n v="0"/>
    <n v="0"/>
    <n v="0"/>
    <m/>
    <n v="39.313722368966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.99257534232379"/>
    <n v="0"/>
    <n v="2.21"/>
    <n v="11.86"/>
    <n v="762.66"/>
    <n v="51"/>
    <m/>
    <m/>
    <m/>
    <m/>
    <m/>
    <m/>
    <m/>
    <n v="3721.4982600000003"/>
    <m/>
    <n v="3638.0043579379835"/>
    <m/>
    <m/>
    <m/>
    <m/>
    <m/>
    <m/>
    <m/>
    <m/>
    <m/>
    <m/>
    <m/>
    <m/>
    <n v="5581.8227999999999"/>
    <n v="-3764.1540400000013"/>
    <m/>
    <m/>
    <m/>
    <m/>
    <n v="-6272.4731400000001"/>
    <n v="0"/>
    <n v="31"/>
    <n v="-200.99086701392662"/>
    <n v="0"/>
    <n v="0"/>
    <n v="0"/>
    <n v="0"/>
    <n v="0"/>
    <n v="0"/>
    <n v="0"/>
    <n v="-198.94910644652668"/>
    <n v="0"/>
    <n v="0"/>
    <n v="0"/>
    <n v="0"/>
    <n v="0"/>
    <n v="0"/>
    <n v="0"/>
    <n v="0"/>
    <n v="0"/>
    <m/>
    <n v="0"/>
    <n v="0"/>
    <n v="0"/>
    <n v="0"/>
    <n v="0"/>
    <n v="-2.0417605673998196"/>
    <n v="0"/>
    <n v="0"/>
    <m/>
    <m/>
    <m/>
    <n v="9738.1075354706554"/>
    <n v="0"/>
    <n v="0"/>
    <n v="-6272.4731400000001"/>
    <n v="0"/>
    <n v="0"/>
    <n v="0"/>
    <n v="-6071.485260950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7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7.0000000000000007E-2"/>
    <n v="-1.4E-2"/>
    <n v="7.0000000000000007E-2"/>
    <n v="-1.4E-2"/>
    <m/>
    <n v="753.62"/>
    <n v="185.74"/>
    <m/>
    <n v="65.755200000000002"/>
    <n v="65.755200000000002"/>
    <n v="39.276300000000006"/>
    <n v="0"/>
    <n v="0"/>
    <n v="0"/>
    <n v="0"/>
    <n v="0"/>
    <n v="9.123219437581481"/>
    <n v="41.108884783677837"/>
    <n v="13.002100155692691"/>
    <n v="0"/>
    <n v="0"/>
    <n v="0"/>
    <n v="0"/>
    <n v="0"/>
    <n v="0"/>
    <m/>
    <n v="0.16596071437870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555349339019824"/>
    <n v="0"/>
    <n v="0.01"/>
    <n v="0.05"/>
    <n v="8.58"/>
    <n v="0"/>
    <m/>
    <m/>
    <m/>
    <m/>
    <m/>
    <m/>
    <m/>
    <n v="43.989540000000005"/>
    <m/>
    <n v="15.357635089594673"/>
    <m/>
    <m/>
    <m/>
    <m/>
    <m/>
    <m/>
    <m/>
    <m/>
    <m/>
    <m/>
    <m/>
    <m/>
    <n v="-3.3666"/>
    <n v="4.4940800000000012"/>
    <m/>
    <m/>
    <m/>
    <m/>
    <n v="-26.478900000000003"/>
    <n v="0"/>
    <n v="31"/>
    <n v="-0.84847187860179218"/>
    <n v="0"/>
    <n v="0"/>
    <n v="0"/>
    <n v="0"/>
    <n v="0"/>
    <n v="0"/>
    <n v="0"/>
    <n v="-0.83985269878523994"/>
    <n v="0"/>
    <n v="0"/>
    <n v="0"/>
    <n v="0"/>
    <n v="0"/>
    <n v="0"/>
    <n v="0"/>
    <n v="0"/>
    <n v="0"/>
    <m/>
    <n v="0"/>
    <n v="0"/>
    <n v="0"/>
    <n v="0"/>
    <n v="0"/>
    <n v="-8.6191798165473066E-3"/>
    <n v="0"/>
    <n v="0"/>
    <m/>
    <m/>
    <m/>
    <n v="41.108884783677837"/>
    <n v="0"/>
    <n v="0"/>
    <n v="-26.478900000000003"/>
    <n v="0"/>
    <n v="0"/>
    <n v="0"/>
    <n v="-25.630440734925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8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5.872"/>
    <n v="15.872"/>
    <n v="15.872"/>
    <n v="15.872"/>
    <m/>
    <n v="753.62"/>
    <n v="185.74"/>
    <m/>
    <n v="14909.521920000001"/>
    <n v="14909.521920000001"/>
    <n v="8905.6204800000014"/>
    <n v="0"/>
    <n v="0"/>
    <n v="0"/>
    <n v="0"/>
    <n v="0"/>
    <n v="2068.6248416184753"/>
    <n v="9321.1459898076373"/>
    <n v="2948.1333381593486"/>
    <n v="0"/>
    <n v="0"/>
    <n v="0"/>
    <n v="0"/>
    <n v="0"/>
    <n v="0"/>
    <m/>
    <n v="37.630406551696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.10072101274659"/>
    <n v="0"/>
    <n v="2.44"/>
    <n v="15.79"/>
    <n v="1812.74"/>
    <n v="135"/>
    <m/>
    <m/>
    <m/>
    <m/>
    <m/>
    <m/>
    <m/>
    <n v="890.41920000000073"/>
    <m/>
    <n v="3482.2340591720949"/>
    <m/>
    <m/>
    <m/>
    <m/>
    <m/>
    <m/>
    <m/>
    <m/>
    <m/>
    <m/>
    <m/>
    <m/>
    <n v="8014.1912999999986"/>
    <n v="-5404.5036600000021"/>
    <m/>
    <m/>
    <m/>
    <m/>
    <n v="-6003.9014399999996"/>
    <n v="0"/>
    <n v="31"/>
    <n v="-192.38493795953673"/>
    <n v="0"/>
    <n v="0"/>
    <n v="0"/>
    <n v="0"/>
    <n v="0"/>
    <n v="0"/>
    <n v="0"/>
    <n v="-190.43060050170493"/>
    <n v="0"/>
    <n v="0"/>
    <n v="0"/>
    <n v="0"/>
    <n v="0"/>
    <n v="0"/>
    <n v="0"/>
    <n v="0"/>
    <n v="0"/>
    <m/>
    <n v="0"/>
    <n v="0"/>
    <n v="0"/>
    <n v="0"/>
    <n v="0"/>
    <n v="-1.9543374578319757"/>
    <n v="0"/>
    <n v="0"/>
    <m/>
    <m/>
    <m/>
    <n v="9321.1459898076373"/>
    <n v="0"/>
    <n v="0"/>
    <n v="-6003.9014399999996"/>
    <n v="0"/>
    <n v="0"/>
    <n v="0"/>
    <n v="-5811.519362067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39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4000000000000002E-2"/>
    <n v="2.3800000000000002E-2"/>
    <n v="3.4000000000000002E-2"/>
    <n v="2.3800000000000002E-2"/>
    <m/>
    <n v="753.62"/>
    <n v="185.74"/>
    <m/>
    <n v="31.93824"/>
    <n v="31.93824"/>
    <n v="19.077060000000003"/>
    <n v="0"/>
    <n v="0"/>
    <n v="0"/>
    <n v="0"/>
    <n v="0"/>
    <n v="4.4312780125395763"/>
    <n v="19.967172609214948"/>
    <n v="6.3153057899078791"/>
    <n v="0"/>
    <n v="0"/>
    <n v="0"/>
    <n v="0"/>
    <n v="0"/>
    <n v="0"/>
    <m/>
    <n v="8.06094898410837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441169678952485"/>
    <n v="0"/>
    <n v="0"/>
    <n v="0.04"/>
    <n v="39.5"/>
    <n v="0"/>
    <m/>
    <m/>
    <m/>
    <m/>
    <m/>
    <m/>
    <m/>
    <n v="7.0582980000000015"/>
    <m/>
    <n v="7.4594227578031278"/>
    <m/>
    <m/>
    <m/>
    <m/>
    <m/>
    <m/>
    <m/>
    <m/>
    <m/>
    <m/>
    <m/>
    <m/>
    <n v="10.0998"/>
    <n v="-10.051434000000006"/>
    <m/>
    <m/>
    <m/>
    <m/>
    <n v="-12.861180000000001"/>
    <n v="0"/>
    <n v="31"/>
    <n v="-0.41211491246372667"/>
    <n v="0"/>
    <n v="0"/>
    <n v="0"/>
    <n v="0"/>
    <n v="0"/>
    <n v="0"/>
    <n v="0"/>
    <n v="-0.4079284536956882"/>
    <n v="0"/>
    <n v="0"/>
    <n v="0"/>
    <n v="0"/>
    <n v="0"/>
    <n v="0"/>
    <n v="0"/>
    <n v="0"/>
    <n v="0"/>
    <m/>
    <n v="0"/>
    <n v="0"/>
    <n v="0"/>
    <n v="0"/>
    <n v="0"/>
    <n v="-4.1864587680372628E-3"/>
    <n v="0"/>
    <n v="0"/>
    <m/>
    <m/>
    <m/>
    <n v="19.967172609214948"/>
    <n v="0"/>
    <n v="0"/>
    <n v="-12.861179999999999"/>
    <n v="0"/>
    <n v="0"/>
    <n v="0"/>
    <n v="-12.449071214106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0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7.53"/>
    <n v="7.53"/>
    <n v="7.53"/>
    <n v="7.53"/>
    <m/>
    <n v="753.62"/>
    <n v="185.74"/>
    <m/>
    <n v="7073.3807999999999"/>
    <n v="7073.3807999999999"/>
    <n v="4225.0077000000001"/>
    <n v="0"/>
    <n v="0"/>
    <n v="0"/>
    <n v="0"/>
    <n v="0"/>
    <n v="981.39774807126503"/>
    <n v="4422.1414631584867"/>
    <n v="1398.6544881766567"/>
    <n v="0"/>
    <n v="0"/>
    <n v="0"/>
    <n v="0"/>
    <n v="0"/>
    <n v="0"/>
    <m/>
    <n v="17.852631132451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.38825788974179"/>
    <n v="0"/>
    <n v="1.79"/>
    <n v="8.5"/>
    <n v="1411.66"/>
    <n v="72"/>
    <m/>
    <m/>
    <m/>
    <m/>
    <m/>
    <m/>
    <m/>
    <m/>
    <m/>
    <n v="1652.0427460663986"/>
    <m/>
    <m/>
    <m/>
    <m/>
    <m/>
    <m/>
    <m/>
    <m/>
    <m/>
    <m/>
    <m/>
    <m/>
    <n v="4225.0077000000001"/>
    <n v="-2848.4031000000004"/>
    <m/>
    <m/>
    <m/>
    <m/>
    <n v="-2848.3730999999998"/>
    <n v="0"/>
    <n v="31"/>
    <n v="-91.271332083877951"/>
    <n v="0"/>
    <n v="0"/>
    <n v="0"/>
    <n v="0"/>
    <n v="0"/>
    <n v="0"/>
    <n v="0"/>
    <n v="-90.344154597898068"/>
    <n v="0"/>
    <n v="0"/>
    <n v="0"/>
    <n v="0"/>
    <n v="0"/>
    <n v="0"/>
    <n v="0"/>
    <n v="0"/>
    <n v="0"/>
    <m/>
    <n v="0"/>
    <n v="0"/>
    <n v="0"/>
    <n v="0"/>
    <n v="0"/>
    <n v="-0.92717748598001748"/>
    <n v="0"/>
    <n v="0"/>
    <m/>
    <m/>
    <m/>
    <n v="4422.1414631584867"/>
    <n v="0"/>
    <n v="0"/>
    <n v="-2848.3730999999998"/>
    <n v="0"/>
    <n v="0"/>
    <n v="0"/>
    <n v="-2757.103124771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1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1.72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42"/>
    <s v="Regular"/>
    <s v="Branca"/>
    <s v="B1"/>
    <s v="Residencial"/>
    <s v="Residencial"/>
    <s v="Não se aplica"/>
    <s v="Não se aplica"/>
    <s v="Ponta"/>
    <s v="CATIVO"/>
    <x v="8"/>
    <n v="0"/>
    <n v="0"/>
    <n v="9.6000000000000002E-2"/>
    <n v="9.6000000000000002E-2"/>
    <n v="9.6000000000000002E-2"/>
    <n v="9.6000000000000002E-2"/>
    <m/>
    <n v="2045.69"/>
    <n v="185.74"/>
    <m/>
    <n v="214.21728000000002"/>
    <n v="214.21728000000002"/>
    <n v="115.76832"/>
    <n v="0"/>
    <n v="5.9851359444585794"/>
    <n v="0"/>
    <n v="0"/>
    <n v="0"/>
    <n v="33.797432169437087"/>
    <n v="152.22028016684641"/>
    <n v="17.831451642092834"/>
    <n v="0"/>
    <n v="0"/>
    <n v="0"/>
    <n v="0"/>
    <n v="0"/>
    <n v="0.92497864478033676"/>
    <m/>
    <n v="0.22760326543364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304479093512897"/>
    <n v="0"/>
    <n v="0"/>
    <n v="0"/>
    <n v="0"/>
    <n v="0"/>
    <m/>
    <m/>
    <m/>
    <m/>
    <m/>
    <m/>
    <m/>
    <m/>
    <m/>
    <n v="21.061899551444125"/>
    <m/>
    <m/>
    <m/>
    <m/>
    <m/>
    <m/>
    <m/>
    <m/>
    <m/>
    <m/>
    <m/>
    <m/>
    <n v="120.592"/>
    <n v="-93.655279999999991"/>
    <m/>
    <m/>
    <m/>
    <m/>
    <n v="-98.448960000000028"/>
    <n v="0"/>
    <n v="31"/>
    <n v="-3.5428608979109129"/>
    <n v="0"/>
    <n v="0"/>
    <n v="0"/>
    <n v="0"/>
    <n v="0"/>
    <n v="0"/>
    <n v="0"/>
    <n v="-3.1112771992074215"/>
    <n v="0"/>
    <n v="0"/>
    <n v="0"/>
    <n v="0"/>
    <n v="0"/>
    <n v="0"/>
    <n v="0"/>
    <n v="0"/>
    <n v="-0.37017278863390057"/>
    <m/>
    <n v="0"/>
    <n v="0"/>
    <n v="0"/>
    <n v="0"/>
    <n v="-4.9590320606890614E-2"/>
    <n v="-1.1820589462693432E-2"/>
    <n v="0"/>
    <n v="0"/>
    <m/>
    <m/>
    <m/>
    <n v="152.22028016684641"/>
    <n v="0"/>
    <n v="0"/>
    <n v="-98.448960000000014"/>
    <n v="0"/>
    <n v="0"/>
    <n v="0"/>
    <n v="-94.90583094142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3"/>
    <s v="Regular"/>
    <s v="Branca"/>
    <s v="B1"/>
    <s v="Residencial"/>
    <s v="Residencial"/>
    <s v="Não se aplica"/>
    <s v="Não se aplica"/>
    <s v="Fora ponta"/>
    <s v="CATIVO"/>
    <x v="8"/>
    <n v="0"/>
    <n v="0"/>
    <n v="0.95899999999999996"/>
    <n v="0.95899999999999996"/>
    <n v="0.95899999999999996"/>
    <n v="0.95899999999999996"/>
    <m/>
    <n v="495.6"/>
    <n v="185.74"/>
    <m/>
    <n v="653.40506000000005"/>
    <n v="653.40506000000005"/>
    <n v="453.26175999999998"/>
    <n v="0"/>
    <n v="59.789014278497675"/>
    <n v="0"/>
    <n v="0"/>
    <n v="0"/>
    <n v="67.586208106403873"/>
    <n v="304.12319755092119"/>
    <n v="178.12877213298987"/>
    <n v="0"/>
    <n v="0"/>
    <n v="0"/>
    <n v="0"/>
    <n v="0"/>
    <n v="9.2401512535869053"/>
    <m/>
    <n v="2.2736617869882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27082859445715"/>
    <n v="0"/>
    <n v="0"/>
    <n v="0"/>
    <n v="0"/>
    <n v="0"/>
    <m/>
    <m/>
    <m/>
    <m/>
    <m/>
    <m/>
    <m/>
    <m/>
    <m/>
    <n v="210.39960072744702"/>
    <m/>
    <m/>
    <m/>
    <m/>
    <m/>
    <m/>
    <m/>
    <m/>
    <m/>
    <m/>
    <m/>
    <m/>
    <n v="453.73439999999999"/>
    <n v="-199.70066000000003"/>
    <m/>
    <m/>
    <m/>
    <m/>
    <n v="-200.14330000000004"/>
    <n v="0"/>
    <n v="31"/>
    <n v="-10.533098858462267"/>
    <n v="0"/>
    <n v="0"/>
    <n v="0"/>
    <n v="0"/>
    <n v="0"/>
    <n v="0"/>
    <n v="0"/>
    <n v="-6.2217575349554934"/>
    <n v="0"/>
    <n v="0"/>
    <n v="0"/>
    <n v="0"/>
    <n v="0"/>
    <n v="0"/>
    <n v="0"/>
    <n v="0"/>
    <n v="-3.6978719197907353"/>
    <m/>
    <n v="0"/>
    <n v="0"/>
    <n v="0"/>
    <n v="0"/>
    <n v="-0.49538664022925083"/>
    <n v="-0.11808276348669766"/>
    <n v="0"/>
    <n v="0"/>
    <m/>
    <m/>
    <m/>
    <n v="304.12319755092119"/>
    <n v="0"/>
    <n v="0"/>
    <n v="-200.14330000000001"/>
    <n v="0"/>
    <n v="0"/>
    <n v="0"/>
    <n v="-189.6137935135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4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5"/>
    <n v="1.32"/>
    <n v="166.8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45"/>
    <s v="Regular"/>
    <s v="Branca"/>
    <s v="B1"/>
    <s v="Residencial"/>
    <s v="Residencial"/>
    <s v="Não se aplica"/>
    <s v="Não se aplica"/>
    <s v="Intermediário"/>
    <s v="CATIVO"/>
    <x v="8"/>
    <n v="0"/>
    <n v="0"/>
    <n v="3.5999999999999997E-2"/>
    <n v="3.5999999999999997E-2"/>
    <n v="3.5999999999999997E-2"/>
    <n v="3.5999999999999997E-2"/>
    <m/>
    <n v="1270.6099999999999"/>
    <n v="185.74"/>
    <m/>
    <n v="52.428599999999989"/>
    <n v="52.428599999999989"/>
    <n v="30.212999999999997"/>
    <n v="0"/>
    <n v="2.2444259791719667"/>
    <n v="0"/>
    <n v="0"/>
    <n v="0"/>
    <n v="7.6044229587420835"/>
    <n v="34.249580846022809"/>
    <n v="6.6867943657848121"/>
    <n v="0"/>
    <n v="0"/>
    <n v="0"/>
    <n v="0"/>
    <n v="0"/>
    <n v="0.34686699179262626"/>
    <m/>
    <n v="8.53512245376181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114179660067335"/>
    <n v="0"/>
    <n v="0"/>
    <n v="0"/>
    <n v="0"/>
    <n v="0"/>
    <m/>
    <m/>
    <m/>
    <m/>
    <m/>
    <m/>
    <m/>
    <m/>
    <m/>
    <n v="7.8982123317915454"/>
    <m/>
    <m/>
    <m/>
    <m/>
    <m/>
    <m/>
    <m/>
    <m/>
    <m/>
    <m/>
    <m/>
    <m/>
    <n v="33.57"/>
    <n v="-18.888599999999983"/>
    <m/>
    <m/>
    <m/>
    <m/>
    <n v="-22.215599999999995"/>
    <n v="0"/>
    <n v="31"/>
    <n v="-0.86188132317320409"/>
    <n v="0"/>
    <n v="0"/>
    <n v="0"/>
    <n v="0"/>
    <n v="0"/>
    <n v="0"/>
    <n v="0"/>
    <n v="-0.70003743615939573"/>
    <n v="0"/>
    <n v="0"/>
    <n v="0"/>
    <n v="0"/>
    <n v="0"/>
    <n v="0"/>
    <n v="0"/>
    <n v="0"/>
    <n v="-0.1388147957377126"/>
    <m/>
    <n v="0"/>
    <n v="0"/>
    <n v="0"/>
    <n v="0"/>
    <n v="-1.859637022758398E-2"/>
    <n v="-4.4327210485100299E-3"/>
    <n v="0"/>
    <n v="0"/>
    <m/>
    <m/>
    <m/>
    <n v="34.249580846022809"/>
    <n v="0"/>
    <n v="0"/>
    <n v="-22.215599999999995"/>
    <n v="0"/>
    <n v="0"/>
    <n v="0"/>
    <n v="-21.353823064997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6"/>
    <s v="Regular"/>
    <s v="Convencional"/>
    <s v="B3"/>
    <s v="Industrial"/>
    <s v="Não se aplica"/>
    <s v="Não se aplica"/>
    <s v="Não se aplica"/>
    <s v="Não se aplica"/>
    <s v="CATIVO"/>
    <x v="8"/>
    <n v="0"/>
    <n v="0"/>
    <n v="36.68"/>
    <n v="36.68"/>
    <n v="36.68"/>
    <n v="36.68"/>
    <m/>
    <n v="825.6"/>
    <n v="185.74"/>
    <m/>
    <n v="37095.951200000003"/>
    <n v="37095.951200000003"/>
    <n v="23060.716"/>
    <n v="0"/>
    <n v="2286.8206921118822"/>
    <n v="0"/>
    <n v="0"/>
    <n v="0"/>
    <n v="4780.5669852926958"/>
    <n v="21541.055626647183"/>
    <n v="6813.1004815829701"/>
    <n v="0"/>
    <n v="0"/>
    <n v="0"/>
    <n v="0"/>
    <n v="0"/>
    <n v="353.41892385982032"/>
    <m/>
    <n v="86.96341433443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4.3003053646385"/>
    <n v="0"/>
    <n v="9.25"/>
    <n v="47.43"/>
    <n v="7892.82"/>
    <n v="42"/>
    <m/>
    <m/>
    <m/>
    <m/>
    <m/>
    <m/>
    <m/>
    <m/>
    <m/>
    <n v="8047.4007869476081"/>
    <m/>
    <m/>
    <m/>
    <m/>
    <m/>
    <m/>
    <m/>
    <m/>
    <m/>
    <m/>
    <m/>
    <m/>
    <n v="23060.716"/>
    <n v="-14035.265200000002"/>
    <m/>
    <m/>
    <m/>
    <m/>
    <n v="-14035.235200000001"/>
    <n v="0"/>
    <n v="31"/>
    <n v="-604.98375237642176"/>
    <n v="0"/>
    <n v="0"/>
    <n v="0"/>
    <n v="0"/>
    <n v="0"/>
    <n v="0"/>
    <n v="0"/>
    <n v="-440.08281416346563"/>
    <n v="0"/>
    <n v="0"/>
    <n v="0"/>
    <n v="0"/>
    <n v="0"/>
    <n v="0"/>
    <n v="0"/>
    <n v="0"/>
    <n v="-141.43685299053641"/>
    <m/>
    <n v="0"/>
    <n v="0"/>
    <n v="0"/>
    <n v="0"/>
    <n v="-18.947634998549461"/>
    <n v="-4.5164502238707911"/>
    <n v="0"/>
    <n v="0"/>
    <m/>
    <m/>
    <m/>
    <n v="21541.055626647183"/>
    <n v="0"/>
    <n v="0"/>
    <n v="-14035.235200000003"/>
    <n v="0"/>
    <n v="0"/>
    <n v="0"/>
    <n v="-13430.350945100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7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4.1260000000000003"/>
    <n v="4.1260000000000003"/>
    <n v="4.1260000000000003"/>
    <n v="4.1260000000000003"/>
    <m/>
    <n v="825.6"/>
    <n v="185.74"/>
    <m/>
    <n v="4172.7888400000011"/>
    <n v="4172.7888400000011"/>
    <n v="2594.0162"/>
    <n v="0"/>
    <n v="257.23615527954269"/>
    <n v="0"/>
    <n v="0"/>
    <n v="0"/>
    <n v="537.74861999230279"/>
    <n v="2423.0751231064964"/>
    <n v="766.38093203411495"/>
    <n v="0"/>
    <n v="0"/>
    <n v="0"/>
    <n v="0"/>
    <n v="0"/>
    <n v="39.754811337121559"/>
    <m/>
    <n v="9.7821986789503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4195910399399"/>
    <n v="0"/>
    <n v="1.03"/>
    <n v="5.22"/>
    <n v="2138.12"/>
    <n v="3"/>
    <m/>
    <m/>
    <m/>
    <m/>
    <m/>
    <m/>
    <m/>
    <m/>
    <m/>
    <n v="905.22289113810893"/>
    <m/>
    <m/>
    <m/>
    <m/>
    <m/>
    <m/>
    <m/>
    <m/>
    <m/>
    <m/>
    <m/>
    <m/>
    <n v="2596.5309999999999"/>
    <n v="-1576.2878400000018"/>
    <m/>
    <m/>
    <m/>
    <m/>
    <n v="-1578.7726400000004"/>
    <n v="0"/>
    <n v="31"/>
    <n v="-68.052425362735221"/>
    <n v="0"/>
    <n v="0"/>
    <n v="0"/>
    <n v="0"/>
    <n v="0"/>
    <n v="0"/>
    <n v="0"/>
    <n v="-49.503317645541529"/>
    <n v="0"/>
    <n v="0"/>
    <n v="0"/>
    <n v="0"/>
    <n v="0"/>
    <n v="0"/>
    <n v="0"/>
    <n v="0"/>
    <n v="-15.909717978161183"/>
    <m/>
    <n v="0"/>
    <n v="0"/>
    <n v="0"/>
    <n v="0"/>
    <n v="-2.131350654416984"/>
    <n v="-0.50803908461534597"/>
    <n v="0"/>
    <n v="0"/>
    <m/>
    <m/>
    <m/>
    <n v="2423.0751231064964"/>
    <n v="0"/>
    <n v="0"/>
    <n v="-1578.7726400000004"/>
    <n v="0"/>
    <n v="0"/>
    <n v="0"/>
    <n v="-1510.731406747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8"/>
    <s v="Regular"/>
    <s v="Verde"/>
    <s v="A4"/>
    <s v="Industrial"/>
    <s v="Não se aplica"/>
    <s v="Não se aplica"/>
    <s v="Não se aplica"/>
    <s v="Ponta"/>
    <s v="CATIVO"/>
    <x v="8"/>
    <n v="0"/>
    <n v="0"/>
    <n v="2.0659999999999998"/>
    <n v="2.0659999999999998"/>
    <n v="2.0659999999999998"/>
    <n v="2.0659999999999998"/>
    <m/>
    <n v="4433.21"/>
    <n v="185.74"/>
    <m/>
    <n v="9542.7506999999987"/>
    <n v="9542.7506999999987"/>
    <n v="4980.3409199999996"/>
    <n v="0"/>
    <n v="112.06044843009087"/>
    <n v="0"/>
    <n v="0"/>
    <n v="0"/>
    <n v="1986.7130662009729"/>
    <n v="7011.3502276002264"/>
    <n v="383.7476988808728"/>
    <n v="0"/>
    <n v="0"/>
    <n v="0"/>
    <n v="0"/>
    <n v="0"/>
    <n v="19.906311251210163"/>
    <m/>
    <n v="2.1401310210847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41831065573224"/>
    <n v="0"/>
    <n v="0"/>
    <n v="0"/>
    <n v="0"/>
    <n v="0"/>
    <m/>
    <m/>
    <m/>
    <m/>
    <m/>
    <m/>
    <m/>
    <m/>
    <m/>
    <n v="410.58952994644602"/>
    <m/>
    <m/>
    <m/>
    <m/>
    <m/>
    <m/>
    <m/>
    <m/>
    <m/>
    <m/>
    <m/>
    <m/>
    <n v="4989.9833999999992"/>
    <n v="-4552.7973000000002"/>
    <m/>
    <m/>
    <m/>
    <m/>
    <n v="-4562.409779999999"/>
    <n v="0"/>
    <n v="31"/>
    <n v="-190.9992439859252"/>
    <n v="0"/>
    <n v="0"/>
    <n v="0"/>
    <n v="0"/>
    <n v="0"/>
    <n v="0"/>
    <n v="0"/>
    <n v="-182.89007973298612"/>
    <n v="0"/>
    <n v="0"/>
    <n v="0"/>
    <n v="0"/>
    <n v="0"/>
    <n v="0"/>
    <n v="0"/>
    <n v="0"/>
    <n v="-6.9307913931910434"/>
    <m/>
    <n v="0"/>
    <n v="0"/>
    <n v="0"/>
    <n v="0"/>
    <n v="-1.0672250247274597"/>
    <n v="-0.11114783502081282"/>
    <n v="0"/>
    <n v="0"/>
    <m/>
    <m/>
    <m/>
    <n v="7011.3502276002264"/>
    <n v="0"/>
    <n v="0"/>
    <n v="-4562.409779999999"/>
    <n v="0"/>
    <n v="0"/>
    <n v="0"/>
    <n v="-4371.415021982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49"/>
    <s v="Regular"/>
    <s v="Verde"/>
    <s v="A4"/>
    <s v="Industrial"/>
    <s v="Não se aplica"/>
    <s v="Não se aplica"/>
    <s v="Não se aplica"/>
    <s v="Fora ponta"/>
    <s v="CATIVO"/>
    <x v="8"/>
    <n v="0"/>
    <n v="0"/>
    <n v="50.875999999999998"/>
    <n v="50.875999999999998"/>
    <n v="50.875999999999998"/>
    <n v="50.875999999999998"/>
    <m/>
    <n v="77.900000000000006"/>
    <n v="185.74"/>
    <m/>
    <n v="13412.948640000001"/>
    <n v="13412.948640000001"/>
    <n v="13213.514719999999"/>
    <n v="0"/>
    <n v="2759.5292228118601"/>
    <n v="0"/>
    <n v="0"/>
    <n v="0"/>
    <n v="0"/>
    <n v="0"/>
    <n v="9449.9263931574478"/>
    <n v="0"/>
    <n v="0"/>
    <n v="0"/>
    <n v="0"/>
    <n v="0"/>
    <n v="490.20014095671257"/>
    <m/>
    <n v="52.701503305280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0.98983412008874"/>
    <n v="0"/>
    <n v="0"/>
    <n v="0"/>
    <n v="0"/>
    <n v="0"/>
    <m/>
    <m/>
    <m/>
    <m/>
    <m/>
    <m/>
    <m/>
    <m/>
    <m/>
    <n v="10110.916227277536"/>
    <m/>
    <m/>
    <m/>
    <m/>
    <m/>
    <m/>
    <m/>
    <m/>
    <m/>
    <m/>
    <m/>
    <m/>
    <n v="13214.553600000001"/>
    <n v="-198.42504000000008"/>
    <m/>
    <m/>
    <m/>
    <m/>
    <n v="-199.43392000000009"/>
    <n v="0"/>
    <n v="31"/>
    <n v="-199.69111352010623"/>
    <n v="0"/>
    <n v="0"/>
    <n v="0"/>
    <n v="0"/>
    <n v="0"/>
    <n v="0"/>
    <n v="0"/>
    <n v="0"/>
    <n v="0"/>
    <n v="0"/>
    <n v="0"/>
    <n v="0"/>
    <n v="0"/>
    <n v="0"/>
    <n v="0"/>
    <n v="0"/>
    <n v="-170.67325407550197"/>
    <m/>
    <n v="0"/>
    <n v="0"/>
    <n v="0"/>
    <n v="0"/>
    <n v="-26.280803658293337"/>
    <n v="-2.73705578631116"/>
    <n v="0"/>
    <n v="0"/>
    <m/>
    <m/>
    <m/>
    <n v="0"/>
    <n v="0"/>
    <n v="0"/>
    <n v="-199.4339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0"/>
    <s v="Regular"/>
    <s v="Verde"/>
    <s v="A4"/>
    <s v="Industrial"/>
    <s v="Não se aplica"/>
    <s v="Não se aplica"/>
    <s v="Não se aplica"/>
    <s v="Não se aplica"/>
    <s v="CATIVO"/>
    <x v="8"/>
    <n v="343"/>
    <n v="343"/>
    <n v="0"/>
    <n v="0"/>
    <n v="0"/>
    <n v="0"/>
    <n v="55.59"/>
    <m/>
    <m/>
    <n v="19067.370000000003"/>
    <m/>
    <n v="19067.370000000003"/>
    <n v="10121.93"/>
    <n v="0"/>
    <n v="0"/>
    <n v="0"/>
    <n v="0"/>
    <n v="0"/>
    <n v="5541.0520939270991"/>
    <n v="13524.73803584134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86"/>
    <n v="59.51"/>
    <n v="9323.2000000000007"/>
    <n v="5"/>
    <m/>
    <m/>
    <m/>
    <m/>
    <m/>
    <m/>
    <m/>
    <m/>
    <m/>
    <n v="0"/>
    <m/>
    <m/>
    <m/>
    <m/>
    <m/>
    <m/>
    <m/>
    <m/>
    <m/>
    <m/>
    <m/>
    <m/>
    <n v="10121.93"/>
    <n v="-8945.4699999999975"/>
    <m/>
    <m/>
    <m/>
    <m/>
    <n v="-8945.44"/>
    <n v="0"/>
    <n v="31"/>
    <n v="-510.09049897720615"/>
    <n v="0"/>
    <n v="0"/>
    <n v="0"/>
    <n v="0"/>
    <m/>
    <m/>
    <m/>
    <n v="-510.090498977206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524.738035841348"/>
    <m/>
    <n v="0"/>
    <n v="0"/>
    <n v="-8945.4400000000023"/>
    <m/>
    <n v="0"/>
    <m/>
    <n v="-8432.3619700978597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51"/>
    <s v="Regular"/>
    <s v="Convencional"/>
    <s v="B3"/>
    <s v="Comercial"/>
    <s v="Não se aplica"/>
    <s v="Não se aplica"/>
    <s v="Não se aplica"/>
    <s v="Não se aplica"/>
    <s v="CATIVO"/>
    <x v="8"/>
    <n v="0"/>
    <n v="0"/>
    <n v="142.82"/>
    <n v="142.82"/>
    <n v="142.82"/>
    <n v="142.82"/>
    <m/>
    <n v="825.6"/>
    <n v="185.74"/>
    <m/>
    <n v="144439.57879999999"/>
    <n v="144439.57879999999"/>
    <n v="89790.933999999994"/>
    <n v="0"/>
    <n v="8904.1366207038973"/>
    <n v="0"/>
    <n v="0"/>
    <n v="0"/>
    <n v="18613.974286791243"/>
    <n v="83873.870354355255"/>
    <n v="26527.999203371855"/>
    <n v="0"/>
    <n v="0"/>
    <n v="0"/>
    <n v="0"/>
    <n v="0"/>
    <n v="1376.0984379950801"/>
    <m/>
    <n v="338.60727467951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05.9642751411575"/>
    <n v="0"/>
    <n v="35.549999999999997"/>
    <n v="187.18"/>
    <n v="30139.65"/>
    <n v="358"/>
    <m/>
    <m/>
    <m/>
    <m/>
    <m/>
    <m/>
    <m/>
    <m/>
    <m/>
    <n v="31333.963478513011"/>
    <m/>
    <m/>
    <m/>
    <m/>
    <m/>
    <m/>
    <m/>
    <m/>
    <m/>
    <m/>
    <m/>
    <m/>
    <n v="89790.933999999994"/>
    <n v="-54648.674799999993"/>
    <m/>
    <m/>
    <m/>
    <m/>
    <n v="-54648.644800000002"/>
    <n v="0"/>
    <n v="31"/>
    <n v="-2355.6101285278273"/>
    <n v="0"/>
    <n v="0"/>
    <n v="0"/>
    <n v="0"/>
    <n v="0"/>
    <n v="0"/>
    <n v="0"/>
    <n v="-1713.5394634358308"/>
    <n v="0"/>
    <n v="0"/>
    <n v="0"/>
    <n v="0"/>
    <n v="0"/>
    <n v="0"/>
    <n v="0"/>
    <n v="0"/>
    <n v="-550.70914242389154"/>
    <m/>
    <n v="0"/>
    <n v="0"/>
    <n v="0"/>
    <n v="0"/>
    <n v="-73.775933219542821"/>
    <n v="-17.585589448561166"/>
    <n v="0"/>
    <n v="0"/>
    <m/>
    <m/>
    <m/>
    <n v="83873.870354355255"/>
    <n v="0"/>
    <n v="0"/>
    <n v="-54648.644800000002"/>
    <n v="0"/>
    <n v="0"/>
    <n v="0"/>
    <n v="-52293.422082314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2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4.97"/>
    <n v="4.97"/>
    <n v="4.97"/>
    <n v="4.97"/>
    <m/>
    <n v="825.6"/>
    <n v="185.74"/>
    <m/>
    <n v="5026.3598000000002"/>
    <n v="5026.3598000000002"/>
    <n v="3124.6390000000001"/>
    <n v="0"/>
    <n v="309.85547545790769"/>
    <n v="0"/>
    <n v="0"/>
    <n v="0"/>
    <n v="647.74858006828504"/>
    <n v="2918.7308196411259"/>
    <n v="923.14911105418105"/>
    <n v="0"/>
    <n v="0"/>
    <n v="0"/>
    <n v="0"/>
    <n v="0"/>
    <n v="47.886915255815346"/>
    <m/>
    <n v="11.783210720887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24298030704071"/>
    <n v="0"/>
    <n v="1.21"/>
    <n v="6.41"/>
    <n v="2917.93"/>
    <n v="12"/>
    <m/>
    <m/>
    <m/>
    <m/>
    <m/>
    <m/>
    <m/>
    <m/>
    <m/>
    <n v="1090.3920913612217"/>
    <m/>
    <m/>
    <m/>
    <m/>
    <m/>
    <m/>
    <m/>
    <m/>
    <m/>
    <m/>
    <m/>
    <m/>
    <n v="3124.6390000000001"/>
    <n v="-1901.7508000000007"/>
    <m/>
    <m/>
    <m/>
    <m/>
    <n v="-1901.7208000000001"/>
    <n v="0"/>
    <n v="31"/>
    <n v="-81.972989348713782"/>
    <n v="0"/>
    <n v="0"/>
    <n v="0"/>
    <n v="0"/>
    <n v="0"/>
    <n v="0"/>
    <n v="0"/>
    <n v="-59.629541613752053"/>
    <n v="0"/>
    <n v="0"/>
    <n v="0"/>
    <n v="0"/>
    <n v="0"/>
    <n v="0"/>
    <n v="0"/>
    <n v="0"/>
    <n v="-19.164153744900943"/>
    <m/>
    <n v="0"/>
    <n v="0"/>
    <n v="0"/>
    <n v="0"/>
    <n v="-2.5673322230858986"/>
    <n v="-0.61196176697485782"/>
    <n v="0"/>
    <n v="0"/>
    <m/>
    <m/>
    <m/>
    <n v="2918.7308196411259"/>
    <n v="0"/>
    <n v="0"/>
    <n v="-1901.7208000000001"/>
    <n v="0"/>
    <n v="0"/>
    <n v="0"/>
    <n v="-1819.7612921796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3"/>
    <s v="Regular"/>
    <s v="Azul"/>
    <s v="A4"/>
    <s v="Comercial"/>
    <s v="Não se aplica"/>
    <s v="Não se aplica"/>
    <s v="Não se aplica"/>
    <s v="Ponta"/>
    <s v="CATIVO"/>
    <x v="8"/>
    <n v="533"/>
    <n v="533"/>
    <n v="29.103000000000002"/>
    <n v="29.103000000000002"/>
    <n v="29.103000000000002"/>
    <n v="29.103000000000002"/>
    <n v="181.08"/>
    <n v="77.900000000000006"/>
    <n v="185.74"/>
    <n v="96515.64"/>
    <n v="7672.7149200000003"/>
    <n v="104188.35492"/>
    <n v="55219.491160000005"/>
    <n v="0"/>
    <n v="1578.5552907361739"/>
    <n v="0"/>
    <n v="0"/>
    <n v="0"/>
    <n v="21303.166762598841"/>
    <n v="75211.310115191183"/>
    <n v="5405.7160118732054"/>
    <n v="0"/>
    <n v="0"/>
    <n v="0"/>
    <n v="0"/>
    <n v="0"/>
    <n v="280.41305728168896"/>
    <m/>
    <n v="30.14725707000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.11123402777235"/>
    <n v="0"/>
    <n v="0"/>
    <n v="0"/>
    <n v="0"/>
    <n v="0"/>
    <m/>
    <m/>
    <m/>
    <m/>
    <m/>
    <m/>
    <m/>
    <m/>
    <m/>
    <n v="5783.8272459009777"/>
    <m/>
    <m/>
    <m/>
    <m/>
    <m/>
    <m/>
    <m/>
    <m/>
    <m/>
    <m/>
    <m/>
    <m/>
    <n v="55218.712"/>
    <n v="-48969.672919999983"/>
    <m/>
    <m/>
    <m/>
    <m/>
    <n v="-48968.863760000007"/>
    <n v="0"/>
    <n v="31"/>
    <n v="-2075.3283041229442"/>
    <n v="0"/>
    <n v="0"/>
    <n v="0"/>
    <n v="0"/>
    <n v="0"/>
    <n v="0"/>
    <n v="0"/>
    <n v="-1961.0974196828174"/>
    <n v="0"/>
    <n v="0"/>
    <n v="0"/>
    <n v="0"/>
    <n v="0"/>
    <n v="0"/>
    <n v="0"/>
    <n v="0"/>
    <n v="-97.631569175236791"/>
    <m/>
    <n v="0"/>
    <n v="0"/>
    <n v="0"/>
    <n v="0"/>
    <n v="-15.033615631482689"/>
    <n v="-1.5656996334030531"/>
    <n v="0"/>
    <n v="0"/>
    <m/>
    <m/>
    <n v="75211.310115191183"/>
    <n v="0"/>
    <n v="0"/>
    <n v="0"/>
    <n v="-48968.863759999993"/>
    <n v="0"/>
    <n v="0"/>
    <n v="0"/>
    <n v="-46892.51573345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4"/>
    <s v="Regular"/>
    <s v="Azul"/>
    <s v="A4"/>
    <s v="Comercial"/>
    <s v="Não se aplica"/>
    <s v="Não se aplica"/>
    <s v="Não se aplica"/>
    <s v="Fora ponta"/>
    <s v="CATIVO"/>
    <x v="8"/>
    <n v="527"/>
    <n v="527"/>
    <n v="299.13900000000001"/>
    <n v="299.13900000000001"/>
    <n v="299.13900000000001"/>
    <n v="299.13900000000001"/>
    <n v="55.59"/>
    <n v="77.900000000000006"/>
    <n v="185.74"/>
    <n v="29295.93"/>
    <n v="78865.00596000001"/>
    <n v="108160.93596"/>
    <n v="93244.151080000011"/>
    <n v="0"/>
    <n v="16225.387455435121"/>
    <n v="0"/>
    <n v="0"/>
    <n v="0"/>
    <n v="8513.5115262378458"/>
    <n v="20779.99109296907"/>
    <n v="55563.360549625082"/>
    <n v="0"/>
    <n v="0"/>
    <n v="0"/>
    <n v="0"/>
    <n v="0"/>
    <n v="2882.2623627181788"/>
    <m/>
    <n v="309.87253316373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86.4658776014085"/>
    <n v="0"/>
    <n v="0"/>
    <n v="0"/>
    <n v="0"/>
    <n v="0"/>
    <m/>
    <m/>
    <m/>
    <m/>
    <m/>
    <m/>
    <m/>
    <m/>
    <m/>
    <n v="59449.826427226493"/>
    <m/>
    <m/>
    <m/>
    <m/>
    <m/>
    <m/>
    <m/>
    <m/>
    <m/>
    <m/>
    <m/>
    <m/>
    <n v="93244.410799999998"/>
    <n v="-14916.555160000004"/>
    <m/>
    <m/>
    <m/>
    <m/>
    <n v="-14916.784880000003"/>
    <n v="0"/>
    <n v="31"/>
    <n v="-1957.8621702056262"/>
    <n v="0"/>
    <n v="0"/>
    <n v="0"/>
    <n v="0"/>
    <n v="0"/>
    <n v="0"/>
    <n v="0"/>
    <n v="-783.7250523643952"/>
    <n v="0"/>
    <n v="0"/>
    <n v="0"/>
    <n v="0"/>
    <n v="0"/>
    <n v="0"/>
    <n v="0"/>
    <n v="0"/>
    <n v="-1003.5188802360972"/>
    <m/>
    <n v="0"/>
    <n v="0"/>
    <n v="0"/>
    <n v="0"/>
    <n v="-154.52498870859017"/>
    <n v="-16.093248896558976"/>
    <n v="0"/>
    <n v="0"/>
    <m/>
    <m/>
    <n v="20779.99109296907"/>
    <n v="0"/>
    <n v="0"/>
    <n v="0"/>
    <n v="-14916.784879999992"/>
    <n v="0"/>
    <n v="0"/>
    <n v="0"/>
    <n v="-12955.84477621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5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9.52"/>
    <n v="297.64"/>
    <n v="49577.3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56"/>
    <s v="Regular"/>
    <s v="Verde"/>
    <s v="A4"/>
    <s v="Comercial"/>
    <s v="Não se aplica"/>
    <s v="Não se aplica"/>
    <s v="Não se aplica"/>
    <s v="Ponta"/>
    <s v="CATIVO"/>
    <x v="8"/>
    <n v="0"/>
    <n v="0"/>
    <n v="6.93"/>
    <n v="6.93"/>
    <n v="6.93"/>
    <n v="6.93"/>
    <m/>
    <n v="4433.21"/>
    <n v="185.74"/>
    <m/>
    <n v="32009.323499999999"/>
    <n v="32009.323499999999"/>
    <n v="16705.596600000001"/>
    <n v="0"/>
    <n v="375.88524086182468"/>
    <n v="0"/>
    <n v="0"/>
    <n v="0"/>
    <n v="6664.0472162501173"/>
    <n v="23518.227046113054"/>
    <n v="1287.2079154135763"/>
    <n v="0"/>
    <n v="0"/>
    <n v="0"/>
    <n v="0"/>
    <n v="0"/>
    <n v="66.771895920080553"/>
    <m/>
    <n v="7.1786582653037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035764416467785"/>
    <n v="0"/>
    <n v="0"/>
    <n v="0"/>
    <n v="0"/>
    <n v="0"/>
    <m/>
    <m/>
    <m/>
    <m/>
    <m/>
    <m/>
    <m/>
    <m/>
    <m/>
    <n v="1377.2436798300441"/>
    <m/>
    <m/>
    <m/>
    <m/>
    <m/>
    <m/>
    <m/>
    <m/>
    <m/>
    <m/>
    <m/>
    <m/>
    <n v="16705.596600000001"/>
    <n v="-15303.756899999993"/>
    <m/>
    <m/>
    <m/>
    <m/>
    <n v="-15303.7269"/>
    <n v="0"/>
    <n v="31"/>
    <n v="-640.67026177273056"/>
    <n v="0"/>
    <n v="0"/>
    <n v="0"/>
    <n v="0"/>
    <n v="0"/>
    <n v="0"/>
    <n v="0"/>
    <n v="-613.4696285332011"/>
    <n v="0"/>
    <n v="0"/>
    <n v="0"/>
    <n v="0"/>
    <n v="0"/>
    <n v="0"/>
    <n v="0"/>
    <n v="0"/>
    <n v="-23.248007916173265"/>
    <m/>
    <n v="0"/>
    <n v="0"/>
    <n v="0"/>
    <n v="0"/>
    <n v="-3.5798012688099092"/>
    <n v="-0.37282405454706247"/>
    <n v="0"/>
    <n v="0"/>
    <m/>
    <m/>
    <m/>
    <n v="23518.227046113054"/>
    <n v="0"/>
    <n v="0"/>
    <n v="-15303.7269"/>
    <n v="0"/>
    <n v="0"/>
    <n v="0"/>
    <n v="-14663.071685545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7"/>
    <s v="Refaturamento - Regular"/>
    <s v="Verde"/>
    <s v="A4"/>
    <s v="Comercial"/>
    <s v="Não se aplica"/>
    <s v="Não se aplica"/>
    <s v="Não se aplica"/>
    <s v="Ponta"/>
    <s v="CATIVO"/>
    <x v="8"/>
    <n v="0"/>
    <n v="0"/>
    <n v="-1.45"/>
    <n v="-1.45"/>
    <n v="-1.45"/>
    <n v="-1.45"/>
    <m/>
    <n v="4433.21"/>
    <n v="185.74"/>
    <m/>
    <n v="-6697.4775"/>
    <n v="-6697.4775"/>
    <n v="-3495.3989999999999"/>
    <n v="0"/>
    <n v="-78.648427020150905"/>
    <n v="0"/>
    <n v="0"/>
    <n v="0"/>
    <n v="-1394.3533136454071"/>
    <n v="-4920.8411568346219"/>
    <n v="-269.32921751077714"/>
    <n v="0"/>
    <n v="0"/>
    <n v="0"/>
    <n v="0"/>
    <n v="0"/>
    <n v="-13.971031613869668"/>
    <m/>
    <n v="-1.5020280641689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838652006331646"/>
    <n v="0"/>
    <n v="0"/>
    <n v="0"/>
    <n v="0"/>
    <n v="0"/>
    <m/>
    <m/>
    <m/>
    <m/>
    <m/>
    <m/>
    <m/>
    <m/>
    <m/>
    <n v="-288.16786951710878"/>
    <m/>
    <m/>
    <m/>
    <m/>
    <m/>
    <m/>
    <m/>
    <m/>
    <m/>
    <m/>
    <m/>
    <m/>
    <n v="-3495.3989999999999"/>
    <n v="3202.0484999999994"/>
    <m/>
    <m/>
    <m/>
    <m/>
    <n v="3202.0784999999996"/>
    <n v="0"/>
    <n v="31"/>
    <n v="134.05077627279366"/>
    <n v="0"/>
    <n v="0"/>
    <n v="0"/>
    <n v="0"/>
    <n v="0"/>
    <n v="0"/>
    <n v="0"/>
    <n v="128.35944608559066"/>
    <n v="0"/>
    <n v="0"/>
    <n v="0"/>
    <n v="0"/>
    <n v="0"/>
    <n v="0"/>
    <n v="0"/>
    <n v="0"/>
    <n v="4.8643018006423091"/>
    <m/>
    <n v="0"/>
    <n v="0"/>
    <n v="0"/>
    <n v="0"/>
    <n v="0.7490204674999088"/>
    <n v="7.8007919061073627E-2"/>
    <n v="0"/>
    <n v="0"/>
    <m/>
    <m/>
    <m/>
    <n v="-4920.8411568346219"/>
    <n v="0"/>
    <n v="0"/>
    <n v="3202.0784999999996"/>
    <n v="0"/>
    <n v="0"/>
    <n v="0"/>
    <n v="3068.030872156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8"/>
    <s v="Regular"/>
    <s v="Verde"/>
    <s v="A4"/>
    <s v="Comercial"/>
    <s v="Não se aplica"/>
    <s v="Não se aplica"/>
    <s v="Não se aplica"/>
    <s v="Fora ponta"/>
    <s v="CATIVO"/>
    <x v="8"/>
    <n v="0"/>
    <n v="0"/>
    <n v="411.096"/>
    <n v="411.096"/>
    <n v="411.096"/>
    <n v="411.096"/>
    <m/>
    <n v="77.900000000000006"/>
    <n v="185.74"/>
    <m/>
    <n v="108381.34944000001"/>
    <n v="108381.34944000001"/>
    <n v="106769.85312000001"/>
    <n v="0"/>
    <n v="22297.968106397213"/>
    <n v="0"/>
    <n v="0"/>
    <n v="0"/>
    <n v="0"/>
    <n v="0"/>
    <n v="76358.73379435204"/>
    <n v="0"/>
    <n v="0"/>
    <n v="0"/>
    <n v="0"/>
    <n v="0"/>
    <n v="3960.9898016105967"/>
    <m/>
    <n v="425.84670970177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1.0306794447679"/>
    <n v="0"/>
    <n v="0"/>
    <n v="0"/>
    <n v="0"/>
    <n v="0"/>
    <m/>
    <m/>
    <m/>
    <m/>
    <m/>
    <m/>
    <m/>
    <m/>
    <m/>
    <n v="81699.764473796808"/>
    <m/>
    <m/>
    <m/>
    <m/>
    <m/>
    <m/>
    <m/>
    <m/>
    <m/>
    <m/>
    <m/>
    <m/>
    <n v="106770.89200000001"/>
    <n v="-1610.4874399999972"/>
    <m/>
    <m/>
    <m/>
    <m/>
    <n v="-1611.4963200000007"/>
    <n v="0"/>
    <n v="31"/>
    <n v="-1613.5745342334703"/>
    <n v="0"/>
    <n v="0"/>
    <n v="0"/>
    <n v="0"/>
    <n v="0"/>
    <n v="0"/>
    <n v="0"/>
    <n v="0"/>
    <n v="0"/>
    <n v="0"/>
    <n v="0"/>
    <n v="0"/>
    <n v="0"/>
    <n v="0"/>
    <n v="0"/>
    <n v="0"/>
    <n v="-1379.1000089909321"/>
    <m/>
    <n v="0"/>
    <n v="0"/>
    <n v="0"/>
    <n v="0"/>
    <n v="-212.35815041885689"/>
    <n v="-22.116374823676665"/>
    <n v="0"/>
    <n v="0"/>
    <m/>
    <m/>
    <m/>
    <n v="0"/>
    <n v="0"/>
    <n v="0"/>
    <n v="-1611.49631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59"/>
    <s v="Refaturamento - Regular"/>
    <s v="Verde"/>
    <s v="A4"/>
    <s v="Comercial"/>
    <s v="Não se aplica"/>
    <s v="Não se aplica"/>
    <s v="Não se aplica"/>
    <s v="Fora ponta"/>
    <s v="CATIVO"/>
    <x v="8"/>
    <n v="0"/>
    <n v="0"/>
    <n v="-21.530999999999999"/>
    <n v="-21.530999999999999"/>
    <n v="-21.530999999999999"/>
    <n v="-21.530999999999999"/>
    <m/>
    <n v="77.900000000000006"/>
    <n v="185.74"/>
    <m/>
    <n v="-5676.4328399999995"/>
    <n v="-5676.4328399999995"/>
    <n v="-5592.0313200000001"/>
    <n v="0"/>
    <n v="-1167.8477808074961"/>
    <n v="0"/>
    <n v="0"/>
    <n v="0"/>
    <n v="0"/>
    <n v="0"/>
    <n v="-3999.2602636031329"/>
    <n v="0"/>
    <n v="0"/>
    <n v="0"/>
    <n v="0"/>
    <n v="0"/>
    <n v="-207.45536667463989"/>
    <m/>
    <n v="-22.303562930772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79.7344940333287"/>
    <n v="0"/>
    <n v="0"/>
    <n v="0"/>
    <n v="0"/>
    <n v="0"/>
    <m/>
    <m/>
    <m/>
    <m/>
    <m/>
    <m/>
    <m/>
    <m/>
    <m/>
    <n v="-4278.9947576364611"/>
    <m/>
    <m/>
    <m/>
    <m/>
    <m/>
    <m/>
    <m/>
    <m/>
    <m/>
    <m/>
    <m/>
    <m/>
    <n v="-5591.7716"/>
    <n v="84.631239999999707"/>
    <m/>
    <m/>
    <m/>
    <m/>
    <n v="84.401520000000033"/>
    <n v="0"/>
    <n v="31"/>
    <n v="84.510365697017733"/>
    <n v="0"/>
    <n v="0"/>
    <n v="0"/>
    <n v="0"/>
    <n v="0"/>
    <n v="0"/>
    <n v="0"/>
    <n v="0"/>
    <n v="0"/>
    <n v="0"/>
    <n v="0"/>
    <n v="0"/>
    <n v="0"/>
    <n v="0"/>
    <n v="0"/>
    <n v="0"/>
    <n v="72.22984970319294"/>
    <m/>
    <n v="0"/>
    <n v="0"/>
    <n v="0"/>
    <n v="0"/>
    <n v="11.122179093614164"/>
    <n v="1.1583369002096404"/>
    <n v="0"/>
    <n v="0"/>
    <m/>
    <m/>
    <m/>
    <n v="0"/>
    <n v="0"/>
    <n v="0"/>
    <n v="84.401520000000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0"/>
    <s v="Regular"/>
    <s v="Verde"/>
    <s v="A4"/>
    <s v="Comercial"/>
    <s v="Não se aplica"/>
    <s v="Não se aplica"/>
    <s v="Não se aplica"/>
    <s v="Não se aplica"/>
    <s v="CATIVO"/>
    <x v="8"/>
    <n v="1530"/>
    <n v="1530"/>
    <n v="0"/>
    <n v="0"/>
    <n v="0"/>
    <n v="0"/>
    <n v="55.59"/>
    <m/>
    <m/>
    <n v="85052.700000000012"/>
    <m/>
    <n v="85052.700000000012"/>
    <n v="45150.3"/>
    <n v="0"/>
    <n v="0"/>
    <n v="0"/>
    <n v="0"/>
    <n v="0"/>
    <n v="24716.646366496974"/>
    <n v="60329.0063989424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1.959999999999994"/>
    <n v="352.95"/>
    <n v="59181.68"/>
    <n v="6"/>
    <m/>
    <m/>
    <m/>
    <m/>
    <m/>
    <m/>
    <m/>
    <m/>
    <m/>
    <n v="0"/>
    <m/>
    <m/>
    <m/>
    <m/>
    <m/>
    <m/>
    <m/>
    <m/>
    <m/>
    <m/>
    <m/>
    <m/>
    <n v="45150.3"/>
    <n v="-39902.429999999993"/>
    <m/>
    <m/>
    <m/>
    <m/>
    <n v="-39902.400000000001"/>
    <n v="0"/>
    <n v="31"/>
    <n v="-2275.3307971869581"/>
    <n v="0"/>
    <n v="0"/>
    <n v="0"/>
    <n v="0"/>
    <m/>
    <m/>
    <m/>
    <n v="-2275.33079718695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0329.00639894246"/>
    <m/>
    <n v="0"/>
    <n v="0"/>
    <n v="-39902.400000000009"/>
    <m/>
    <n v="0"/>
    <m/>
    <n v="-37613.74289868724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61"/>
    <s v="Refaturamento - Regular"/>
    <s v="Verde"/>
    <s v="A4"/>
    <s v="Comercial"/>
    <s v="Não se aplica"/>
    <s v="Não se aplica"/>
    <s v="Não se aplica"/>
    <s v="Não se aplica"/>
    <s v="CATIVO"/>
    <x v="8"/>
    <n v="-177"/>
    <n v="-177"/>
    <n v="0"/>
    <n v="0"/>
    <n v="0"/>
    <n v="0"/>
    <n v="55.59"/>
    <m/>
    <m/>
    <n v="-9839.43"/>
    <m/>
    <n v="-9839.43"/>
    <n v="-5223.2700000000004"/>
    <n v="0"/>
    <n v="0"/>
    <n v="0"/>
    <n v="0"/>
    <n v="0"/>
    <n v="-2859.3767365163167"/>
    <n v="-6979.23799517177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-8.57"/>
    <n v="-36.43"/>
    <n v="-7232.29"/>
    <n v="0"/>
    <m/>
    <m/>
    <m/>
    <m/>
    <m/>
    <m/>
    <m/>
    <m/>
    <m/>
    <n v="0"/>
    <m/>
    <m/>
    <m/>
    <m/>
    <m/>
    <m/>
    <m/>
    <m/>
    <m/>
    <m/>
    <m/>
    <m/>
    <n v="-5223.2700000000004"/>
    <n v="4616.1299999999992"/>
    <m/>
    <m/>
    <m/>
    <m/>
    <n v="4616.1600000000008"/>
    <n v="0"/>
    <n v="31"/>
    <n v="263.22454320398128"/>
    <n v="0"/>
    <n v="0"/>
    <n v="0"/>
    <n v="0"/>
    <m/>
    <m/>
    <m/>
    <n v="263.224543203981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6979.2379951717749"/>
    <m/>
    <n v="0"/>
    <n v="0"/>
    <n v="4616.16"/>
    <m/>
    <n v="0"/>
    <m/>
    <n v="4351.3937863187202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62"/>
    <s v="Regular"/>
    <s v="Convencional"/>
    <s v="B2"/>
    <s v="Rural"/>
    <s v="Não se aplica"/>
    <s v="Não se aplica"/>
    <s v="Não se aplica"/>
    <s v="Não se aplica"/>
    <s v="CATIVO"/>
    <x v="8"/>
    <n v="0"/>
    <n v="0"/>
    <n v="1347.9069999999999"/>
    <n v="1347.9069999999999"/>
    <n v="1347.9069999999999"/>
    <n v="1347.9069999999999"/>
    <m/>
    <n v="825.6"/>
    <n v="185.74"/>
    <m/>
    <n v="1363192.26538"/>
    <n v="1363192.26538"/>
    <n v="847429.13089999999"/>
    <n v="0"/>
    <n v="84035.485786326346"/>
    <n v="0"/>
    <n v="0"/>
    <n v="0"/>
    <n v="175675.01917788771"/>
    <n v="791585.05088732624"/>
    <n v="250366.02592227524"/>
    <n v="0"/>
    <n v="0"/>
    <n v="0"/>
    <n v="0"/>
    <n v="0"/>
    <n v="12987.34573072843"/>
    <m/>
    <n v="3195.7086948007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57.74323072884"/>
    <n v="0"/>
    <n v="281.18"/>
    <n v="1551.16"/>
    <n v="147138.94"/>
    <n v="5614"/>
    <m/>
    <m/>
    <m/>
    <m/>
    <m/>
    <n v="101686.10407999999"/>
    <m/>
    <m/>
    <m/>
    <n v="295723.76915300405"/>
    <m/>
    <m/>
    <m/>
    <m/>
    <m/>
    <m/>
    <m/>
    <m/>
    <m/>
    <m/>
    <m/>
    <m/>
    <n v="745744.68660000013"/>
    <n v="-453865.61525999987"/>
    <m/>
    <m/>
    <m/>
    <m/>
    <n v="-515763.13448000001"/>
    <n v="0"/>
    <n v="31"/>
    <n v="-22231.783934417879"/>
    <n v="0"/>
    <n v="0"/>
    <n v="0"/>
    <n v="0"/>
    <n v="0"/>
    <n v="0"/>
    <n v="0"/>
    <n v="-16172.047595164506"/>
    <n v="0"/>
    <n v="0"/>
    <n v="0"/>
    <n v="0"/>
    <n v="0"/>
    <n v="0"/>
    <n v="0"/>
    <n v="0"/>
    <n v="-5197.4843021786946"/>
    <m/>
    <n v="0"/>
    <n v="0"/>
    <n v="0"/>
    <n v="0"/>
    <n v="-696.28271123200102"/>
    <n v="-165.96932584261185"/>
    <n v="0"/>
    <n v="0"/>
    <m/>
    <m/>
    <m/>
    <n v="791585.05088732624"/>
    <n v="0"/>
    <n v="0"/>
    <n v="-515763.13448000001"/>
    <n v="0"/>
    <n v="0"/>
    <n v="0"/>
    <n v="-493535.006852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3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1.5860000000000001"/>
    <n v="-1.5860000000000001"/>
    <n v="-1.5860000000000001"/>
    <n v="-1.5860000000000001"/>
    <m/>
    <n v="825.6"/>
    <n v="185.74"/>
    <m/>
    <n v="-1603.9852400000002"/>
    <n v="-1603.9852400000002"/>
    <n v="-997.11820000000012"/>
    <n v="0"/>
    <n v="-98.879433415742781"/>
    <n v="0"/>
    <n v="0"/>
    <n v="0"/>
    <n v="-206.70608611434614"/>
    <n v="-931.40987524161494"/>
    <n v="-294.59044067040867"/>
    <n v="0"/>
    <n v="0"/>
    <n v="0"/>
    <n v="0"/>
    <n v="0"/>
    <n v="-15.281418027308479"/>
    <m/>
    <n v="-3.7601956143517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3.369691502407768"/>
    <n v="0"/>
    <n v="-0.39"/>
    <n v="-1.87"/>
    <n v="-310.27"/>
    <n v="0"/>
    <m/>
    <m/>
    <m/>
    <m/>
    <m/>
    <n v="-119.64784"/>
    <m/>
    <m/>
    <m/>
    <n v="-347.96013217281643"/>
    <m/>
    <m/>
    <m/>
    <m/>
    <m/>
    <m/>
    <m/>
    <m/>
    <m/>
    <m/>
    <m/>
    <m/>
    <n v="-879.68340000000001"/>
    <n v="531.79488000000003"/>
    <m/>
    <m/>
    <m/>
    <m/>
    <n v="606.86704000000009"/>
    <n v="0"/>
    <n v="31"/>
    <n v="26.158784930998081"/>
    <n v="0"/>
    <n v="0"/>
    <n v="0"/>
    <n v="0"/>
    <n v="0"/>
    <n v="0"/>
    <n v="0"/>
    <n v="19.028662575334181"/>
    <n v="0"/>
    <n v="0"/>
    <n v="0"/>
    <n v="0"/>
    <n v="0"/>
    <n v="0"/>
    <n v="0"/>
    <n v="0"/>
    <n v="6.115562945555908"/>
    <m/>
    <n v="0"/>
    <n v="0"/>
    <n v="0"/>
    <n v="0"/>
    <n v="0.8192734216930031"/>
    <n v="0.19528598841491451"/>
    <n v="0"/>
    <n v="0"/>
    <m/>
    <m/>
    <m/>
    <n v="-931.40987524161494"/>
    <n v="0"/>
    <n v="0"/>
    <n v="606.86704000000009"/>
    <n v="0"/>
    <n v="0"/>
    <n v="0"/>
    <n v="580.71255722273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46.774999999999999"/>
    <n v="46.774999999999999"/>
    <n v="46.774999999999999"/>
    <n v="46.774999999999999"/>
    <m/>
    <n v="825.6"/>
    <n v="185.74"/>
    <m/>
    <n v="47305.428500000002"/>
    <n v="47305.428500000002"/>
    <n v="29407.442499999997"/>
    <n v="0"/>
    <n v="2916.1951437713542"/>
    <n v="0"/>
    <n v="0"/>
    <n v="0"/>
    <n v="6096.2655598981964"/>
    <n v="27469.544082236152"/>
    <n v="8688.1890683217935"/>
    <n v="0"/>
    <n v="0"/>
    <n v="0"/>
    <n v="0"/>
    <n v="0"/>
    <n v="450.68620947500261"/>
    <m/>
    <n v="110.89732021519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4.0020933323601"/>
    <n v="0"/>
    <n v="9.0299999999999994"/>
    <n v="47.62"/>
    <n v="15049.59"/>
    <n v="170"/>
    <m/>
    <m/>
    <m/>
    <m/>
    <m/>
    <n v="3528.7060000000001"/>
    <m/>
    <m/>
    <m/>
    <n v="10262.191161654153"/>
    <m/>
    <m/>
    <m/>
    <m/>
    <m/>
    <m/>
    <m/>
    <m/>
    <m/>
    <m/>
    <m/>
    <m/>
    <n v="25881.502799999998"/>
    <n v="-15747.341700000001"/>
    <m/>
    <m/>
    <m/>
    <m/>
    <n v="-17897.986000000001"/>
    <n v="0"/>
    <n v="31"/>
    <n v="-771.48623275374121"/>
    <n v="0"/>
    <n v="0"/>
    <n v="0"/>
    <n v="0"/>
    <n v="0"/>
    <n v="0"/>
    <n v="0"/>
    <n v="-561.20157122399451"/>
    <n v="0"/>
    <n v="0"/>
    <n v="0"/>
    <n v="0"/>
    <n v="0"/>
    <n v="0"/>
    <n v="0"/>
    <n v="0"/>
    <n v="-180.36283529531966"/>
    <m/>
    <n v="0"/>
    <n v="0"/>
    <n v="0"/>
    <n v="0"/>
    <n v="-24.162367149867805"/>
    <n v="-5.7594590845571503"/>
    <n v="0"/>
    <n v="0"/>
    <m/>
    <m/>
    <m/>
    <n v="27469.544082236152"/>
    <n v="0"/>
    <n v="0"/>
    <n v="-17897.986000000004"/>
    <n v="0"/>
    <n v="0"/>
    <n v="0"/>
    <n v="-17126.626648230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5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5.874000000000001"/>
    <n v="15.874000000000001"/>
    <n v="15.874000000000001"/>
    <n v="15.874000000000001"/>
    <m/>
    <n v="825.6"/>
    <n v="185.74"/>
    <m/>
    <n v="16054.011160000002"/>
    <n v="16054.011160000002"/>
    <n v="9979.9838"/>
    <n v="0"/>
    <n v="989.66716648266129"/>
    <n v="0"/>
    <n v="0"/>
    <n v="0"/>
    <n v="2068.8855050309776"/>
    <n v="9322.3205293728843"/>
    <n v="2948.5048267352254"/>
    <n v="0"/>
    <n v="0"/>
    <n v="0"/>
    <n v="0"/>
    <n v="0"/>
    <n v="152.94907299211528"/>
    <m/>
    <n v="37.635148286393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.16802201085807"/>
    <n v="0"/>
    <n v="4.42"/>
    <n v="18.809999999999999"/>
    <n v="3987.73"/>
    <n v="7"/>
    <m/>
    <m/>
    <m/>
    <m/>
    <m/>
    <n v="1197.5345600000001"/>
    <m/>
    <m/>
    <m/>
    <n v="3482.6728487460832"/>
    <m/>
    <m/>
    <m/>
    <m/>
    <m/>
    <m/>
    <m/>
    <m/>
    <m/>
    <m/>
    <m/>
    <m/>
    <n v="8780.2361999999994"/>
    <n v="-5347.3363200000003"/>
    <m/>
    <m/>
    <m/>
    <m/>
    <n v="-6074.027360000001"/>
    <n v="0"/>
    <n v="31"/>
    <n v="-261.81875913913154"/>
    <n v="0"/>
    <n v="0"/>
    <n v="0"/>
    <n v="0"/>
    <n v="0"/>
    <n v="0"/>
    <n v="0"/>
    <n v="-190.4545962930988"/>
    <n v="0"/>
    <n v="0"/>
    <n v="0"/>
    <n v="0"/>
    <n v="0"/>
    <n v="0"/>
    <n v="0"/>
    <n v="0"/>
    <n v="-61.209612987234777"/>
    <m/>
    <n v="0"/>
    <n v="0"/>
    <n v="0"/>
    <n v="0"/>
    <n v="-8.1999661386852267"/>
    <n v="-1.9545837201124527"/>
    <n v="0"/>
    <n v="0"/>
    <m/>
    <m/>
    <m/>
    <n v="9322.3205293728843"/>
    <n v="0"/>
    <n v="0"/>
    <n v="-6074.0273600000019"/>
    <n v="0"/>
    <n v="0"/>
    <n v="0"/>
    <n v="-5812.2516603743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6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1.931000000000001"/>
    <n v="21.931000000000001"/>
    <n v="21.931000000000001"/>
    <n v="21.931000000000001"/>
    <m/>
    <n v="825.6"/>
    <n v="185.74"/>
    <m/>
    <n v="22179.697540000001"/>
    <n v="22179.697540000001"/>
    <n v="13788.019700000001"/>
    <n v="0"/>
    <n v="1367.2918374783449"/>
    <n v="0"/>
    <n v="0"/>
    <n v="0"/>
    <n v="2858.3046497942778"/>
    <n v="12879.413602726265"/>
    <n v="4073.55797877852"/>
    <n v="0"/>
    <n v="0"/>
    <n v="0"/>
    <n v="0"/>
    <n v="0"/>
    <n v="211.30944436122465"/>
    <m/>
    <n v="51.995491814847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7.98909479149097"/>
    <n v="0"/>
    <n v="5.18"/>
    <n v="28.56"/>
    <n v="3472.12"/>
    <n v="93"/>
    <m/>
    <m/>
    <m/>
    <m/>
    <m/>
    <m/>
    <m/>
    <m/>
    <m/>
    <n v="4811.547073570011"/>
    <m/>
    <m/>
    <m/>
    <m/>
    <m/>
    <m/>
    <m/>
    <m/>
    <m/>
    <m/>
    <m/>
    <m/>
    <n v="13787.391"/>
    <n v="-8392.3365399999966"/>
    <m/>
    <m/>
    <m/>
    <m/>
    <n v="-8391.6778400000021"/>
    <n v="0"/>
    <n v="31"/>
    <n v="-361.72024736551793"/>
    <n v="0"/>
    <n v="0"/>
    <n v="0"/>
    <n v="0"/>
    <n v="0"/>
    <n v="0"/>
    <n v="0"/>
    <n v="-263.12585052941586"/>
    <n v="0"/>
    <n v="0"/>
    <n v="0"/>
    <n v="0"/>
    <n v="0"/>
    <n v="0"/>
    <n v="0"/>
    <n v="0"/>
    <n v="-84.565202370104998"/>
    <m/>
    <n v="0"/>
    <n v="0"/>
    <n v="0"/>
    <n v="0"/>
    <n v="-11.328805429476233"/>
    <n v="-2.7003890365242711"/>
    <n v="0"/>
    <n v="0"/>
    <m/>
    <m/>
    <m/>
    <n v="12879.413602726265"/>
    <n v="0"/>
    <n v="0"/>
    <n v="-8391.6778400000003"/>
    <n v="0"/>
    <n v="0"/>
    <n v="0"/>
    <n v="-8030.0170822520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7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91.27699999999999"/>
    <n v="191.27699999999999"/>
    <n v="191.27699999999999"/>
    <n v="191.27699999999999"/>
    <m/>
    <n v="454.08"/>
    <n v="102.16"/>
    <m/>
    <n v="106395.91847999999"/>
    <n v="106395.91847999999"/>
    <n v="66141.673829999985"/>
    <n v="0"/>
    <n v="6558.8579836094978"/>
    <n v="0"/>
    <n v="0"/>
    <n v="0"/>
    <n v="13711.201777132179"/>
    <n v="61782.161216030712"/>
    <n v="19540.735590203411"/>
    <n v="0"/>
    <n v="0"/>
    <n v="0"/>
    <n v="0"/>
    <n v="0"/>
    <n v="1013.6450742781938"/>
    <m/>
    <n v="249.42081657597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0.1115793368967"/>
    <n v="0"/>
    <n v="26.49"/>
    <n v="132.58000000000001"/>
    <n v="22100.2"/>
    <n v="9"/>
    <m/>
    <m/>
    <m/>
    <m/>
    <m/>
    <m/>
    <m/>
    <m/>
    <m/>
    <n v="23080.847169540306"/>
    <m/>
    <m/>
    <m/>
    <m/>
    <m/>
    <m/>
    <m/>
    <m/>
    <m/>
    <m/>
    <m/>
    <m/>
    <n v="66142.711199999991"/>
    <n v="-40253.237279999987"/>
    <m/>
    <m/>
    <m/>
    <m/>
    <n v="-40254.244649999993"/>
    <n v="0"/>
    <n v="31"/>
    <n v="-1735.1611903440207"/>
    <n v="0"/>
    <n v="0"/>
    <n v="0"/>
    <n v="0"/>
    <n v="0"/>
    <n v="0"/>
    <n v="0"/>
    <n v="-1262.2068223721526"/>
    <n v="0"/>
    <n v="0"/>
    <n v="0"/>
    <n v="0"/>
    <n v="0"/>
    <n v="0"/>
    <n v="0"/>
    <n v="0"/>
    <n v="-405.6567423993738"/>
    <m/>
    <n v="0"/>
    <n v="0"/>
    <n v="0"/>
    <n v="0"/>
    <n v="-54.343940261440594"/>
    <n v="-12.953685311048872"/>
    <n v="0"/>
    <n v="0"/>
    <m/>
    <m/>
    <m/>
    <n v="61782.161216030712"/>
    <n v="0"/>
    <n v="0"/>
    <n v="-40254.244650000001"/>
    <n v="0"/>
    <n v="0"/>
    <n v="0"/>
    <n v="-38519.75138356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8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130.57300000000001"/>
    <n v="130.57300000000001"/>
    <n v="130.57300000000001"/>
    <n v="130.57300000000001"/>
    <m/>
    <n v="495.36"/>
    <n v="111.45"/>
    <m/>
    <n v="79233.002130000008"/>
    <n v="79233.002130000008"/>
    <n v="49256.052790000002"/>
    <n v="0"/>
    <n v="4884.3572229736856"/>
    <n v="0"/>
    <n v="0"/>
    <n v="0"/>
    <n v="10210.681128199969"/>
    <n v="46008.946395935782"/>
    <n v="14551.913345393645"/>
    <n v="0"/>
    <n v="0"/>
    <n v="0"/>
    <n v="0"/>
    <n v="0"/>
    <n v="754.85772865564263"/>
    <m/>
    <n v="185.74275735917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6.3079679232792"/>
    <n v="0"/>
    <n v="19.72"/>
    <n v="98.75"/>
    <n v="16458.150000000001"/>
    <n v="6"/>
    <m/>
    <m/>
    <m/>
    <m/>
    <m/>
    <m/>
    <m/>
    <m/>
    <m/>
    <n v="17188.221313316924"/>
    <m/>
    <m/>
    <m/>
    <m/>
    <m/>
    <m/>
    <m/>
    <m/>
    <m/>
    <m/>
    <m/>
    <m/>
    <n v="49254.921099999992"/>
    <n v="-29978.111030000015"/>
    <m/>
    <m/>
    <m/>
    <m/>
    <n v="-29976.949340000006"/>
    <n v="0"/>
    <n v="31"/>
    <n v="-1292.1681052188724"/>
    <n v="0"/>
    <n v="0"/>
    <n v="0"/>
    <n v="0"/>
    <n v="0"/>
    <n v="0"/>
    <n v="0"/>
    <n v="-939.96074090131333"/>
    <n v="0"/>
    <n v="0"/>
    <n v="0"/>
    <n v="0"/>
    <n v="0"/>
    <n v="0"/>
    <n v="0"/>
    <n v="0"/>
    <n v="-302.09107206434237"/>
    <m/>
    <n v="0"/>
    <n v="0"/>
    <n v="0"/>
    <n v="0"/>
    <n v="-40.469730828771276"/>
    <n v="-9.6465614244511926"/>
    <n v="0"/>
    <n v="0"/>
    <m/>
    <m/>
    <m/>
    <n v="46008.946395935782"/>
    <n v="0"/>
    <n v="0"/>
    <n v="-29976.949340000006"/>
    <n v="0"/>
    <n v="0"/>
    <n v="0"/>
    <n v="-28685.51604069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6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4.3680000000000003"/>
    <n v="4.1059200000000002"/>
    <n v="4.3680000000000003"/>
    <n v="4.1059200000000002"/>
    <m/>
    <n v="825.6"/>
    <n v="185.74"/>
    <m/>
    <n v="4417.533120000001"/>
    <n v="4417.533120000001"/>
    <n v="2746.1616000000004"/>
    <n v="0"/>
    <n v="272.32368547286535"/>
    <n v="0"/>
    <n v="0"/>
    <n v="0"/>
    <n v="569.28889290508448"/>
    <n v="2565.1944105014968"/>
    <n v="811.33104971522391"/>
    <n v="0"/>
    <n v="0"/>
    <n v="0"/>
    <n v="0"/>
    <n v="0"/>
    <n v="42.086528337505321"/>
    <m/>
    <n v="10.355948577230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98537987548369"/>
    <n v="0"/>
    <n v="0.98"/>
    <n v="5.0599999999999996"/>
    <n v="0"/>
    <n v="5"/>
    <m/>
    <m/>
    <m/>
    <m/>
    <n v="164.76969600000004"/>
    <m/>
    <m/>
    <m/>
    <m/>
    <n v="958.31642959070757"/>
    <m/>
    <m/>
    <m/>
    <m/>
    <m/>
    <m/>
    <m/>
    <m/>
    <m/>
    <m/>
    <m/>
    <m/>
    <n v="2583.9570000000003"/>
    <n v="-1568.5541328000008"/>
    <m/>
    <m/>
    <m/>
    <m/>
    <n v="-1671.3715200000004"/>
    <n v="0"/>
    <n v="31"/>
    <n v="-72.043866695207726"/>
    <n v="0"/>
    <n v="0"/>
    <n v="0"/>
    <n v="0"/>
    <n v="0"/>
    <n v="0"/>
    <n v="0"/>
    <n v="-52.406808404199069"/>
    <n v="0"/>
    <n v="0"/>
    <n v="0"/>
    <n v="0"/>
    <n v="0"/>
    <n v="0"/>
    <n v="0"/>
    <n v="0"/>
    <n v="-16.84286188284247"/>
    <m/>
    <n v="0"/>
    <n v="0"/>
    <n v="0"/>
    <n v="0"/>
    <n v="-2.2563595876135167"/>
    <n v="-0.53783682055255078"/>
    <n v="0"/>
    <n v="0"/>
    <m/>
    <m/>
    <m/>
    <n v="2565.1944105014968"/>
    <n v="0"/>
    <n v="0"/>
    <n v="-1671.3715200000004"/>
    <n v="0"/>
    <n v="0"/>
    <n v="0"/>
    <n v="-1599.3395018593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0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50600000000000001"/>
    <n v="0.50600000000000001"/>
    <n v="0.50600000000000001"/>
    <n v="0.50600000000000001"/>
    <m/>
    <n v="825.6"/>
    <n v="185.74"/>
    <m/>
    <n v="511.73804000000001"/>
    <n v="511.73804000000001"/>
    <n v="318.12220000000002"/>
    <n v="0"/>
    <n v="31.546654040583761"/>
    <n v="0"/>
    <n v="0"/>
    <n v="0"/>
    <n v="65.947843363088992"/>
    <n v="297.15851000772835"/>
    <n v="93.986609696864306"/>
    <n v="0"/>
    <n v="0"/>
    <n v="0"/>
    <n v="0"/>
    <n v="0"/>
    <n v="4.8754082735296915"/>
    <m/>
    <n v="1.1996588782231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027152522205757"/>
    <n v="0"/>
    <n v="0.11"/>
    <n v="0.65"/>
    <n v="109.77"/>
    <n v="4"/>
    <m/>
    <m/>
    <m/>
    <m/>
    <m/>
    <m/>
    <m/>
    <m/>
    <m/>
    <n v="111.01376221907006"/>
    <m/>
    <m/>
    <m/>
    <m/>
    <m/>
    <m/>
    <m/>
    <m/>
    <m/>
    <m/>
    <m/>
    <m/>
    <n v="320.637"/>
    <n v="-191.13103999999998"/>
    <m/>
    <m/>
    <m/>
    <m/>
    <n v="-193.61584000000002"/>
    <n v="0"/>
    <n v="31"/>
    <n v="-8.3457409678972283"/>
    <n v="0"/>
    <n v="0"/>
    <n v="0"/>
    <n v="0"/>
    <n v="0"/>
    <n v="0"/>
    <n v="0"/>
    <n v="-6.0709352226475986"/>
    <n v="0"/>
    <n v="0"/>
    <n v="0"/>
    <n v="0"/>
    <n v="0"/>
    <n v="0"/>
    <n v="0"/>
    <n v="0"/>
    <n v="-1.9511190734245183"/>
    <m/>
    <n v="0"/>
    <n v="0"/>
    <n v="0"/>
    <n v="0"/>
    <n v="-0.26138231486548591"/>
    <n v="-6.2304356959613116E-2"/>
    <n v="0"/>
    <n v="0"/>
    <m/>
    <m/>
    <m/>
    <n v="297.15851000772835"/>
    <n v="0"/>
    <n v="0"/>
    <n v="-193.61584000000002"/>
    <n v="0"/>
    <n v="0"/>
    <n v="0"/>
    <n v="-185.27147159817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1"/>
    <s v="Regular"/>
    <s v="Convencional"/>
    <s v="B3"/>
    <s v="Serviço público"/>
    <s v="Tração elétrica"/>
    <s v="Não se aplica"/>
    <s v="Não se aplica"/>
    <s v="Não se aplica"/>
    <s v="CATIVO"/>
    <x v="8"/>
    <n v="0"/>
    <n v="0"/>
    <n v="3.3000000000000002E-2"/>
    <n v="3.3000000000000002E-2"/>
    <n v="3.3000000000000002E-2"/>
    <n v="3.3000000000000002E-2"/>
    <m/>
    <n v="825.6"/>
    <n v="185.74"/>
    <m/>
    <n v="33.374220000000001"/>
    <n v="33.374220000000001"/>
    <n v="20.7471"/>
    <n v="0"/>
    <n v="2.0573904809076367"/>
    <n v="0"/>
    <n v="0"/>
    <n v="0"/>
    <n v="4.3009463062884121"/>
    <n v="19.379902826590978"/>
    <n v="6.1295615019694116"/>
    <n v="0"/>
    <n v="0"/>
    <n v="0"/>
    <n v="0"/>
    <n v="0"/>
    <n v="0.31796140914324078"/>
    <m/>
    <n v="7.82386224928166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104664688395058"/>
    <n v="0"/>
    <n v="0"/>
    <n v="0.04"/>
    <n v="0"/>
    <n v="1"/>
    <m/>
    <m/>
    <m/>
    <m/>
    <m/>
    <m/>
    <m/>
    <m/>
    <m/>
    <n v="7.2400279708089172"/>
    <m/>
    <m/>
    <m/>
    <m/>
    <m/>
    <m/>
    <m/>
    <m/>
    <m/>
    <m/>
    <m/>
    <m/>
    <n v="18.860999999999997"/>
    <n v="-14.543220000000005"/>
    <m/>
    <m/>
    <m/>
    <m/>
    <n v="-12.627120000000001"/>
    <n v="0"/>
    <n v="31"/>
    <n v="-0.54428745442807624"/>
    <n v="0"/>
    <n v="0"/>
    <n v="0"/>
    <n v="0"/>
    <n v="0"/>
    <n v="0"/>
    <n v="0"/>
    <n v="-0.39593055799875598"/>
    <n v="0"/>
    <n v="0"/>
    <n v="0"/>
    <n v="0"/>
    <n v="0"/>
    <n v="0"/>
    <n v="0"/>
    <n v="0"/>
    <n v="-0.12724689609290341"/>
    <m/>
    <n v="0"/>
    <n v="0"/>
    <n v="0"/>
    <n v="0"/>
    <n v="-1.7046672708618649E-2"/>
    <n v="-4.0633276278008723E-3"/>
    <n v="0"/>
    <n v="0"/>
    <m/>
    <m/>
    <m/>
    <n v="19.379902826590978"/>
    <n v="0"/>
    <n v="0"/>
    <n v="-12.627120000000001"/>
    <n v="0"/>
    <n v="0"/>
    <n v="0"/>
    <n v="-12.082922060750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2"/>
    <s v="Regular"/>
    <s v="Convencional"/>
    <s v="B1"/>
    <s v="Residencial"/>
    <s v="Residencial"/>
    <s v="Não se aplica"/>
    <s v="Não se aplica"/>
    <s v="Não se aplica"/>
    <s v="CATIVO"/>
    <x v="9"/>
    <n v="0"/>
    <n v="0"/>
    <n v="1329.1890000000001"/>
    <n v="1329.1890000000001"/>
    <n v="1329.1890000000001"/>
    <n v="1329.1890000000001"/>
    <m/>
    <n v="825.6"/>
    <n v="185.74"/>
    <m/>
    <n v="1344262.0032600001"/>
    <n v="1344262.0032600001"/>
    <n v="835661.12430000002"/>
    <n v="0"/>
    <n v="82868.508967489106"/>
    <n v="0"/>
    <n v="0"/>
    <n v="0"/>
    <n v="173235.47030027845"/>
    <n v="780592.53509617085"/>
    <n v="246889.26434064304"/>
    <n v="0"/>
    <n v="0"/>
    <n v="0"/>
    <n v="0"/>
    <n v="0"/>
    <n v="12806.994165384698"/>
    <m/>
    <n v="3151.3307997758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727.87318940345"/>
    <n v="0"/>
    <n v="371.94"/>
    <n v="1758.83"/>
    <n v="176621.65"/>
    <n v="8264"/>
    <m/>
    <m/>
    <m/>
    <m/>
    <m/>
    <m/>
    <m/>
    <m/>
    <m/>
    <n v="291617.13753004652"/>
    <m/>
    <m/>
    <m/>
    <m/>
    <m/>
    <m/>
    <m/>
    <m/>
    <m/>
    <m/>
    <m/>
    <m/>
    <n v="835661.75300000003"/>
    <n v="-508600.28026000015"/>
    <m/>
    <m/>
    <m/>
    <m/>
    <n v="-508600.87896000006"/>
    <n v="0"/>
    <n v="30"/>
    <n v="-21923.057492842549"/>
    <n v="0"/>
    <n v="0"/>
    <n v="0"/>
    <n v="0"/>
    <n v="0"/>
    <n v="0"/>
    <n v="0"/>
    <n v="-15947.470983509353"/>
    <n v="0"/>
    <n v="0"/>
    <n v="0"/>
    <n v="0"/>
    <n v="0"/>
    <n v="0"/>
    <n v="0"/>
    <n v="0"/>
    <n v="-5125.3083203281858"/>
    <m/>
    <n v="0"/>
    <n v="0"/>
    <n v="0"/>
    <n v="0"/>
    <n v="-686.61363184533548"/>
    <n v="-163.66455715966731"/>
    <n v="0"/>
    <n v="0"/>
    <m/>
    <m/>
    <m/>
    <n v="780592.53509617085"/>
    <n v="0"/>
    <n v="0"/>
    <n v="-508600.87896000012"/>
    <n v="0"/>
    <n v="0"/>
    <n v="0"/>
    <n v="-486681.42700020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3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57799999999999996"/>
    <n v="-0.57799999999999996"/>
    <n v="-0.57799999999999996"/>
    <n v="-0.57799999999999996"/>
    <m/>
    <n v="825.6"/>
    <n v="185.74"/>
    <m/>
    <n v="-584.55452000000002"/>
    <n v="-584.55452000000002"/>
    <n v="-363.3886"/>
    <n v="0"/>
    <n v="-36.03550599892769"/>
    <n v="0"/>
    <n v="0"/>
    <n v="0"/>
    <n v="-75.331726213172786"/>
    <n v="-339.44193435665409"/>
    <n v="-107.36019842843392"/>
    <n v="0"/>
    <n v="0"/>
    <n v="0"/>
    <n v="0"/>
    <n v="0"/>
    <n v="-5.5691422571149438"/>
    <m/>
    <n v="-1.370361327298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44998845421922"/>
    <n v="0"/>
    <n v="-0.17"/>
    <n v="-0.76"/>
    <n v="-91.17"/>
    <n v="0"/>
    <m/>
    <m/>
    <m/>
    <m/>
    <m/>
    <m/>
    <m/>
    <m/>
    <m/>
    <n v="-126.81018688265314"/>
    <m/>
    <m/>
    <m/>
    <m/>
    <m/>
    <m/>
    <m/>
    <m/>
    <m/>
    <m/>
    <m/>
    <m/>
    <n v="-364.64599999999996"/>
    <n v="219.87852000000009"/>
    <m/>
    <m/>
    <m/>
    <m/>
    <n v="221.16592"/>
    <n v="0"/>
    <n v="30"/>
    <n v="9.5332772321039272"/>
    <n v="0"/>
    <n v="0"/>
    <n v="0"/>
    <n v="0"/>
    <n v="0"/>
    <n v="0"/>
    <n v="0"/>
    <n v="6.9347837128267003"/>
    <n v="0"/>
    <n v="0"/>
    <n v="0"/>
    <n v="0"/>
    <n v="0"/>
    <n v="0"/>
    <n v="0"/>
    <n v="0"/>
    <n v="2.2287486648999391"/>
    <m/>
    <n v="0"/>
    <n v="0"/>
    <n v="0"/>
    <n v="0"/>
    <n v="0.29857505532065343"/>
    <n v="7.1169799056633343E-2"/>
    <n v="0"/>
    <n v="0"/>
    <m/>
    <m/>
    <m/>
    <n v="-339.44193435665409"/>
    <n v="0"/>
    <n v="0"/>
    <n v="221.16592000000003"/>
    <n v="0"/>
    <n v="0"/>
    <n v="0"/>
    <n v="211.63421063981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4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0.192"/>
    <n v="0.192"/>
    <n v="0.192"/>
    <n v="0.192"/>
    <m/>
    <n v="825.6"/>
    <n v="185.74"/>
    <m/>
    <n v="194.17728000000002"/>
    <n v="194.17728000000002"/>
    <n v="120.71040000000001"/>
    <n v="0"/>
    <n v="11.970271888917159"/>
    <n v="0"/>
    <n v="0"/>
    <n v="0"/>
    <n v="25.023687600223489"/>
    <n v="112.75579826380206"/>
    <n v="35.662903284185667"/>
    <n v="0"/>
    <n v="0"/>
    <n v="0"/>
    <n v="0"/>
    <n v="0"/>
    <n v="1.8499572895606735"/>
    <m/>
    <n v="0.45520653086729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608958187025793"/>
    <n v="0"/>
    <n v="0.02"/>
    <n v="0.11"/>
    <n v="101.99"/>
    <n v="3"/>
    <m/>
    <m/>
    <m/>
    <m/>
    <m/>
    <m/>
    <m/>
    <m/>
    <m/>
    <n v="42.123799102888249"/>
    <m/>
    <m/>
    <m/>
    <m/>
    <m/>
    <m/>
    <m/>
    <m/>
    <m/>
    <m/>
    <m/>
    <m/>
    <n v="119.453"/>
    <n v="-74.754279999999994"/>
    <m/>
    <m/>
    <m/>
    <m/>
    <n v="-73.466880000000003"/>
    <n v="0"/>
    <n v="30"/>
    <n v="-3.1667633712179395"/>
    <n v="0"/>
    <n v="0"/>
    <n v="0"/>
    <n v="0"/>
    <n v="0"/>
    <n v="0"/>
    <n v="0"/>
    <n v="-2.3035959738109462"/>
    <n v="0"/>
    <n v="0"/>
    <n v="0"/>
    <n v="0"/>
    <n v="0"/>
    <n v="0"/>
    <n v="0"/>
    <n v="0"/>
    <n v="-0.74034557726780115"/>
    <m/>
    <n v="0"/>
    <n v="0"/>
    <n v="0"/>
    <n v="0"/>
    <n v="-9.9180641213781229E-2"/>
    <n v="-2.3641178925386863E-2"/>
    <n v="0"/>
    <n v="0"/>
    <m/>
    <m/>
    <m/>
    <n v="112.75579826380206"/>
    <n v="0"/>
    <n v="0"/>
    <n v="-73.466880000000018"/>
    <n v="0"/>
    <n v="0"/>
    <n v="0"/>
    <n v="-70.30063744436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5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8.6999999999999993"/>
    <n v="8.6999999999999993"/>
    <n v="8.6999999999999993"/>
    <n v="8.6999999999999993"/>
    <m/>
    <n v="753.62"/>
    <n v="185.74"/>
    <m/>
    <n v="8172.4319999999998"/>
    <n v="8172.4319999999998"/>
    <n v="4881.4830000000002"/>
    <n v="0"/>
    <n v="0"/>
    <n v="0"/>
    <n v="0"/>
    <n v="0"/>
    <n v="1133.8858443851268"/>
    <n v="5109.2471088285301"/>
    <n v="1615.975305064663"/>
    <n v="0"/>
    <n v="0"/>
    <n v="0"/>
    <n v="0"/>
    <n v="0"/>
    <n v="0"/>
    <m/>
    <n v="20.626545929924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.75934178496061"/>
    <n v="0"/>
    <n v="0"/>
    <n v="2.9"/>
    <n v="232"/>
    <n v="29"/>
    <m/>
    <m/>
    <m/>
    <m/>
    <m/>
    <m/>
    <m/>
    <n v="3172.9769999999999"/>
    <m/>
    <n v="1908.7346468496235"/>
    <m/>
    <m/>
    <m/>
    <m/>
    <m/>
    <m/>
    <m/>
    <m/>
    <m/>
    <m/>
    <m/>
    <m/>
    <n v="1708.5059999999999"/>
    <n v="-1151.9100000000003"/>
    <m/>
    <m/>
    <m/>
    <m/>
    <n v="-3290.9489999999996"/>
    <n v="0"/>
    <n v="30"/>
    <n v="-105.45293348336463"/>
    <n v="0"/>
    <n v="0"/>
    <n v="0"/>
    <n v="0"/>
    <n v="0"/>
    <n v="0"/>
    <n v="0"/>
    <n v="-104.38169256330843"/>
    <n v="0"/>
    <n v="0"/>
    <n v="0"/>
    <n v="0"/>
    <n v="0"/>
    <n v="0"/>
    <n v="0"/>
    <n v="0"/>
    <n v="0"/>
    <m/>
    <n v="0"/>
    <n v="0"/>
    <n v="0"/>
    <n v="0"/>
    <n v="0"/>
    <n v="-1.0712409200565922"/>
    <n v="0"/>
    <n v="0"/>
    <m/>
    <m/>
    <m/>
    <n v="5109.2471088285301"/>
    <n v="0"/>
    <n v="0"/>
    <n v="-3290.9489999999996"/>
    <n v="0"/>
    <n v="0"/>
    <n v="0"/>
    <n v="-3185.4976341978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6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6.468"/>
    <n v="16.468"/>
    <n v="16.468"/>
    <n v="16.468"/>
    <m/>
    <n v="753.62"/>
    <n v="185.74"/>
    <m/>
    <n v="15469.38048"/>
    <n v="15469.38048"/>
    <n v="9240.0301200000013"/>
    <n v="0"/>
    <n v="0"/>
    <n v="0"/>
    <n v="0"/>
    <n v="0"/>
    <n v="2146.3025385441688"/>
    <n v="9671.1587802515223"/>
    <n v="3058.8369337706749"/>
    <n v="0"/>
    <n v="0"/>
    <n v="0"/>
    <n v="0"/>
    <n v="0"/>
    <n v="0"/>
    <m/>
    <n v="39.043443491263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4.15641844996912"/>
    <n v="0"/>
    <n v="2.2999999999999998"/>
    <n v="11.83"/>
    <n v="757.42"/>
    <n v="55"/>
    <m/>
    <m/>
    <m/>
    <m/>
    <m/>
    <m/>
    <m/>
    <n v="3695.9132400000003"/>
    <m/>
    <n v="3612.9933522206438"/>
    <m/>
    <m/>
    <m/>
    <m/>
    <m/>
    <m/>
    <m/>
    <m/>
    <m/>
    <m/>
    <m/>
    <m/>
    <n v="5544.7901999999995"/>
    <n v="-3736.9339600000021"/>
    <m/>
    <m/>
    <m/>
    <m/>
    <n v="-6229.3503599999995"/>
    <n v="0"/>
    <n v="30"/>
    <n v="-199.60906995448931"/>
    <n v="0"/>
    <n v="0"/>
    <n v="0"/>
    <n v="0"/>
    <n v="0"/>
    <n v="0"/>
    <n v="0"/>
    <n v="-197.58134633707618"/>
    <n v="0"/>
    <n v="0"/>
    <n v="0"/>
    <n v="0"/>
    <n v="0"/>
    <n v="0"/>
    <n v="0"/>
    <n v="0"/>
    <n v="0"/>
    <m/>
    <n v="0"/>
    <n v="0"/>
    <n v="0"/>
    <n v="0"/>
    <n v="0"/>
    <n v="-2.0277236174128674"/>
    <n v="0"/>
    <n v="0"/>
    <m/>
    <m/>
    <m/>
    <n v="9671.1587802515223"/>
    <n v="0"/>
    <n v="0"/>
    <n v="-6229.3503599999985"/>
    <n v="0"/>
    <n v="0"/>
    <n v="0"/>
    <n v="-6029.744257467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7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7.007999999999999"/>
    <n v="17.007999999999999"/>
    <n v="17.007999999999999"/>
    <n v="17.007999999999999"/>
    <m/>
    <n v="753.62"/>
    <n v="185.74"/>
    <m/>
    <n v="15976.634879999998"/>
    <n v="15976.634879999998"/>
    <n v="9543.01872"/>
    <n v="0"/>
    <n v="0"/>
    <n v="0"/>
    <n v="0"/>
    <n v="0"/>
    <n v="2216.6816599197973"/>
    <n v="9988.2844628684652"/>
    <n v="3159.138849257447"/>
    <n v="0"/>
    <n v="0"/>
    <n v="0"/>
    <n v="0"/>
    <n v="0"/>
    <n v="0"/>
    <m/>
    <n v="40.3237118593280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2.32768794007006"/>
    <n v="0"/>
    <n v="4.2300000000000004"/>
    <n v="18.54"/>
    <n v="1975.85"/>
    <n v="129"/>
    <m/>
    <m/>
    <m/>
    <m/>
    <m/>
    <m/>
    <m/>
    <n v="954.14880000000085"/>
    <m/>
    <n v="3731.466537197517"/>
    <m/>
    <m/>
    <m/>
    <m/>
    <m/>
    <m/>
    <m/>
    <m/>
    <m/>
    <m/>
    <m/>
    <m/>
    <n v="8589.8798999999999"/>
    <n v="-5789.2235400000009"/>
    <m/>
    <m/>
    <m/>
    <m/>
    <n v="-6433.6161599999996"/>
    <n v="0"/>
    <n v="30"/>
    <n v="-206.15442444655946"/>
    <n v="0"/>
    <n v="0"/>
    <n v="0"/>
    <n v="0"/>
    <n v="0"/>
    <n v="0"/>
    <n v="0"/>
    <n v="-204.06021001341946"/>
    <n v="0"/>
    <n v="0"/>
    <n v="0"/>
    <n v="0"/>
    <n v="0"/>
    <n v="0"/>
    <n v="0"/>
    <n v="0"/>
    <n v="0"/>
    <m/>
    <n v="0"/>
    <n v="0"/>
    <n v="0"/>
    <n v="0"/>
    <n v="0"/>
    <n v="-2.0942144331405217"/>
    <n v="0"/>
    <n v="0"/>
    <m/>
    <m/>
    <m/>
    <n v="9988.2844628684652"/>
    <n v="0"/>
    <n v="0"/>
    <n v="-6433.6161599999987"/>
    <n v="0"/>
    <n v="0"/>
    <n v="0"/>
    <n v="-6227.4648002801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8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8.8190000000000008"/>
    <n v="8.8190000000000008"/>
    <n v="8.8190000000000008"/>
    <n v="8.8190000000000008"/>
    <m/>
    <n v="753.62"/>
    <n v="185.74"/>
    <m/>
    <n v="8284.2158400000008"/>
    <n v="8284.2158400000008"/>
    <n v="4948.2527100000007"/>
    <n v="0"/>
    <n v="0"/>
    <n v="0"/>
    <n v="0"/>
    <n v="0"/>
    <n v="1149.3953174290154"/>
    <n v="5179.1322129607834"/>
    <n v="1638.0788753293407"/>
    <n v="0"/>
    <n v="0"/>
    <n v="0"/>
    <n v="0"/>
    <n v="0"/>
    <n v="0"/>
    <m/>
    <n v="20.908679144368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76375117259403"/>
    <n v="0"/>
    <n v="2.5299999999999998"/>
    <n v="10.32"/>
    <n v="1653.29"/>
    <n v="77"/>
    <m/>
    <m/>
    <m/>
    <m/>
    <m/>
    <m/>
    <m/>
    <m/>
    <m/>
    <n v="1934.8426265019348"/>
    <m/>
    <m/>
    <m/>
    <m/>
    <m/>
    <m/>
    <m/>
    <m/>
    <m/>
    <m/>
    <m/>
    <m/>
    <n v="4948.8138000000008"/>
    <n v="-3335.4320400000006"/>
    <m/>
    <m/>
    <m/>
    <m/>
    <n v="-3335.9631300000001"/>
    <n v="0"/>
    <n v="30"/>
    <n v="-106.895335676988"/>
    <n v="0"/>
    <n v="0"/>
    <n v="0"/>
    <n v="0"/>
    <n v="0"/>
    <n v="0"/>
    <n v="0"/>
    <n v="-105.80944215124327"/>
    <n v="0"/>
    <n v="0"/>
    <n v="0"/>
    <n v="0"/>
    <n v="0"/>
    <n v="0"/>
    <n v="0"/>
    <n v="0"/>
    <n v="0"/>
    <m/>
    <n v="0"/>
    <n v="0"/>
    <n v="0"/>
    <n v="0"/>
    <n v="0"/>
    <n v="-1.0858935257447229"/>
    <n v="0"/>
    <n v="0"/>
    <m/>
    <m/>
    <m/>
    <n v="5179.1322129607834"/>
    <n v="0"/>
    <n v="0"/>
    <n v="-3335.9631299999996"/>
    <n v="0"/>
    <n v="0"/>
    <n v="0"/>
    <n v="-3229.0693834472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79"/>
    <s v="Regular"/>
    <s v="Branca"/>
    <s v="B1"/>
    <s v="Residencial"/>
    <s v="Residencial"/>
    <s v="Não se aplica"/>
    <s v="Não se aplica"/>
    <s v="Ponta"/>
    <s v="CATIVO"/>
    <x v="9"/>
    <n v="0"/>
    <n v="0"/>
    <n v="8.4000000000000005E-2"/>
    <n v="8.4000000000000005E-2"/>
    <n v="8.4000000000000005E-2"/>
    <n v="8.4000000000000005E-2"/>
    <m/>
    <n v="2045.69"/>
    <n v="185.74"/>
    <m/>
    <n v="187.44012000000001"/>
    <n v="187.44012000000001"/>
    <n v="101.29728"/>
    <n v="0"/>
    <n v="5.2369939514012565"/>
    <n v="0"/>
    <n v="0"/>
    <n v="0"/>
    <n v="29.572753148257455"/>
    <n v="133.19274514599061"/>
    <n v="15.60252018683123"/>
    <n v="0"/>
    <n v="0"/>
    <n v="0"/>
    <n v="0"/>
    <n v="0"/>
    <n v="0.80935631418279463"/>
    <m/>
    <n v="0.19915285725444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266419206823787"/>
    <n v="0"/>
    <n v="0"/>
    <n v="0"/>
    <n v="0"/>
    <n v="0"/>
    <m/>
    <m/>
    <m/>
    <m/>
    <m/>
    <m/>
    <m/>
    <m/>
    <m/>
    <n v="18.429162107513609"/>
    <m/>
    <m/>
    <m/>
    <m/>
    <m/>
    <m/>
    <m/>
    <m/>
    <m/>
    <m/>
    <m/>
    <m/>
    <n v="96.473600000000005"/>
    <n v="-90.996519999999975"/>
    <m/>
    <m/>
    <m/>
    <m/>
    <n v="-86.142840000000021"/>
    <n v="0"/>
    <n v="30"/>
    <n v="-3.1000032856720381"/>
    <n v="0"/>
    <n v="0"/>
    <n v="0"/>
    <n v="0"/>
    <n v="0"/>
    <n v="0"/>
    <n v="0"/>
    <n v="-2.7223675493064974"/>
    <n v="0"/>
    <n v="0"/>
    <n v="0"/>
    <n v="0"/>
    <n v="0"/>
    <n v="0"/>
    <n v="0"/>
    <n v="0"/>
    <n v="-0.32390119005466289"/>
    <m/>
    <n v="0"/>
    <n v="0"/>
    <n v="0"/>
    <n v="0"/>
    <n v="-4.3391530531029177E-2"/>
    <n v="-1.0343015779856773E-2"/>
    <n v="0"/>
    <n v="0"/>
    <m/>
    <m/>
    <m/>
    <n v="133.19274514599061"/>
    <n v="0"/>
    <n v="0"/>
    <n v="-86.142840000000007"/>
    <n v="0"/>
    <n v="0"/>
    <n v="0"/>
    <n v="-83.0426020737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0"/>
    <s v="Regular"/>
    <s v="Branca"/>
    <s v="B1"/>
    <s v="Residencial"/>
    <s v="Residencial"/>
    <s v="Não se aplica"/>
    <s v="Não se aplica"/>
    <s v="Fora ponta"/>
    <s v="CATIVO"/>
    <x v="9"/>
    <n v="0"/>
    <n v="0"/>
    <n v="0.72699999999999998"/>
    <n v="0.72699999999999998"/>
    <n v="0.72699999999999998"/>
    <n v="0.72699999999999998"/>
    <m/>
    <n v="495.6"/>
    <n v="185.74"/>
    <m/>
    <n v="495.33418"/>
    <n v="495.33418"/>
    <n v="343.60928000000001"/>
    <n v="0"/>
    <n v="45.324935746056113"/>
    <n v="0"/>
    <n v="0"/>
    <n v="0"/>
    <n v="51.235842850214411"/>
    <n v="230.55011951983283"/>
    <n v="135.03609733126552"/>
    <n v="0"/>
    <n v="0"/>
    <n v="0"/>
    <n v="0"/>
    <n v="0"/>
    <n v="7.0047861953677577"/>
    <m/>
    <n v="1.7236205621902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463912813524871"/>
    <n v="0"/>
    <n v="0"/>
    <n v="0"/>
    <n v="0"/>
    <n v="0"/>
    <m/>
    <m/>
    <m/>
    <m/>
    <m/>
    <m/>
    <m/>
    <m/>
    <m/>
    <n v="159.50001014479039"/>
    <m/>
    <m/>
    <m/>
    <m/>
    <m/>
    <m/>
    <m/>
    <m/>
    <m/>
    <m/>
    <m/>
    <m/>
    <n v="345.02719999999999"/>
    <n v="-150.33697999999998"/>
    <m/>
    <m/>
    <m/>
    <m/>
    <n v="-151.72490000000002"/>
    <n v="0"/>
    <n v="30"/>
    <n v="-7.9849456413993494"/>
    <n v="0"/>
    <n v="0"/>
    <n v="0"/>
    <n v="0"/>
    <n v="0"/>
    <n v="0"/>
    <n v="0"/>
    <n v="-4.7165982564261171"/>
    <n v="0"/>
    <n v="0"/>
    <n v="0"/>
    <n v="0"/>
    <n v="0"/>
    <n v="0"/>
    <n v="0"/>
    <n v="0"/>
    <n v="-2.8032876805921418"/>
    <m/>
    <n v="0"/>
    <n v="0"/>
    <n v="0"/>
    <n v="0"/>
    <n v="-0.37554336542926414"/>
    <n v="-8.9516338951855623E-2"/>
    <n v="0"/>
    <n v="0"/>
    <m/>
    <m/>
    <m/>
    <n v="230.55011951983283"/>
    <n v="0"/>
    <n v="0"/>
    <n v="-151.72490000000002"/>
    <n v="0"/>
    <n v="0"/>
    <n v="0"/>
    <n v="-143.74267766877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3"/>
    <n v="1.02"/>
    <n v="118.4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82"/>
    <s v="Regular"/>
    <s v="Branca"/>
    <s v="B1"/>
    <s v="Residencial"/>
    <s v="Residencial"/>
    <s v="Não se aplica"/>
    <s v="Não se aplica"/>
    <s v="Intermediário"/>
    <s v="CATIVO"/>
    <x v="9"/>
    <n v="0"/>
    <n v="0"/>
    <n v="4.8000000000000001E-2"/>
    <n v="4.8000000000000001E-2"/>
    <n v="4.8000000000000001E-2"/>
    <n v="4.8000000000000001E-2"/>
    <m/>
    <n v="1270.6099999999999"/>
    <n v="185.74"/>
    <m/>
    <n v="69.904799999999994"/>
    <n v="69.904799999999994"/>
    <n v="40.284000000000006"/>
    <n v="0"/>
    <n v="2.9925679722292897"/>
    <n v="0"/>
    <n v="0"/>
    <n v="0"/>
    <n v="10.139230611656112"/>
    <n v="45.666107794697083"/>
    <n v="8.9157258210464168"/>
    <n v="0"/>
    <n v="0"/>
    <n v="0"/>
    <n v="0"/>
    <n v="0"/>
    <n v="0.46248932239016838"/>
    <m/>
    <n v="0.11380163271682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152239546756448"/>
    <n v="0"/>
    <n v="0"/>
    <n v="0"/>
    <n v="0"/>
    <n v="0"/>
    <m/>
    <m/>
    <m/>
    <m/>
    <m/>
    <m/>
    <m/>
    <m/>
    <m/>
    <n v="10.530949775722062"/>
    <m/>
    <m/>
    <m/>
    <m/>
    <m/>
    <m/>
    <m/>
    <m/>
    <m/>
    <m/>
    <m/>
    <m/>
    <n v="41.962499999999999"/>
    <n v="-27.972299999999997"/>
    <m/>
    <m/>
    <m/>
    <m/>
    <n v="-29.620799999999996"/>
    <n v="0"/>
    <n v="30"/>
    <n v="-1.1491750975642709"/>
    <n v="0"/>
    <n v="0"/>
    <n v="0"/>
    <n v="0"/>
    <n v="0"/>
    <n v="0"/>
    <n v="0"/>
    <n v="-0.93338324821252705"/>
    <n v="0"/>
    <n v="0"/>
    <n v="0"/>
    <n v="0"/>
    <n v="0"/>
    <n v="0"/>
    <n v="0"/>
    <n v="0"/>
    <n v="-0.18508639431695029"/>
    <m/>
    <n v="0"/>
    <n v="0"/>
    <n v="0"/>
    <n v="0"/>
    <n v="-2.4795160303445307E-2"/>
    <n v="-5.9102947313467158E-3"/>
    <n v="0"/>
    <n v="0"/>
    <m/>
    <m/>
    <m/>
    <n v="45.666107794697083"/>
    <n v="0"/>
    <n v="0"/>
    <n v="-29.620799999999992"/>
    <n v="0"/>
    <n v="0"/>
    <n v="0"/>
    <n v="-28.471764086663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3"/>
    <s v="Regular"/>
    <s v="Convencional"/>
    <s v="B3"/>
    <s v="Industrial"/>
    <s v="Não se aplica"/>
    <s v="Não se aplica"/>
    <s v="Não se aplica"/>
    <s v="Não se aplica"/>
    <s v="CATIVO"/>
    <x v="9"/>
    <n v="0"/>
    <n v="0"/>
    <n v="40.014000000000003"/>
    <n v="40.014000000000003"/>
    <n v="40.014000000000003"/>
    <n v="40.014000000000003"/>
    <m/>
    <n v="825.6"/>
    <n v="185.74"/>
    <m/>
    <n v="40467.758760000004"/>
    <n v="40467.758760000004"/>
    <n v="25156.801800000001"/>
    <n v="0"/>
    <n v="2494.6794758496417"/>
    <n v="0"/>
    <n v="0"/>
    <n v="0"/>
    <n v="5215.0928939340765"/>
    <n v="23499.013081915498"/>
    <n v="7432.3719375698192"/>
    <n v="0"/>
    <n v="0"/>
    <n v="0"/>
    <n v="0"/>
    <n v="0"/>
    <n v="385.54266137750415"/>
    <m/>
    <n v="94.867886073562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6.4910692164844"/>
    <n v="0"/>
    <n v="12.39"/>
    <n v="52.96"/>
    <n v="8407.2000000000007"/>
    <n v="44"/>
    <m/>
    <m/>
    <m/>
    <m/>
    <m/>
    <m/>
    <m/>
    <m/>
    <m/>
    <n v="8778.8630067863032"/>
    <m/>
    <m/>
    <m/>
    <m/>
    <m/>
    <m/>
    <m/>
    <m/>
    <m/>
    <m/>
    <m/>
    <m/>
    <n v="25154.286999999997"/>
    <n v="-15313.501760000014"/>
    <m/>
    <m/>
    <m/>
    <m/>
    <n v="-15310.956960000003"/>
    <n v="0"/>
    <n v="30"/>
    <n v="-659.97327883288381"/>
    <n v="0"/>
    <n v="0"/>
    <n v="0"/>
    <n v="0"/>
    <n v="0"/>
    <n v="0"/>
    <n v="0"/>
    <n v="-480.08379841703663"/>
    <n v="0"/>
    <n v="0"/>
    <n v="0"/>
    <n v="0"/>
    <n v="0"/>
    <n v="0"/>
    <n v="0"/>
    <n v="0"/>
    <n v="-154.29264546246759"/>
    <m/>
    <n v="0"/>
    <n v="0"/>
    <n v="0"/>
    <n v="0"/>
    <n v="-20.669865507959571"/>
    <n v="-4.926969445418905"/>
    <n v="0"/>
    <n v="0"/>
    <m/>
    <m/>
    <m/>
    <n v="23499.013081915498"/>
    <n v="0"/>
    <n v="0"/>
    <n v="-15310.95696"/>
    <n v="0"/>
    <n v="0"/>
    <n v="0"/>
    <n v="-14651.09222238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4"/>
    <s v="Regular"/>
    <s v="Verde"/>
    <s v="A4"/>
    <s v="Industrial"/>
    <s v="Não se aplica"/>
    <s v="Não se aplica"/>
    <s v="Não se aplica"/>
    <s v="Ponta"/>
    <s v="CATIVO"/>
    <x v="9"/>
    <n v="0"/>
    <n v="0"/>
    <n v="0.219"/>
    <n v="0.219"/>
    <n v="0.219"/>
    <n v="0.219"/>
    <m/>
    <n v="4433.21"/>
    <n v="185.74"/>
    <m/>
    <n v="1011.5500499999999"/>
    <n v="1011.5500499999999"/>
    <n v="527.92578000000003"/>
    <n v="0"/>
    <n v="11.878624494767621"/>
    <n v="0"/>
    <n v="0"/>
    <n v="0"/>
    <n v="210.59543150920285"/>
    <n v="743.21669885984977"/>
    <n v="40.677999058524279"/>
    <n v="0"/>
    <n v="0"/>
    <n v="0"/>
    <n v="0"/>
    <n v="0"/>
    <n v="2.1101075334051429"/>
    <m/>
    <n v="0.22685803176068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452860616459521"/>
    <n v="0"/>
    <n v="0"/>
    <n v="0"/>
    <n v="0"/>
    <n v="0"/>
    <m/>
    <m/>
    <m/>
    <m/>
    <m/>
    <m/>
    <m/>
    <m/>
    <m/>
    <n v="43.523285120170229"/>
    <m/>
    <m/>
    <m/>
    <m/>
    <m/>
    <m/>
    <m/>
    <m/>
    <m/>
    <m/>
    <m/>
    <m/>
    <n v="530.33640000000003"/>
    <n v="-481.24364999999989"/>
    <m/>
    <m/>
    <m/>
    <m/>
    <n v="-483.62426999999997"/>
    <n v="0"/>
    <n v="30"/>
    <n v="-20.246289657752953"/>
    <n v="0"/>
    <n v="0"/>
    <n v="0"/>
    <n v="0"/>
    <n v="0"/>
    <n v="0"/>
    <n v="0"/>
    <n v="-19.386702546720215"/>
    <n v="0"/>
    <n v="0"/>
    <n v="0"/>
    <n v="0"/>
    <n v="0"/>
    <n v="0"/>
    <n v="0"/>
    <n v="0"/>
    <n v="-0.7346773064418386"/>
    <m/>
    <n v="0"/>
    <n v="0"/>
    <n v="0"/>
    <n v="0"/>
    <n v="-0.11312791888446894"/>
    <n v="-1.1781885706465628E-2"/>
    <n v="0"/>
    <n v="0"/>
    <m/>
    <m/>
    <m/>
    <n v="743.21669885984977"/>
    <n v="0"/>
    <n v="0"/>
    <n v="-483.62426999999991"/>
    <n v="0"/>
    <n v="0"/>
    <n v="0"/>
    <n v="-463.37845586357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5"/>
    <s v="Regular"/>
    <s v="Verde"/>
    <s v="A4"/>
    <s v="Industrial"/>
    <s v="Não se aplica"/>
    <s v="Não se aplica"/>
    <s v="Não se aplica"/>
    <s v="Fora ponta"/>
    <s v="CATIVO"/>
    <x v="9"/>
    <n v="0"/>
    <n v="0"/>
    <n v="29.097000000000001"/>
    <n v="29.097000000000001"/>
    <n v="29.097000000000001"/>
    <n v="29.097000000000001"/>
    <m/>
    <n v="77.900000000000006"/>
    <n v="185.74"/>
    <m/>
    <n v="7671.1330800000014"/>
    <n v="7671.1330800000014"/>
    <n v="7557.0728400000007"/>
    <n v="0"/>
    <n v="1578.2298489691939"/>
    <n v="0"/>
    <n v="0"/>
    <n v="0"/>
    <n v="0"/>
    <n v="0"/>
    <n v="5404.6015461455745"/>
    <n v="0"/>
    <n v="0"/>
    <n v="0"/>
    <n v="0"/>
    <n v="0"/>
    <n v="280.35524611639022"/>
    <m/>
    <n v="30.141041781463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.03328098498753"/>
    <n v="0"/>
    <n v="0"/>
    <n v="0"/>
    <n v="0"/>
    <n v="0"/>
    <m/>
    <m/>
    <m/>
    <m/>
    <m/>
    <m/>
    <m/>
    <m/>
    <m/>
    <n v="5782.6348271305624"/>
    <m/>
    <m/>
    <m/>
    <m/>
    <m/>
    <m/>
    <m/>
    <m/>
    <m/>
    <m/>
    <m/>
    <m/>
    <n v="7557.8520000000008"/>
    <n v="-113.31108000000131"/>
    <m/>
    <m/>
    <m/>
    <m/>
    <n v="-114.06024000000005"/>
    <n v="0"/>
    <n v="30"/>
    <n v="-114.20733410831326"/>
    <n v="0"/>
    <n v="0"/>
    <n v="0"/>
    <n v="0"/>
    <n v="0"/>
    <n v="0"/>
    <n v="0"/>
    <n v="0"/>
    <n v="0"/>
    <n v="0"/>
    <n v="0"/>
    <n v="0"/>
    <n v="0"/>
    <n v="0"/>
    <n v="0"/>
    <n v="0"/>
    <n v="-97.611441029854632"/>
    <m/>
    <n v="0"/>
    <n v="0"/>
    <n v="0"/>
    <n v="0"/>
    <n v="-15.030516236444782"/>
    <n v="-1.565376842013837"/>
    <n v="0"/>
    <n v="0"/>
    <m/>
    <m/>
    <m/>
    <n v="0"/>
    <n v="0"/>
    <n v="0"/>
    <n v="-114.0602399999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6"/>
    <s v="Regular"/>
    <s v="Verde"/>
    <s v="A4"/>
    <s v="Industrial"/>
    <s v="Não se aplica"/>
    <s v="Não se aplica"/>
    <s v="Não se aplica"/>
    <s v="Não se aplica"/>
    <s v="CATIVO"/>
    <x v="9"/>
    <n v="316"/>
    <n v="316"/>
    <n v="0"/>
    <n v="0"/>
    <n v="0"/>
    <n v="0"/>
    <n v="55.59"/>
    <m/>
    <m/>
    <n v="17566.440000000002"/>
    <m/>
    <n v="17566.440000000002"/>
    <n v="9325.16"/>
    <n v="0"/>
    <n v="0"/>
    <n v="0"/>
    <n v="0"/>
    <n v="0"/>
    <n v="5104.8759815771527"/>
    <n v="12460.1085111541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43"/>
    <n v="39.64"/>
    <n v="5996.04"/>
    <n v="5"/>
    <m/>
    <m/>
    <m/>
    <m/>
    <m/>
    <m/>
    <m/>
    <m/>
    <m/>
    <n v="0"/>
    <m/>
    <m/>
    <m/>
    <m/>
    <m/>
    <m/>
    <m/>
    <m/>
    <m/>
    <m/>
    <m/>
    <m/>
    <n v="9325.16"/>
    <n v="-8241.3099999999977"/>
    <m/>
    <m/>
    <m/>
    <m/>
    <n v="-8241.2800000000007"/>
    <n v="0"/>
    <n v="30"/>
    <n v="-469.93760255626057"/>
    <n v="0"/>
    <n v="0"/>
    <n v="0"/>
    <n v="0"/>
    <m/>
    <m/>
    <m/>
    <n v="-469.937602556260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60.108511154129"/>
    <m/>
    <n v="0"/>
    <n v="0"/>
    <n v="-8241.2800000000025"/>
    <m/>
    <n v="0"/>
    <m/>
    <n v="-7768.5900365916141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87"/>
    <s v="Regular"/>
    <s v="Convencional"/>
    <s v="B3"/>
    <s v="Comercial"/>
    <s v="Não se aplica"/>
    <s v="Não se aplica"/>
    <s v="Não se aplica"/>
    <s v="Não se aplica"/>
    <s v="CATIVO"/>
    <x v="9"/>
    <n v="0"/>
    <n v="0"/>
    <n v="141.81299999999999"/>
    <n v="141.81299999999999"/>
    <n v="141.81299999999999"/>
    <n v="141.81299999999999"/>
    <m/>
    <n v="825.6"/>
    <n v="185.74"/>
    <m/>
    <n v="143421.15942000001"/>
    <n v="143421.15942000001"/>
    <n v="89157.833099999989"/>
    <n v="0"/>
    <n v="8841.35503845317"/>
    <n v="0"/>
    <n v="0"/>
    <n v="0"/>
    <n v="18482.730258596319"/>
    <n v="83282.489683252919"/>
    <n v="26340.954705417818"/>
    <n v="0"/>
    <n v="0"/>
    <n v="0"/>
    <n v="0"/>
    <n v="0"/>
    <n v="1366.3957974191028"/>
    <m/>
    <n v="336.2198112598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0782225920248"/>
    <n v="0"/>
    <n v="42.75"/>
    <n v="187.73"/>
    <n v="28857.78"/>
    <n v="359"/>
    <m/>
    <m/>
    <m/>
    <m/>
    <m/>
    <m/>
    <m/>
    <m/>
    <m/>
    <n v="31113.032928009845"/>
    <m/>
    <m/>
    <m/>
    <m/>
    <m/>
    <m/>
    <m/>
    <m/>
    <m/>
    <m/>
    <m/>
    <m/>
    <n v="89155.947"/>
    <n v="-54265.24242000001"/>
    <m/>
    <m/>
    <m/>
    <m/>
    <n v="-54263.32632"/>
    <n v="0"/>
    <n v="30"/>
    <n v="-2339.0011143881493"/>
    <n v="0"/>
    <n v="0"/>
    <n v="0"/>
    <n v="0"/>
    <n v="0"/>
    <n v="0"/>
    <n v="0"/>
    <n v="-1701.4575824690182"/>
    <n v="0"/>
    <n v="0"/>
    <n v="0"/>
    <n v="0"/>
    <n v="0"/>
    <n v="0"/>
    <n v="0"/>
    <n v="0"/>
    <n v="-546.82618410978466"/>
    <m/>
    <n v="0"/>
    <n v="0"/>
    <n v="0"/>
    <n v="0"/>
    <n v="-73.255751419010039"/>
    <n v="-17.461596390343118"/>
    <n v="0"/>
    <n v="0"/>
    <m/>
    <m/>
    <m/>
    <n v="83282.489683252919"/>
    <n v="0"/>
    <n v="0"/>
    <n v="-54263.326320000007"/>
    <n v="0"/>
    <n v="0"/>
    <n v="0"/>
    <n v="-51924.70988488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8"/>
    <s v="Regular"/>
    <s v="Azul"/>
    <s v="A4"/>
    <s v="Comercial"/>
    <s v="Não se aplica"/>
    <s v="Não se aplica"/>
    <s v="Não se aplica"/>
    <s v="Ponta"/>
    <s v="CATIVO"/>
    <x v="9"/>
    <n v="529"/>
    <n v="529"/>
    <n v="32.063000000000002"/>
    <n v="32.063000000000002"/>
    <n v="32.063000000000002"/>
    <n v="32.063000000000002"/>
    <n v="181.08"/>
    <n v="77.900000000000006"/>
    <n v="185.74"/>
    <n v="95791.32"/>
    <n v="8453.089320000001"/>
    <n v="104244.40932000001"/>
    <n v="55630.58236"/>
    <n v="0"/>
    <n v="1739.1065624462751"/>
    <n v="0"/>
    <n v="0"/>
    <n v="0"/>
    <n v="21143.293090834497"/>
    <n v="74646.872515827636"/>
    <n v="5955.5191041710686"/>
    <n v="0"/>
    <n v="0"/>
    <n v="0"/>
    <n v="0"/>
    <n v="0"/>
    <n v="308.933232162416"/>
    <m/>
    <n v="33.213466083756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56806846828385"/>
    <n v="0"/>
    <n v="0"/>
    <n v="0"/>
    <n v="0"/>
    <n v="0"/>
    <m/>
    <m/>
    <m/>
    <m/>
    <m/>
    <m/>
    <m/>
    <m/>
    <m/>
    <n v="6372.0871726393525"/>
    <m/>
    <m/>
    <m/>
    <m/>
    <m/>
    <m/>
    <m/>
    <m/>
    <m/>
    <m/>
    <m/>
    <m/>
    <n v="55629.803199999995"/>
    <n v="-48614.636119999996"/>
    <m/>
    <m/>
    <m/>
    <m/>
    <n v="-48613.826960000006"/>
    <n v="0"/>
    <n v="30"/>
    <n v="-2072.2290387746689"/>
    <n v="0"/>
    <n v="0"/>
    <n v="0"/>
    <n v="0"/>
    <n v="0"/>
    <n v="0"/>
    <n v="0"/>
    <n v="-1946.3799906420463"/>
    <n v="0"/>
    <n v="0"/>
    <n v="0"/>
    <n v="0"/>
    <n v="0"/>
    <n v="0"/>
    <n v="0"/>
    <n v="0"/>
    <n v="-107.56145423034104"/>
    <m/>
    <n v="0"/>
    <n v="0"/>
    <n v="0"/>
    <n v="0"/>
    <n v="-16.562650516861765"/>
    <n v="-1.7249433854173795"/>
    <n v="0"/>
    <n v="0"/>
    <m/>
    <m/>
    <n v="74646.872515827636"/>
    <n v="0"/>
    <n v="0"/>
    <n v="0"/>
    <n v="-48613.826960000006"/>
    <n v="0"/>
    <n v="0"/>
    <n v="0"/>
    <n v="-46540.601919322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89"/>
    <s v="Regular"/>
    <s v="Azul"/>
    <s v="A4"/>
    <s v="Comercial"/>
    <s v="Não se aplica"/>
    <s v="Não se aplica"/>
    <s v="Não se aplica"/>
    <s v="Fora ponta"/>
    <s v="CATIVO"/>
    <x v="9"/>
    <n v="530"/>
    <n v="530"/>
    <n v="305.49599999999998"/>
    <n v="305.49599999999998"/>
    <n v="305.49599999999998"/>
    <n v="305.49599999999998"/>
    <n v="55.59"/>
    <n v="77.900000000000006"/>
    <n v="185.74"/>
    <n v="29462.7"/>
    <n v="80540.96544"/>
    <n v="110003.66544"/>
    <n v="94983.721120000002"/>
    <n v="0"/>
    <n v="16570.193007550359"/>
    <n v="0"/>
    <n v="0"/>
    <n v="0"/>
    <n v="8561.9755387211735"/>
    <n v="20898.283262378762"/>
    <n v="56744.136988049911"/>
    <n v="0"/>
    <n v="0"/>
    <n v="0"/>
    <n v="0"/>
    <n v="0"/>
    <n v="2943.5132923522265"/>
    <m/>
    <n v="316.45763137333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69.0571264319256"/>
    <n v="0"/>
    <n v="0"/>
    <n v="0"/>
    <n v="0"/>
    <n v="0"/>
    <m/>
    <m/>
    <m/>
    <m/>
    <m/>
    <m/>
    <m/>
    <m/>
    <m/>
    <n v="60713.194114481834"/>
    <m/>
    <m/>
    <m/>
    <m/>
    <m/>
    <m/>
    <m/>
    <m/>
    <m/>
    <m/>
    <m/>
    <m/>
    <n v="94984.760000000009"/>
    <n v="-15018.935439999987"/>
    <m/>
    <m/>
    <m/>
    <m/>
    <n v="-15019.944320000002"/>
    <n v="0"/>
    <n v="30"/>
    <n v="-1987.2751796930679"/>
    <n v="0"/>
    <n v="0"/>
    <n v="0"/>
    <n v="0"/>
    <n v="0"/>
    <n v="0"/>
    <n v="0"/>
    <n v="-788.18648530005612"/>
    <n v="0"/>
    <n v="0"/>
    <n v="0"/>
    <n v="0"/>
    <n v="0"/>
    <n v="0"/>
    <n v="0"/>
    <n v="0"/>
    <n v="-1024.8446502682909"/>
    <m/>
    <n v="0"/>
    <n v="0"/>
    <n v="0"/>
    <n v="0"/>
    <n v="-157.80879775127778"/>
    <n v="-16.435246373435689"/>
    <n v="0"/>
    <n v="0"/>
    <m/>
    <m/>
    <n v="20898.283262378762"/>
    <n v="0"/>
    <n v="0"/>
    <n v="0"/>
    <n v="-15019.944320000002"/>
    <n v="0"/>
    <n v="0"/>
    <n v="0"/>
    <n v="-13029.59721327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0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5.5"/>
    <n v="317.12"/>
    <n v="50335.6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391"/>
    <s v="Regular"/>
    <s v="Verde"/>
    <s v="A4"/>
    <s v="Comercial"/>
    <s v="Não se aplica"/>
    <s v="Não se aplica"/>
    <s v="Não se aplica"/>
    <s v="Ponta"/>
    <s v="CATIVO"/>
    <x v="9"/>
    <n v="0"/>
    <n v="0"/>
    <n v="5.4790000000000001"/>
    <n v="5.4790000000000001"/>
    <n v="5.4790000000000001"/>
    <n v="5.4790000000000001"/>
    <m/>
    <n v="4433.21"/>
    <n v="185.74"/>
    <m/>
    <n v="25307.227050000001"/>
    <n v="25307.227050000001"/>
    <n v="13207.786980000001"/>
    <n v="0"/>
    <n v="297.18257354717713"/>
    <n v="0"/>
    <n v="0"/>
    <n v="0"/>
    <n v="5268.7322796297831"/>
    <n v="18593.992205721996"/>
    <n v="1017.6929536148608"/>
    <n v="0"/>
    <n v="0"/>
    <n v="0"/>
    <n v="0"/>
    <n v="0"/>
    <n v="52.791229111994426"/>
    <m/>
    <n v="5.6755943197113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184120236338686"/>
    <n v="0"/>
    <n v="0"/>
    <n v="0"/>
    <n v="0"/>
    <n v="0"/>
    <m/>
    <m/>
    <m/>
    <m/>
    <m/>
    <m/>
    <m/>
    <m/>
    <m/>
    <n v="1088.8770738511994"/>
    <m/>
    <m/>
    <m/>
    <m/>
    <m/>
    <m/>
    <m/>
    <m/>
    <m/>
    <m/>
    <m/>
    <m/>
    <n v="13210.197600000001"/>
    <n v="-12097.059449999995"/>
    <m/>
    <m/>
    <m/>
    <m/>
    <n v="-12099.440070000001"/>
    <n v="0"/>
    <n v="30"/>
    <n v="-506.52703668871527"/>
    <n v="0"/>
    <n v="0"/>
    <n v="0"/>
    <n v="0"/>
    <n v="0"/>
    <n v="0"/>
    <n v="0"/>
    <n v="-485.02165869169039"/>
    <n v="0"/>
    <n v="0"/>
    <n v="0"/>
    <n v="0"/>
    <n v="0"/>
    <n v="0"/>
    <n v="0"/>
    <n v="0"/>
    <n v="-18.380351424633943"/>
    <m/>
    <n v="0"/>
    <n v="0"/>
    <n v="0"/>
    <n v="0"/>
    <n v="-2.8302642354703451"/>
    <n v="-0.29476233692111897"/>
    <n v="0"/>
    <n v="0"/>
    <m/>
    <m/>
    <m/>
    <n v="18593.992205721996"/>
    <n v="0"/>
    <n v="0"/>
    <n v="-12099.440069999999"/>
    <n v="0"/>
    <n v="0"/>
    <n v="0"/>
    <n v="-11592.924930029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2"/>
    <s v="Regular"/>
    <s v="Verde"/>
    <s v="A4"/>
    <s v="Comercial"/>
    <s v="Não se aplica"/>
    <s v="Não se aplica"/>
    <s v="Não se aplica"/>
    <s v="Fora ponta"/>
    <s v="CATIVO"/>
    <x v="9"/>
    <n v="0"/>
    <n v="0"/>
    <n v="335.82299999999998"/>
    <n v="335.82299999999998"/>
    <n v="335.82299999999998"/>
    <n v="335.82299999999998"/>
    <m/>
    <n v="77.900000000000006"/>
    <n v="185.74"/>
    <m/>
    <n v="88536.375720000011"/>
    <n v="88536.375720000011"/>
    <n v="87219.949560000008"/>
    <n v="0"/>
    <n v="18215.138418750441"/>
    <n v="0"/>
    <n v="0"/>
    <n v="0"/>
    <n v="0"/>
    <n v="0"/>
    <n v="62377.204008359804"/>
    <n v="0"/>
    <n v="0"/>
    <n v="0"/>
    <n v="0"/>
    <n v="0"/>
    <n v="3235.7198273548647"/>
    <m/>
    <n v="347.8728073057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63.070781187801"/>
    <n v="0"/>
    <n v="0"/>
    <n v="0"/>
    <n v="0"/>
    <n v="0"/>
    <m/>
    <m/>
    <m/>
    <m/>
    <m/>
    <m/>
    <m/>
    <m/>
    <m/>
    <n v="66740.274789547606"/>
    <m/>
    <m/>
    <m/>
    <m/>
    <m/>
    <m/>
    <m/>
    <m/>
    <m/>
    <m/>
    <m/>
    <m/>
    <n v="87219.170400000003"/>
    <n v="-1317.2353199999925"/>
    <m/>
    <m/>
    <m/>
    <m/>
    <n v="-1316.4261600000004"/>
    <n v="0"/>
    <n v="30"/>
    <n v="-1318.1238465221977"/>
    <n v="0"/>
    <n v="0"/>
    <n v="0"/>
    <n v="0"/>
    <n v="0"/>
    <n v="0"/>
    <n v="0"/>
    <n v="0"/>
    <n v="0"/>
    <n v="0"/>
    <n v="0"/>
    <n v="0"/>
    <n v="0"/>
    <n v="0"/>
    <n v="0"/>
    <n v="0"/>
    <n v="-1126.582361101453"/>
    <m/>
    <n v="0"/>
    <n v="0"/>
    <n v="0"/>
    <n v="0"/>
    <n v="-173.47468997049828"/>
    <n v="-18.06679545023934"/>
    <n v="0"/>
    <n v="0"/>
    <m/>
    <m/>
    <m/>
    <n v="0"/>
    <n v="0"/>
    <n v="0"/>
    <n v="-1316.42616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3"/>
    <s v="Regular"/>
    <s v="Verde"/>
    <s v="A4"/>
    <s v="Comercial"/>
    <s v="Não se aplica"/>
    <s v="Não se aplica"/>
    <s v="Não se aplica"/>
    <s v="Não se aplica"/>
    <s v="CATIVO"/>
    <x v="9"/>
    <n v="1148"/>
    <n v="1148"/>
    <n v="0"/>
    <n v="0"/>
    <n v="0"/>
    <n v="0"/>
    <n v="55.59"/>
    <m/>
    <m/>
    <n v="63817.320000000007"/>
    <m/>
    <n v="63817.320000000007"/>
    <n v="33877.480000000003"/>
    <n v="0"/>
    <n v="0"/>
    <n v="0"/>
    <n v="0"/>
    <n v="0"/>
    <n v="18545.562110286617"/>
    <n v="45266.4701607751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7.33"/>
    <n v="282.77"/>
    <n v="43918.6"/>
    <n v="6"/>
    <m/>
    <m/>
    <m/>
    <m/>
    <m/>
    <m/>
    <m/>
    <m/>
    <m/>
    <n v="0"/>
    <m/>
    <m/>
    <m/>
    <m/>
    <m/>
    <m/>
    <m/>
    <m/>
    <m/>
    <m/>
    <m/>
    <m/>
    <n v="33877.480000000003"/>
    <n v="-29939.87000000001"/>
    <m/>
    <m/>
    <m/>
    <m/>
    <n v="-29939.840000000004"/>
    <n v="0"/>
    <n v="30"/>
    <n v="-1707.2416700461581"/>
    <n v="0"/>
    <n v="0"/>
    <n v="0"/>
    <n v="0"/>
    <m/>
    <m/>
    <m/>
    <n v="-1707.24167004615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266.470160775127"/>
    <m/>
    <n v="0"/>
    <n v="0"/>
    <n v="-29939.840000000004"/>
    <m/>
    <n v="0"/>
    <m/>
    <n v="-28222.599246858143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394"/>
    <s v="Regular"/>
    <s v="Convencional"/>
    <s v="B2"/>
    <s v="Rural"/>
    <s v="Não se aplica"/>
    <s v="Não se aplica"/>
    <s v="Não se aplica"/>
    <s v="Não se aplica"/>
    <s v="CATIVO"/>
    <x v="9"/>
    <n v="0"/>
    <n v="0"/>
    <n v="1366.492"/>
    <n v="1366.492"/>
    <n v="1366.492"/>
    <n v="1366.492"/>
    <m/>
    <n v="825.6"/>
    <n v="185.74"/>
    <m/>
    <n v="1381988.0192800001"/>
    <n v="1381988.0192800001"/>
    <n v="859113.52040000004"/>
    <n v="0"/>
    <n v="85194.170698073882"/>
    <n v="0"/>
    <n v="0"/>
    <n v="0"/>
    <n v="178097.23393856559"/>
    <n v="802499.45979739272"/>
    <n v="253818.08351361167"/>
    <n v="0"/>
    <n v="0"/>
    <n v="0"/>
    <n v="0"/>
    <n v="0"/>
    <n v="13166.415815241373"/>
    <m/>
    <n v="3239.7712644683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983.137755679818"/>
    <n v="0"/>
    <n v="348.42"/>
    <n v="1595.65"/>
    <n v="142713.21"/>
    <n v="5593"/>
    <m/>
    <m/>
    <m/>
    <m/>
    <m/>
    <n v="103088.15647999999"/>
    <m/>
    <m/>
    <m/>
    <n v="299801.22126929148"/>
    <m/>
    <m/>
    <m/>
    <m/>
    <m/>
    <m/>
    <m/>
    <m/>
    <m/>
    <m/>
    <m/>
    <m/>
    <n v="756024.2574"/>
    <n v="-460126.32275999989"/>
    <m/>
    <m/>
    <m/>
    <m/>
    <n v="-522874.49888000003"/>
    <n v="0"/>
    <n v="30"/>
    <n v="-22538.31673261628"/>
    <n v="0"/>
    <n v="0"/>
    <n v="0"/>
    <n v="0"/>
    <n v="0"/>
    <n v="0"/>
    <n v="0"/>
    <n v="-16395.028486691997"/>
    <n v="0"/>
    <n v="0"/>
    <n v="0"/>
    <n v="0"/>
    <n v="0"/>
    <n v="0"/>
    <n v="0"/>
    <n v="0"/>
    <n v="-5269.147440478293"/>
    <m/>
    <n v="0"/>
    <n v="0"/>
    <n v="0"/>
    <n v="0"/>
    <n v="-705.88308736198996"/>
    <n v="-168.25771808390527"/>
    <n v="0"/>
    <n v="0"/>
    <m/>
    <m/>
    <m/>
    <n v="802499.45979739272"/>
    <n v="0"/>
    <n v="0"/>
    <n v="-522874.49888000009"/>
    <n v="0"/>
    <n v="0"/>
    <n v="0"/>
    <n v="-500339.88886784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5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187"/>
    <n v="-0.187"/>
    <n v="-0.187"/>
    <n v="-0.187"/>
    <m/>
    <n v="825.6"/>
    <n v="185.74"/>
    <m/>
    <n v="-189.12058000000002"/>
    <n v="-189.12058000000002"/>
    <n v="-117.5669"/>
    <n v="0"/>
    <n v="-11.658546058476606"/>
    <n v="0"/>
    <n v="0"/>
    <n v="0"/>
    <n v="-24.37202906896767"/>
    <n v="-109.81944935068221"/>
    <n v="-34.734181844493328"/>
    <n v="0"/>
    <n v="0"/>
    <n v="0"/>
    <n v="0"/>
    <n v="0"/>
    <n v="-1.8017813184783642"/>
    <m/>
    <n v="-0.44335219412596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2926433234238663"/>
    <n v="0"/>
    <n v="-0.04"/>
    <n v="-0.21"/>
    <n v="-16.420000000000002"/>
    <n v="0"/>
    <m/>
    <m/>
    <m/>
    <m/>
    <m/>
    <n v="-14.107279999999999"/>
    <m/>
    <m/>
    <m/>
    <n v="-41.026825167917195"/>
    <m/>
    <m/>
    <m/>
    <m/>
    <m/>
    <m/>
    <m/>
    <m/>
    <m/>
    <m/>
    <m/>
    <m/>
    <n v="-105.1194"/>
    <n v="61.276860000000013"/>
    <m/>
    <m/>
    <m/>
    <m/>
    <n v="71.553680000000014"/>
    <n v="0"/>
    <n v="30"/>
    <n v="3.0842955750924546"/>
    <n v="0"/>
    <n v="0"/>
    <n v="0"/>
    <n v="0"/>
    <n v="0"/>
    <n v="0"/>
    <n v="0"/>
    <n v="2.2436064953262864"/>
    <n v="0"/>
    <n v="0"/>
    <n v="0"/>
    <n v="0"/>
    <n v="0"/>
    <n v="0"/>
    <n v="0"/>
    <n v="0"/>
    <n v="0.72106574452645233"/>
    <m/>
    <n v="0"/>
    <n v="0"/>
    <n v="0"/>
    <n v="0"/>
    <n v="9.6597812015505546E-2"/>
    <n v="2.3025523224204925E-2"/>
    <n v="0"/>
    <n v="0"/>
    <m/>
    <m/>
    <m/>
    <n v="-109.81944935068221"/>
    <n v="0"/>
    <n v="0"/>
    <n v="71.553680000000014"/>
    <n v="0"/>
    <n v="0"/>
    <n v="0"/>
    <n v="68.46989167758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6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3.603999999999999"/>
    <n v="23.603999999999999"/>
    <n v="23.603999999999999"/>
    <n v="23.603999999999999"/>
    <m/>
    <n v="825.6"/>
    <n v="185.74"/>
    <m/>
    <n v="23871.66936"/>
    <n v="23871.66936"/>
    <n v="14839.834800000001"/>
    <n v="0"/>
    <n v="1471.595300343753"/>
    <n v="0"/>
    <n v="0"/>
    <n v="0"/>
    <n v="3076.3495943524749"/>
    <n v="13861.915949056165"/>
    <n v="4384.3081724995754"/>
    <n v="0"/>
    <n v="0"/>
    <n v="0"/>
    <n v="0"/>
    <n v="0"/>
    <n v="227.42912428536528"/>
    <m/>
    <n v="55.961952888498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4.28637971174828"/>
    <n v="0"/>
    <n v="6.83"/>
    <n v="31.32"/>
    <n v="3554.53"/>
    <n v="92"/>
    <m/>
    <m/>
    <m/>
    <m/>
    <m/>
    <m/>
    <m/>
    <m/>
    <m/>
    <n v="5178.5945522113234"/>
    <m/>
    <m/>
    <m/>
    <m/>
    <m/>
    <m/>
    <m/>
    <m/>
    <m/>
    <m/>
    <m/>
    <m/>
    <n v="14837.32"/>
    <n v="-9034.3793599999954"/>
    <m/>
    <m/>
    <m/>
    <m/>
    <n v="-9031.8345600000011"/>
    <n v="0"/>
    <n v="30"/>
    <n v="-389.31397194910096"/>
    <n v="0"/>
    <n v="0"/>
    <n v="0"/>
    <n v="0"/>
    <n v="0"/>
    <n v="0"/>
    <n v="0"/>
    <n v="-283.19833003038275"/>
    <n v="0"/>
    <n v="0"/>
    <n v="0"/>
    <n v="0"/>
    <n v="0"/>
    <n v="0"/>
    <n v="0"/>
    <n v="0"/>
    <n v="-91.016234405360365"/>
    <m/>
    <n v="0"/>
    <n v="0"/>
    <n v="0"/>
    <n v="0"/>
    <n v="-12.193020079219195"/>
    <n v="-2.9063874341397451"/>
    <n v="0"/>
    <n v="0"/>
    <m/>
    <m/>
    <m/>
    <n v="13861.915949056165"/>
    <n v="0"/>
    <n v="0"/>
    <n v="-9031.8345600000011"/>
    <n v="0"/>
    <n v="0"/>
    <n v="0"/>
    <n v="-8642.5846158167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7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35.31200000000001"/>
    <n v="235.31200000000001"/>
    <n v="235.31200000000001"/>
    <n v="235.31200000000001"/>
    <m/>
    <n v="454.08"/>
    <n v="102.16"/>
    <m/>
    <n v="130889.94688"/>
    <n v="130889.94688"/>
    <n v="81368.536479999995"/>
    <n v="0"/>
    <n v="8068.8111473889603"/>
    <n v="0"/>
    <n v="0"/>
    <n v="0"/>
    <n v="16867.737953755692"/>
    <n v="76005.39489884628"/>
    <n v="24039.322935857137"/>
    <n v="0"/>
    <n v="0"/>
    <n v="0"/>
    <n v="0"/>
    <n v="0"/>
    <n v="1247.0022518052372"/>
    <m/>
    <n v="306.84144560049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55.1014285926904"/>
    <n v="0"/>
    <n v="40.74"/>
    <n v="171.31"/>
    <n v="27193.49"/>
    <n v="9"/>
    <m/>
    <m/>
    <m/>
    <m/>
    <m/>
    <m/>
    <m/>
    <m/>
    <m/>
    <n v="28394.424364449827"/>
    <m/>
    <m/>
    <m/>
    <m/>
    <m/>
    <m/>
    <m/>
    <m/>
    <m/>
    <m/>
    <m/>
    <m/>
    <n v="81367.844899999996"/>
    <n v="-49522.131979999991"/>
    <m/>
    <m/>
    <m/>
    <m/>
    <n v="-49521.410400000001"/>
    <n v="0"/>
    <n v="30"/>
    <n v="-2134.6228246063692"/>
    <n v="0"/>
    <n v="0"/>
    <n v="0"/>
    <n v="0"/>
    <n v="0"/>
    <n v="0"/>
    <n v="0"/>
    <n v="-1552.786857730076"/>
    <n v="0"/>
    <n v="0"/>
    <n v="0"/>
    <n v="0"/>
    <n v="0"/>
    <n v="0"/>
    <n v="0"/>
    <n v="0"/>
    <n v="-499.04536022355751"/>
    <m/>
    <n v="0"/>
    <n v="0"/>
    <n v="0"/>
    <n v="0"/>
    <n v="-66.854777473507511"/>
    <n v="-15.935829179219297"/>
    <n v="0"/>
    <n v="0"/>
    <m/>
    <m/>
    <m/>
    <n v="76005.39489884628"/>
    <n v="0"/>
    <n v="0"/>
    <n v="-49521.410400000001"/>
    <n v="0"/>
    <n v="0"/>
    <n v="0"/>
    <n v="-47387.609265988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8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133.34200000000001"/>
    <n v="133.34200000000001"/>
    <n v="133.34200000000001"/>
    <n v="133.34200000000001"/>
    <m/>
    <n v="495.36"/>
    <n v="111.45"/>
    <m/>
    <n v="80913.259019999998"/>
    <n v="80913.259019999998"/>
    <n v="50300.602660000004"/>
    <n v="0"/>
    <n v="4987.9374819124723"/>
    <n v="0"/>
    <n v="0"/>
    <n v="0"/>
    <n v="10427.214224965654"/>
    <n v="46984.636412787251"/>
    <n v="14860.508905374614"/>
    <n v="0"/>
    <n v="0"/>
    <n v="0"/>
    <n v="0"/>
    <n v="0"/>
    <n v="770.86564032687238"/>
    <m/>
    <n v="189.68171637158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92.2149070544901"/>
    <n v="0"/>
    <n v="25.19"/>
    <n v="105.9"/>
    <n v="16810.53"/>
    <n v="6"/>
    <m/>
    <m/>
    <m/>
    <m/>
    <m/>
    <m/>
    <m/>
    <m/>
    <m/>
    <n v="17552.723812429103"/>
    <m/>
    <m/>
    <m/>
    <m/>
    <m/>
    <m/>
    <m/>
    <m/>
    <m/>
    <m/>
    <m/>
    <m/>
    <n v="50299.8482"/>
    <n v="-30613.440819999982"/>
    <m/>
    <m/>
    <m/>
    <m/>
    <n v="-30612.656360000008"/>
    <n v="0"/>
    <n v="30"/>
    <n v="-1319.5705045154391"/>
    <n v="0"/>
    <n v="0"/>
    <n v="0"/>
    <n v="0"/>
    <n v="0"/>
    <n v="0"/>
    <n v="0"/>
    <n v="-959.89404481219754"/>
    <n v="0"/>
    <n v="0"/>
    <n v="0"/>
    <n v="0"/>
    <n v="0"/>
    <n v="0"/>
    <n v="0"/>
    <n v="0"/>
    <n v="-308.49737488763822"/>
    <m/>
    <n v="0"/>
    <n v="0"/>
    <n v="0"/>
    <n v="0"/>
    <n v="-41.327953314774277"/>
    <n v="-9.8511315008399265"/>
    <n v="0"/>
    <n v="0"/>
    <m/>
    <m/>
    <m/>
    <n v="46984.636412787251"/>
    <n v="0"/>
    <n v="0"/>
    <n v="-30612.656360000001"/>
    <n v="0"/>
    <n v="0"/>
    <n v="0"/>
    <n v="-29293.836244083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399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3.9340000000000002"/>
    <n v="3.6979600000000001"/>
    <n v="3.9340000000000002"/>
    <n v="3.6979600000000001"/>
    <m/>
    <n v="825.6"/>
    <n v="185.74"/>
    <m/>
    <n v="3978.6115600000003"/>
    <n v="3978.6115600000003"/>
    <n v="2473.3058000000001"/>
    <n v="0"/>
    <n v="245.26588339062553"/>
    <n v="0"/>
    <n v="0"/>
    <n v="0"/>
    <n v="512.72493239207927"/>
    <n v="2310.3193248426942"/>
    <n v="730.7180287499292"/>
    <n v="0"/>
    <n v="0"/>
    <n v="0"/>
    <n v="0"/>
    <n v="0"/>
    <n v="37.904854047560882"/>
    <m/>
    <n v="9.3269921480830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38106328529139"/>
    <n v="0"/>
    <n v="1.02"/>
    <n v="4.43"/>
    <n v="0"/>
    <n v="5"/>
    <m/>
    <m/>
    <m/>
    <m/>
    <n v="148.39834800000003"/>
    <m/>
    <m/>
    <m/>
    <m/>
    <n v="863.09909203522056"/>
    <m/>
    <m/>
    <m/>
    <m/>
    <m/>
    <m/>
    <m/>
    <m/>
    <m/>
    <m/>
    <m/>
    <m/>
    <n v="2326.19"/>
    <n v="-1413.7348664000006"/>
    <m/>
    <m/>
    <m/>
    <m/>
    <n v="-1505.3057600000002"/>
    <n v="0"/>
    <n v="30"/>
    <n v="-64.885661991517054"/>
    <n v="0"/>
    <n v="0"/>
    <n v="0"/>
    <n v="0"/>
    <n v="0"/>
    <n v="0"/>
    <n v="0"/>
    <n v="-47.199721671730572"/>
    <n v="0"/>
    <n v="0"/>
    <n v="0"/>
    <n v="0"/>
    <n v="0"/>
    <n v="0"/>
    <n v="0"/>
    <n v="0"/>
    <n v="-15.169372400893394"/>
    <m/>
    <n v="0"/>
    <n v="0"/>
    <n v="0"/>
    <n v="0"/>
    <n v="-2.0321700132031992"/>
    <n v="-0.48439790568995811"/>
    <n v="0"/>
    <n v="0"/>
    <m/>
    <m/>
    <m/>
    <n v="2310.3193248426942"/>
    <n v="0"/>
    <n v="0"/>
    <n v="-1505.3057600000002"/>
    <n v="0"/>
    <n v="0"/>
    <n v="0"/>
    <n v="-1440.4307693027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0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69299999999999995"/>
    <n v="0.69299999999999995"/>
    <n v="0.69299999999999995"/>
    <n v="0.69299999999999995"/>
    <m/>
    <n v="825.6"/>
    <n v="185.74"/>
    <m/>
    <n v="700.85861999999997"/>
    <n v="700.85861999999997"/>
    <n v="435.68909999999994"/>
    <n v="0"/>
    <n v="43.205200099060363"/>
    <n v="0"/>
    <n v="0"/>
    <n v="0"/>
    <n v="90.319872432056655"/>
    <n v="406.97795935841049"/>
    <n v="128.72079154135764"/>
    <n v="0"/>
    <n v="0"/>
    <n v="0"/>
    <n v="0"/>
    <n v="0"/>
    <n v="6.6771895920080553"/>
    <m/>
    <n v="1.6430110723491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319795845629621"/>
    <n v="0"/>
    <n v="0.19"/>
    <n v="0.93"/>
    <n v="145.58000000000001"/>
    <n v="4"/>
    <m/>
    <m/>
    <m/>
    <m/>
    <m/>
    <m/>
    <m/>
    <m/>
    <m/>
    <n v="152.04058738698726"/>
    <m/>
    <m/>
    <m/>
    <m/>
    <m/>
    <m/>
    <m/>
    <m/>
    <m/>
    <m/>
    <m/>
    <m/>
    <n v="433.80299999999994"/>
    <n v="-267.08562000000001"/>
    <m/>
    <m/>
    <m/>
    <m/>
    <n v="-265.16952000000003"/>
    <n v="0"/>
    <n v="30"/>
    <n v="-11.43003654298974"/>
    <n v="0"/>
    <n v="0"/>
    <n v="0"/>
    <n v="0"/>
    <n v="0"/>
    <n v="0"/>
    <n v="0"/>
    <n v="-8.3145417179738814"/>
    <n v="0"/>
    <n v="0"/>
    <n v="0"/>
    <n v="0"/>
    <n v="0"/>
    <n v="0"/>
    <n v="0"/>
    <n v="0"/>
    <n v="-2.6721848179509706"/>
    <m/>
    <n v="0"/>
    <n v="0"/>
    <n v="0"/>
    <n v="0"/>
    <n v="-0.35798012688099146"/>
    <n v="-8.5329880183818263E-2"/>
    <n v="0"/>
    <n v="0"/>
    <m/>
    <m/>
    <m/>
    <n v="406.97795935841049"/>
    <n v="0"/>
    <n v="0"/>
    <n v="-265.16952000000003"/>
    <n v="0"/>
    <n v="0"/>
    <n v="0"/>
    <n v="-253.74136327575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1"/>
    <s v="Regular"/>
    <s v="Convencional"/>
    <s v="B3"/>
    <s v="Serviço público"/>
    <s v="Tração elétrica"/>
    <s v="Não se aplica"/>
    <s v="Não se aplica"/>
    <s v="Não se aplica"/>
    <s v="CATIVO"/>
    <x v="9"/>
    <n v="0"/>
    <n v="0"/>
    <n v="3.4000000000000002E-2"/>
    <n v="3.4000000000000002E-2"/>
    <n v="3.4000000000000002E-2"/>
    <n v="3.4000000000000002E-2"/>
    <m/>
    <n v="825.6"/>
    <n v="185.74"/>
    <m/>
    <n v="34.385560000000005"/>
    <n v="34.385560000000005"/>
    <n v="21.375800000000002"/>
    <n v="0"/>
    <n v="2.1197356469957467"/>
    <n v="0"/>
    <n v="0"/>
    <n v="0"/>
    <n v="4.4312780125395763"/>
    <n v="19.967172609214948"/>
    <n v="6.3153057899078791"/>
    <n v="0"/>
    <n v="0"/>
    <n v="0"/>
    <n v="0"/>
    <n v="0"/>
    <n v="0.32759660335970259"/>
    <m/>
    <n v="8.06094898410837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441169678952485"/>
    <n v="0"/>
    <n v="0.01"/>
    <n v="0.04"/>
    <n v="0"/>
    <n v="1"/>
    <m/>
    <m/>
    <m/>
    <m/>
    <m/>
    <m/>
    <m/>
    <m/>
    <m/>
    <n v="7.4594227578031278"/>
    <m/>
    <m/>
    <m/>
    <m/>
    <m/>
    <m/>
    <m/>
    <m/>
    <m/>
    <m/>
    <m/>
    <m/>
    <n v="18.860999999999997"/>
    <n v="-15.554560000000009"/>
    <m/>
    <m/>
    <m/>
    <m/>
    <n v="-13.009760000000002"/>
    <n v="0"/>
    <n v="30"/>
    <n v="-0.56078101365317323"/>
    <n v="0"/>
    <n v="0"/>
    <n v="0"/>
    <n v="0"/>
    <n v="0"/>
    <n v="0"/>
    <n v="0"/>
    <n v="-0.4079284536956882"/>
    <n v="0"/>
    <n v="0"/>
    <n v="0"/>
    <n v="0"/>
    <n v="0"/>
    <n v="0"/>
    <n v="0"/>
    <n v="0"/>
    <n v="-0.13110286264117299"/>
    <m/>
    <n v="0"/>
    <n v="0"/>
    <n v="0"/>
    <n v="0"/>
    <n v="-1.7563238548273741E-2"/>
    <n v="-4.1864587680372628E-3"/>
    <n v="0"/>
    <n v="0"/>
    <m/>
    <m/>
    <m/>
    <n v="19.967172609214948"/>
    <n v="0"/>
    <n v="0"/>
    <n v="-13.009760000000002"/>
    <n v="0"/>
    <n v="0"/>
    <n v="0"/>
    <n v="-12.449071214106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2"/>
    <s v="Regular"/>
    <s v="Convencional"/>
    <s v="B1"/>
    <s v="Residencial"/>
    <s v="Residencial"/>
    <s v="Não se aplica"/>
    <s v="Não se aplica"/>
    <s v="Não se aplica"/>
    <s v="CATIVO"/>
    <x v="10"/>
    <n v="0"/>
    <n v="0"/>
    <n v="1144.6780000000001"/>
    <n v="1144.6780000000001"/>
    <n v="1144.6780000000001"/>
    <n v="1144.6780000000001"/>
    <m/>
    <n v="825.6"/>
    <n v="185.74"/>
    <m/>
    <n v="1157658.64852"/>
    <n v="1157658.64852"/>
    <n v="719659.05859999999"/>
    <n v="0"/>
    <n v="71365.140027405811"/>
    <n v="0"/>
    <n v="0"/>
    <n v="0"/>
    <n v="149187.83684816991"/>
    <n v="672234.80023443967"/>
    <n v="212617.40002882856"/>
    <n v="0"/>
    <n v="0"/>
    <n v="0"/>
    <n v="0"/>
    <n v="0"/>
    <n v="11029.194845311107"/>
    <m/>
    <n v="2713.8796944797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518.985958129335"/>
    <n v="0"/>
    <n v="361.86"/>
    <n v="1809.39"/>
    <n v="128282.07"/>
    <n v="8293"/>
    <m/>
    <m/>
    <m/>
    <m/>
    <m/>
    <m/>
    <m/>
    <m/>
    <m/>
    <n v="251136.3859869579"/>
    <m/>
    <m/>
    <m/>
    <m/>
    <m/>
    <m/>
    <m/>
    <m/>
    <m/>
    <m/>
    <m/>
    <m/>
    <n v="719660.31600000011"/>
    <n v="-437998.36251999997"/>
    <m/>
    <m/>
    <m/>
    <m/>
    <n v="-437999.58992000011"/>
    <n v="0"/>
    <n v="31"/>
    <n v="-18879.814386661339"/>
    <n v="0"/>
    <n v="0"/>
    <n v="0"/>
    <n v="0"/>
    <n v="0"/>
    <n v="0"/>
    <n v="0"/>
    <n v="-13733.727250572731"/>
    <n v="0"/>
    <n v="0"/>
    <n v="0"/>
    <n v="0"/>
    <n v="0"/>
    <n v="0"/>
    <n v="0"/>
    <n v="0"/>
    <n v="-4413.8400765403785"/>
    <m/>
    <n v="0"/>
    <n v="0"/>
    <n v="0"/>
    <n v="0"/>
    <n v="-591.30155220473171"/>
    <n v="-140.9455073435106"/>
    <n v="0"/>
    <n v="0"/>
    <m/>
    <m/>
    <m/>
    <n v="672234.80023443967"/>
    <n v="0"/>
    <n v="0"/>
    <n v="-437999.58992000011"/>
    <n v="0"/>
    <n v="0"/>
    <n v="0"/>
    <n v="-419122.880565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3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1.2889999999999999"/>
    <n v="-1.2889999999999999"/>
    <n v="-1.2889999999999999"/>
    <n v="-1.2889999999999999"/>
    <m/>
    <n v="825.6"/>
    <n v="185.74"/>
    <m/>
    <n v="-1303.61726"/>
    <n v="-1303.61726"/>
    <n v="-810.39429999999993"/>
    <n v="0"/>
    <n v="-80.362919087574042"/>
    <n v="0"/>
    <n v="0"/>
    <n v="0"/>
    <n v="-167.99756935775039"/>
    <n v="-756.99074980229602"/>
    <n v="-239.42438715268395"/>
    <n v="0"/>
    <n v="0"/>
    <n v="0"/>
    <n v="0"/>
    <n v="0"/>
    <n v="-12.419765345019313"/>
    <m/>
    <n v="-3.0560480119163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.375493282852212"/>
    <n v="0"/>
    <n v="-0.36"/>
    <n v="-1.72"/>
    <n v="-232.84"/>
    <n v="0"/>
    <m/>
    <m/>
    <m/>
    <m/>
    <m/>
    <m/>
    <m/>
    <m/>
    <m/>
    <n v="-282.79988043553618"/>
    <m/>
    <m/>
    <m/>
    <m/>
    <m/>
    <m/>
    <m/>
    <m/>
    <m/>
    <m/>
    <m/>
    <m/>
    <n v="-811.02300000000002"/>
    <n v="492.56425999999999"/>
    <m/>
    <m/>
    <m/>
    <m/>
    <n v="493.22296"/>
    <n v="0"/>
    <n v="31"/>
    <n v="21.260197841145214"/>
    <n v="0"/>
    <n v="0"/>
    <n v="0"/>
    <n v="0"/>
    <n v="0"/>
    <n v="0"/>
    <n v="0"/>
    <n v="15.465287553345348"/>
    <n v="0"/>
    <n v="0"/>
    <n v="0"/>
    <n v="0"/>
    <n v="0"/>
    <n v="0"/>
    <n v="0"/>
    <n v="0"/>
    <n v="4.9703408807197746"/>
    <m/>
    <n v="0"/>
    <n v="0"/>
    <n v="0"/>
    <n v="0"/>
    <n v="0.66585336731543698"/>
    <n v="0.15871603976470672"/>
    <n v="0"/>
    <n v="0"/>
    <m/>
    <m/>
    <m/>
    <n v="-756.99074980229602"/>
    <n v="0"/>
    <n v="0"/>
    <n v="493.22296000000006"/>
    <n v="0"/>
    <n v="0"/>
    <n v="0"/>
    <n v="471.9662586759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4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21.67"/>
    <n v="21.67"/>
    <n v="21.67"/>
    <n v="21.67"/>
    <m/>
    <n v="825.6"/>
    <n v="185.74"/>
    <m/>
    <n v="21915.737800000003"/>
    <n v="21915.737800000003"/>
    <n v="13623.929"/>
    <n v="0"/>
    <n v="1351.0197491293482"/>
    <n v="0"/>
    <n v="0"/>
    <n v="0"/>
    <n v="2824.2880744627241"/>
    <n v="12726.136189461409"/>
    <n v="4025.0787196265806"/>
    <n v="0"/>
    <n v="0"/>
    <n v="0"/>
    <n v="0"/>
    <n v="0"/>
    <n v="208.7946586707281"/>
    <m/>
    <n v="51.376695436949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9.20631453794215"/>
    <n v="0"/>
    <n v="6.35"/>
    <n v="32.04"/>
    <n v="6657.48"/>
    <n v="104"/>
    <m/>
    <m/>
    <m/>
    <m/>
    <m/>
    <m/>
    <m/>
    <m/>
    <m/>
    <n v="4754.2850341645226"/>
    <m/>
    <m/>
    <m/>
    <m/>
    <m/>
    <m/>
    <m/>
    <m/>
    <m/>
    <m/>
    <m/>
    <m/>
    <n v="13623.929"/>
    <n v="-8291.8387999999977"/>
    <m/>
    <m/>
    <m/>
    <m/>
    <n v="-8291.8088000000007"/>
    <n v="0"/>
    <n v="31"/>
    <n v="-357.41542840777038"/>
    <n v="0"/>
    <n v="0"/>
    <n v="0"/>
    <n v="0"/>
    <n v="0"/>
    <n v="0"/>
    <n v="0"/>
    <n v="-259.99439975251653"/>
    <n v="0"/>
    <n v="0"/>
    <n v="0"/>
    <n v="0"/>
    <n v="0"/>
    <n v="0"/>
    <n v="0"/>
    <n v="0"/>
    <n v="-83.558795101006581"/>
    <m/>
    <n v="0"/>
    <n v="0"/>
    <n v="0"/>
    <n v="0"/>
    <n v="-11.193981745326226"/>
    <n v="-2.6682518089225695"/>
    <n v="0"/>
    <n v="0"/>
    <m/>
    <m/>
    <m/>
    <n v="12726.136189461409"/>
    <n v="0"/>
    <n v="0"/>
    <n v="-8291.8088000000007"/>
    <n v="0"/>
    <n v="0"/>
    <n v="0"/>
    <n v="-7934.452153226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5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8.5500000000000007"/>
    <n v="8.5500000000000007"/>
    <n v="8.5500000000000007"/>
    <n v="8.5500000000000007"/>
    <m/>
    <n v="753.62"/>
    <n v="185.74"/>
    <m/>
    <n v="8031.5280000000012"/>
    <n v="8031.5280000000012"/>
    <n v="4797.3195000000005"/>
    <n v="0"/>
    <n v="0"/>
    <n v="0"/>
    <n v="0"/>
    <n v="0"/>
    <n v="1114.3360884474523"/>
    <n v="5021.1566414349354"/>
    <n v="1588.1136618738931"/>
    <n v="0"/>
    <n v="0"/>
    <n v="0"/>
    <n v="0"/>
    <n v="0"/>
    <n v="0"/>
    <m/>
    <n v="20.270915827684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71176692659924"/>
    <n v="0"/>
    <n v="0.12"/>
    <n v="5.58"/>
    <n v="230.85"/>
    <n v="29"/>
    <m/>
    <m/>
    <m/>
    <m/>
    <m/>
    <m/>
    <m/>
    <n v="3118.2705000000005"/>
    <m/>
    <n v="1875.8254288004923"/>
    <m/>
    <m/>
    <m/>
    <m/>
    <m/>
    <m/>
    <m/>
    <m/>
    <m/>
    <m/>
    <m/>
    <m/>
    <n v="1679.0490000000002"/>
    <n v="-1132.0500000000004"/>
    <m/>
    <m/>
    <m/>
    <m/>
    <n v="-3234.2085000000002"/>
    <n v="0"/>
    <n v="31"/>
    <n v="-103.63477945778959"/>
    <n v="0"/>
    <n v="0"/>
    <n v="0"/>
    <n v="0"/>
    <n v="0"/>
    <n v="0"/>
    <n v="0"/>
    <n v="-102.58200820876857"/>
    <n v="0"/>
    <n v="0"/>
    <n v="0"/>
    <n v="0"/>
    <n v="0"/>
    <n v="0"/>
    <n v="0"/>
    <n v="0"/>
    <n v="0"/>
    <m/>
    <n v="0"/>
    <n v="0"/>
    <n v="0"/>
    <n v="0"/>
    <n v="0"/>
    <n v="-1.0527712490211307"/>
    <n v="0"/>
    <n v="0"/>
    <m/>
    <m/>
    <m/>
    <n v="5021.1566414349354"/>
    <n v="0"/>
    <n v="0"/>
    <n v="-3234.2085000000006"/>
    <n v="0"/>
    <n v="0"/>
    <n v="0"/>
    <n v="-3130.5752611944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5.904"/>
    <n v="15.904"/>
    <n v="15.904"/>
    <n v="15.904"/>
    <m/>
    <n v="753.62"/>
    <n v="185.74"/>
    <m/>
    <n v="14939.581440000002"/>
    <n v="14939.581440000002"/>
    <n v="8923.5753600000007"/>
    <n v="0"/>
    <n v="0"/>
    <n v="0"/>
    <n v="0"/>
    <n v="0"/>
    <n v="2072.7954562185123"/>
    <n v="9339.9386228516032"/>
    <n v="2954.0771553733794"/>
    <n v="0"/>
    <n v="0"/>
    <n v="0"/>
    <n v="0"/>
    <n v="0"/>
    <n v="0"/>
    <m/>
    <n v="37.706274306841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5.17753698253034"/>
    <n v="0"/>
    <n v="2.35"/>
    <n v="13.43"/>
    <n v="731.44"/>
    <n v="66"/>
    <m/>
    <m/>
    <m/>
    <m/>
    <m/>
    <m/>
    <m/>
    <n v="3569.3347200000007"/>
    <m/>
    <n v="3489.2546923559098"/>
    <m/>
    <m/>
    <m/>
    <m/>
    <m/>
    <m/>
    <m/>
    <m/>
    <m/>
    <m/>
    <m/>
    <m/>
    <n v="5352.8940000000002"/>
    <n v="-3610.9484800000009"/>
    <m/>
    <m/>
    <m/>
    <m/>
    <n v="-6016.0060800000001"/>
    <n v="0"/>
    <n v="31"/>
    <n v="-192.77281081832643"/>
    <n v="0"/>
    <n v="0"/>
    <n v="0"/>
    <n v="0"/>
    <n v="0"/>
    <n v="0"/>
    <n v="0"/>
    <n v="-190.81453316400643"/>
    <n v="0"/>
    <n v="0"/>
    <n v="0"/>
    <n v="0"/>
    <n v="0"/>
    <n v="0"/>
    <n v="0"/>
    <n v="0"/>
    <n v="0"/>
    <m/>
    <n v="0"/>
    <n v="0"/>
    <n v="0"/>
    <n v="0"/>
    <n v="0"/>
    <n v="-1.958277654319545"/>
    <n v="0"/>
    <n v="0"/>
    <m/>
    <m/>
    <m/>
    <n v="9339.9386228516032"/>
    <n v="0"/>
    <n v="0"/>
    <n v="-6016.0060800000001"/>
    <n v="0"/>
    <n v="0"/>
    <n v="0"/>
    <n v="-5823.236134975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3.869"/>
    <n v="13.869"/>
    <n v="13.869"/>
    <n v="13.869"/>
    <m/>
    <n v="753.62"/>
    <n v="185.74"/>
    <m/>
    <n v="13027.983840000001"/>
    <n v="13027.983840000001"/>
    <n v="7781.7572099999998"/>
    <n v="0"/>
    <n v="0"/>
    <n v="0"/>
    <n v="0"/>
    <n v="0"/>
    <n v="1807.5704339973936"/>
    <n v="8144.8446152118267"/>
    <n v="2576.0875294185989"/>
    <n v="0"/>
    <n v="0"/>
    <n v="0"/>
    <n v="0"/>
    <n v="0"/>
    <n v="0"/>
    <m/>
    <n v="32.881559253117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6.69877140409409"/>
    <n v="0"/>
    <n v="4.22"/>
    <n v="16.579999999999998"/>
    <n v="1298.3"/>
    <n v="138"/>
    <m/>
    <m/>
    <m/>
    <m/>
    <m/>
    <m/>
    <m/>
    <n v="778.05090000000064"/>
    <m/>
    <n v="3042.7863008226932"/>
    <m/>
    <m/>
    <m/>
    <m/>
    <m/>
    <m/>
    <m/>
    <m/>
    <m/>
    <m/>
    <m/>
    <m/>
    <n v="7004.211299999999"/>
    <n v="-4721.0873700000011"/>
    <m/>
    <m/>
    <m/>
    <m/>
    <n v="-5246.2266300000001"/>
    <n v="0"/>
    <n v="31"/>
    <n v="-168.10652120468876"/>
    <n v="0"/>
    <n v="0"/>
    <n v="0"/>
    <n v="0"/>
    <n v="0"/>
    <n v="0"/>
    <n v="0"/>
    <n v="-166.39881542075"/>
    <n v="0"/>
    <n v="0"/>
    <n v="0"/>
    <n v="0"/>
    <n v="0"/>
    <n v="0"/>
    <n v="0"/>
    <n v="0"/>
    <n v="0"/>
    <m/>
    <n v="0"/>
    <n v="0"/>
    <n v="0"/>
    <n v="0"/>
    <n v="0"/>
    <n v="-1.7077057839384935"/>
    <n v="0"/>
    <n v="0"/>
    <m/>
    <m/>
    <m/>
    <n v="8144.8446152118267"/>
    <n v="0"/>
    <n v="0"/>
    <n v="-5246.2266300000001"/>
    <n v="0"/>
    <n v="0"/>
    <n v="0"/>
    <n v="-5078.1226078953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5.0469999999999997"/>
    <n v="5.0469999999999997"/>
    <n v="5.0469999999999997"/>
    <n v="5.0469999999999997"/>
    <m/>
    <n v="753.62"/>
    <n v="185.74"/>
    <m/>
    <n v="4740.9499199999991"/>
    <n v="4740.9499199999991"/>
    <n v="2831.82123"/>
    <n v="0"/>
    <n v="0"/>
    <n v="0"/>
    <n v="0"/>
    <n v="0"/>
    <n v="657.78412144962476"/>
    <n v="2963.9505929031716"/>
    <n v="937.45142122544291"/>
    <n v="0"/>
    <n v="0"/>
    <n v="0"/>
    <n v="0"/>
    <n v="0"/>
    <n v="0"/>
    <m/>
    <n v="11.9657675067044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8340687343329"/>
    <n v="0"/>
    <n v="1.69"/>
    <n v="6.91"/>
    <n v="739.88"/>
    <n v="53"/>
    <m/>
    <m/>
    <m/>
    <m/>
    <m/>
    <m/>
    <m/>
    <m/>
    <m/>
    <n v="1107.2854899597758"/>
    <m/>
    <m/>
    <m/>
    <m/>
    <m/>
    <m/>
    <m/>
    <m/>
    <m/>
    <m/>
    <m/>
    <m/>
    <n v="2833.5045"/>
    <n v="-1907.4754199999998"/>
    <m/>
    <m/>
    <m/>
    <m/>
    <n v="-1909.1286899999998"/>
    <n v="0"/>
    <n v="31"/>
    <n v="-61.174822447189172"/>
    <n v="0"/>
    <n v="0"/>
    <n v="0"/>
    <n v="0"/>
    <n v="0"/>
    <n v="0"/>
    <n v="0"/>
    <n v="-60.553379582415914"/>
    <n v="0"/>
    <n v="0"/>
    <n v="0"/>
    <n v="0"/>
    <n v="0"/>
    <n v="0"/>
    <n v="0"/>
    <n v="0"/>
    <n v="0"/>
    <m/>
    <n v="0"/>
    <n v="0"/>
    <n v="0"/>
    <n v="0"/>
    <n v="0"/>
    <n v="-0.62144286477306032"/>
    <n v="0"/>
    <n v="0"/>
    <m/>
    <m/>
    <m/>
    <n v="2963.9505929031716"/>
    <n v="0"/>
    <n v="0"/>
    <n v="-1909.1286899999996"/>
    <n v="0"/>
    <n v="0"/>
    <n v="0"/>
    <n v="-1847.9547769881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09"/>
    <s v="Regular"/>
    <s v="Branca"/>
    <s v="B1"/>
    <s v="Residencial"/>
    <s v="Residencial"/>
    <s v="Não se aplica"/>
    <s v="Não se aplica"/>
    <s v="Ponta"/>
    <s v="CATIVO"/>
    <x v="10"/>
    <n v="0"/>
    <n v="0"/>
    <n v="8.4000000000000005E-2"/>
    <n v="8.4000000000000005E-2"/>
    <n v="8.4000000000000005E-2"/>
    <n v="8.4000000000000005E-2"/>
    <m/>
    <n v="2045.69"/>
    <n v="185.74"/>
    <m/>
    <n v="187.44012000000001"/>
    <n v="187.44012000000001"/>
    <n v="101.29728"/>
    <n v="0"/>
    <n v="5.2369939514012565"/>
    <n v="0"/>
    <n v="0"/>
    <n v="0"/>
    <n v="29.572753148257455"/>
    <n v="133.19274514599061"/>
    <n v="15.60252018683123"/>
    <n v="0"/>
    <n v="0"/>
    <n v="0"/>
    <n v="0"/>
    <n v="0"/>
    <n v="0.80935631418279463"/>
    <m/>
    <n v="0.19915285725444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266419206823787"/>
    <n v="0"/>
    <n v="0"/>
    <n v="0"/>
    <n v="0"/>
    <n v="0"/>
    <m/>
    <m/>
    <m/>
    <m/>
    <m/>
    <m/>
    <m/>
    <m/>
    <m/>
    <n v="18.429162107513609"/>
    <m/>
    <m/>
    <m/>
    <m/>
    <m/>
    <m/>
    <m/>
    <m/>
    <m/>
    <m/>
    <m/>
    <m/>
    <n v="96.473600000000005"/>
    <n v="-90.996519999999975"/>
    <m/>
    <m/>
    <m/>
    <m/>
    <n v="-86.142840000000021"/>
    <n v="0"/>
    <n v="31"/>
    <n v="-3.1000032856720381"/>
    <n v="0"/>
    <n v="0"/>
    <n v="0"/>
    <n v="0"/>
    <n v="0"/>
    <n v="0"/>
    <n v="0"/>
    <n v="-2.7223675493064974"/>
    <n v="0"/>
    <n v="0"/>
    <n v="0"/>
    <n v="0"/>
    <n v="0"/>
    <n v="0"/>
    <n v="0"/>
    <n v="0"/>
    <n v="-0.32390119005466289"/>
    <m/>
    <n v="0"/>
    <n v="0"/>
    <n v="0"/>
    <n v="0"/>
    <n v="-4.3391530531029177E-2"/>
    <n v="-1.0343015779856773E-2"/>
    <n v="0"/>
    <n v="0"/>
    <m/>
    <m/>
    <m/>
    <n v="133.19274514599061"/>
    <n v="0"/>
    <n v="0"/>
    <n v="-86.142840000000007"/>
    <n v="0"/>
    <n v="0"/>
    <n v="0"/>
    <n v="-83.0426020737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10"/>
    <n v="0"/>
    <n v="0"/>
    <n v="0.58499999999999996"/>
    <n v="0.58499999999999996"/>
    <n v="0.58499999999999996"/>
    <n v="0.58499999999999996"/>
    <m/>
    <n v="495.6"/>
    <n v="185.74"/>
    <m/>
    <n v="398.58389999999997"/>
    <n v="398.58389999999997"/>
    <n v="276.49439999999998"/>
    <n v="0"/>
    <n v="36.471922161544462"/>
    <n v="0"/>
    <n v="0"/>
    <n v="0"/>
    <n v="41.228291702029473"/>
    <n v="185.51832175942533"/>
    <n v="108.6604084440032"/>
    <n v="0"/>
    <n v="0"/>
    <n v="0"/>
    <n v="0"/>
    <n v="0"/>
    <n v="5.6365886166301769"/>
    <m/>
    <n v="1.3869573987362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685541947609419"/>
    <n v="0"/>
    <n v="0"/>
    <n v="0"/>
    <n v="0"/>
    <n v="0"/>
    <m/>
    <m/>
    <m/>
    <m/>
    <m/>
    <m/>
    <m/>
    <m/>
    <m/>
    <n v="128.3459503916126"/>
    <m/>
    <m/>
    <m/>
    <m/>
    <m/>
    <m/>
    <m/>
    <m/>
    <m/>
    <m/>
    <m/>
    <m/>
    <n v="278.85759999999999"/>
    <n v="-119.75629999999995"/>
    <m/>
    <m/>
    <m/>
    <m/>
    <n v="-122.08950000000002"/>
    <n v="0"/>
    <n v="31"/>
    <n v="-6.4253001378523038"/>
    <n v="0"/>
    <n v="0"/>
    <n v="0"/>
    <n v="0"/>
    <n v="0"/>
    <n v="0"/>
    <n v="0"/>
    <n v="-3.7953369738779585"/>
    <n v="0"/>
    <n v="0"/>
    <n v="0"/>
    <n v="0"/>
    <n v="0"/>
    <n v="0"/>
    <n v="0"/>
    <n v="0"/>
    <n v="-2.2557404307378306"/>
    <m/>
    <n v="0"/>
    <n v="0"/>
    <n v="0"/>
    <n v="0"/>
    <n v="-0.30219101619823974"/>
    <n v="-7.2031717038288035E-2"/>
    <n v="0"/>
    <n v="0"/>
    <m/>
    <m/>
    <m/>
    <n v="185.51832175942533"/>
    <n v="0"/>
    <n v="0"/>
    <n v="-122.08950000000002"/>
    <n v="0"/>
    <n v="0"/>
    <n v="0"/>
    <n v="-115.66639124653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"/>
    <n v="1.03"/>
    <n v="93.6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412"/>
    <s v="Regular"/>
    <s v="Branca"/>
    <s v="B1"/>
    <s v="Residencial"/>
    <s v="Residencial"/>
    <s v="Não se aplica"/>
    <s v="Não se aplica"/>
    <s v="Intermediário"/>
    <s v="CATIVO"/>
    <x v="10"/>
    <n v="0"/>
    <n v="0"/>
    <n v="3.5999999999999997E-2"/>
    <n v="3.5999999999999997E-2"/>
    <n v="3.5999999999999997E-2"/>
    <n v="3.5999999999999997E-2"/>
    <m/>
    <n v="1270.6099999999999"/>
    <n v="185.74"/>
    <m/>
    <n v="52.428599999999989"/>
    <n v="52.428599999999989"/>
    <n v="30.212999999999997"/>
    <n v="0"/>
    <n v="2.2444259791719667"/>
    <n v="0"/>
    <n v="0"/>
    <n v="0"/>
    <n v="7.6044229587420835"/>
    <n v="34.249580846022809"/>
    <n v="6.6867943657848121"/>
    <n v="0"/>
    <n v="0"/>
    <n v="0"/>
    <n v="0"/>
    <n v="0"/>
    <n v="0.34686699179262626"/>
    <m/>
    <n v="8.53512245376181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114179660067335"/>
    <n v="0"/>
    <n v="0"/>
    <n v="0"/>
    <n v="0"/>
    <n v="0"/>
    <m/>
    <m/>
    <m/>
    <m/>
    <m/>
    <m/>
    <m/>
    <m/>
    <m/>
    <n v="7.8982123317915454"/>
    <m/>
    <m/>
    <m/>
    <m/>
    <m/>
    <m/>
    <m/>
    <m/>
    <m/>
    <m/>
    <m/>
    <m/>
    <n v="33.57"/>
    <n v="-18.888599999999983"/>
    <m/>
    <m/>
    <m/>
    <m/>
    <n v="-22.215599999999995"/>
    <n v="0"/>
    <n v="31"/>
    <n v="-0.86188132317320409"/>
    <n v="0"/>
    <n v="0"/>
    <n v="0"/>
    <n v="0"/>
    <n v="0"/>
    <n v="0"/>
    <n v="0"/>
    <n v="-0.70003743615939573"/>
    <n v="0"/>
    <n v="0"/>
    <n v="0"/>
    <n v="0"/>
    <n v="0"/>
    <n v="0"/>
    <n v="0"/>
    <n v="0"/>
    <n v="-0.1388147957377126"/>
    <m/>
    <n v="0"/>
    <n v="0"/>
    <n v="0"/>
    <n v="0"/>
    <n v="-1.859637022758398E-2"/>
    <n v="-4.4327210485100299E-3"/>
    <n v="0"/>
    <n v="0"/>
    <m/>
    <m/>
    <m/>
    <n v="34.249580846022809"/>
    <n v="0"/>
    <n v="0"/>
    <n v="-22.215599999999995"/>
    <n v="0"/>
    <n v="0"/>
    <n v="0"/>
    <n v="-21.353823064997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3"/>
    <s v="Regular"/>
    <s v="Convencional"/>
    <s v="B3"/>
    <s v="Industrial"/>
    <s v="Não se aplica"/>
    <s v="Não se aplica"/>
    <s v="Não se aplica"/>
    <s v="Não se aplica"/>
    <s v="CATIVO"/>
    <x v="10"/>
    <n v="0"/>
    <n v="0"/>
    <n v="32.512999999999998"/>
    <n v="32.512999999999998"/>
    <n v="32.512999999999998"/>
    <n v="32.512999999999998"/>
    <m/>
    <n v="825.6"/>
    <n v="185.74"/>
    <m/>
    <n v="32881.697419999997"/>
    <n v="32881.697419999997"/>
    <n v="20440.9231"/>
    <n v="0"/>
    <n v="2027.0283850227268"/>
    <n v="0"/>
    <n v="0"/>
    <n v="0"/>
    <n v="4237.4747653440954"/>
    <n v="19093.902442453105"/>
    <n v="6039.1040337433778"/>
    <n v="0"/>
    <n v="0"/>
    <n v="0"/>
    <n v="0"/>
    <n v="0"/>
    <n v="313.26906955982383"/>
    <m/>
    <n v="77.084010094210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4.0786757993592"/>
    <n v="0"/>
    <n v="10.24"/>
    <n v="51.28"/>
    <n v="5422.04"/>
    <n v="44"/>
    <m/>
    <m/>
    <m/>
    <m/>
    <m/>
    <m/>
    <m/>
    <m/>
    <m/>
    <n v="7133.182709542737"/>
    <m/>
    <m/>
    <m/>
    <m/>
    <m/>
    <m/>
    <m/>
    <m/>
    <m/>
    <m/>
    <m/>
    <m/>
    <n v="20439.036999999997"/>
    <n v="-12442.690419999999"/>
    <m/>
    <m/>
    <m/>
    <m/>
    <n v="-12440.77432"/>
    <n v="0"/>
    <n v="31"/>
    <n v="-536.25509108545702"/>
    <n v="0"/>
    <n v="0"/>
    <n v="0"/>
    <n v="0"/>
    <n v="0"/>
    <n v="0"/>
    <n v="0"/>
    <n v="-390.08758279435051"/>
    <n v="0"/>
    <n v="0"/>
    <n v="0"/>
    <n v="0"/>
    <n v="0"/>
    <n v="0"/>
    <n v="0"/>
    <n v="0"/>
    <n v="-125.36904038389594"/>
    <m/>
    <n v="0"/>
    <n v="0"/>
    <n v="0"/>
    <n v="0"/>
    <n v="-16.795105144706611"/>
    <n v="-4.0033627625057449"/>
    <n v="0"/>
    <n v="0"/>
    <m/>
    <m/>
    <m/>
    <n v="19093.902442453105"/>
    <n v="0"/>
    <n v="0"/>
    <n v="-12440.774319999999"/>
    <n v="0"/>
    <n v="0"/>
    <n v="0"/>
    <n v="-11904.607423066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4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6.4180000000000001"/>
    <n v="6.4180000000000001"/>
    <n v="6.4180000000000001"/>
    <n v="6.4180000000000001"/>
    <m/>
    <n v="825.6"/>
    <n v="185.74"/>
    <m/>
    <n v="6490.7801200000004"/>
    <n v="6490.7801200000004"/>
    <n v="4034.9966000000004"/>
    <n v="0"/>
    <n v="400.13127595349124"/>
    <n v="0"/>
    <n v="0"/>
    <n v="0"/>
    <n v="836.46889071997066"/>
    <n v="3769.0974648806332"/>
    <n v="1192.1068399890812"/>
    <n v="0"/>
    <n v="0"/>
    <n v="0"/>
    <n v="0"/>
    <n v="0"/>
    <n v="61.838676481252094"/>
    <m/>
    <n v="15.216226641178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96890293975602"/>
    <n v="0"/>
    <n v="2.02"/>
    <n v="10.119999999999999"/>
    <n v="1453.02"/>
    <n v="3"/>
    <m/>
    <m/>
    <m/>
    <m/>
    <m/>
    <m/>
    <m/>
    <m/>
    <m/>
    <n v="1408.0757429288371"/>
    <m/>
    <m/>
    <m/>
    <m/>
    <m/>
    <m/>
    <m/>
    <m/>
    <m/>
    <m/>
    <m/>
    <m/>
    <n v="4036.2539999999999"/>
    <n v="-2454.5561200000011"/>
    <m/>
    <m/>
    <m/>
    <m/>
    <n v="-2455.7835200000004"/>
    <n v="0"/>
    <n v="31"/>
    <n v="-105.85566310664854"/>
    <n v="0"/>
    <n v="0"/>
    <n v="0"/>
    <n v="0"/>
    <n v="0"/>
    <n v="0"/>
    <n v="0"/>
    <n v="-77.002494582909662"/>
    <n v="0"/>
    <n v="0"/>
    <n v="0"/>
    <n v="0"/>
    <n v="0"/>
    <n v="0"/>
    <n v="0"/>
    <n v="0"/>
    <n v="-24.747593306795522"/>
    <m/>
    <n v="0"/>
    <n v="0"/>
    <n v="0"/>
    <n v="0"/>
    <n v="-3.315319558906495"/>
    <n v="-0.79025565803715025"/>
    <n v="0"/>
    <n v="0"/>
    <m/>
    <m/>
    <m/>
    <n v="3769.0974648806332"/>
    <n v="0"/>
    <n v="0"/>
    <n v="-2455.7835200000004"/>
    <n v="0"/>
    <n v="0"/>
    <n v="0"/>
    <n v="-2349.94526623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Ponta"/>
    <s v="CATIVO"/>
    <x v="10"/>
    <n v="0"/>
    <n v="0"/>
    <n v="1.641"/>
    <n v="1.641"/>
    <n v="1.641"/>
    <n v="1.641"/>
    <m/>
    <n v="4433.21"/>
    <n v="185.74"/>
    <m/>
    <n v="7579.6969499999996"/>
    <n v="7579.6969499999996"/>
    <n v="3955.8274200000001"/>
    <n v="0"/>
    <n v="89.008323269012166"/>
    <n v="0"/>
    <n v="0"/>
    <n v="0"/>
    <n v="1578.0233018566296"/>
    <n v="5569.0347161142172"/>
    <n v="304.80637650702437"/>
    <n v="0"/>
    <n v="0"/>
    <n v="0"/>
    <n v="0"/>
    <n v="0"/>
    <n v="15.811353709213881"/>
    <m/>
    <n v="1.6998814160697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320157201648435"/>
    <n v="0"/>
    <n v="0"/>
    <n v="0"/>
    <n v="0"/>
    <n v="0"/>
    <m/>
    <m/>
    <m/>
    <m/>
    <m/>
    <m/>
    <m/>
    <m/>
    <m/>
    <n v="326.12653370867281"/>
    <m/>
    <m/>
    <m/>
    <m/>
    <m/>
    <m/>
    <m/>
    <m/>
    <m/>
    <m/>
    <m/>
    <m/>
    <n v="3953.4168"/>
    <n v="-3626.3101500000002"/>
    <m/>
    <m/>
    <m/>
    <m/>
    <n v="-3623.8695299999999"/>
    <n v="0"/>
    <n v="31"/>
    <n v="-151.70849921631361"/>
    <n v="0"/>
    <n v="0"/>
    <n v="0"/>
    <n v="0"/>
    <n v="0"/>
    <n v="0"/>
    <n v="0"/>
    <n v="-145.26748346651993"/>
    <n v="0"/>
    <n v="0"/>
    <n v="0"/>
    <n v="0"/>
    <n v="0"/>
    <n v="0"/>
    <n v="0"/>
    <n v="0"/>
    <n v="-5.5050477619682994"/>
    <m/>
    <n v="0"/>
    <n v="0"/>
    <n v="0"/>
    <n v="0"/>
    <n v="-0.84768454287403472"/>
    <n v="-8.8283444951187562E-2"/>
    <n v="0"/>
    <n v="0"/>
    <m/>
    <m/>
    <m/>
    <n v="5569.0347161142172"/>
    <n v="0"/>
    <n v="0"/>
    <n v="-3623.8695299999999"/>
    <n v="0"/>
    <n v="0"/>
    <n v="0"/>
    <n v="-3472.1645939366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Fora ponta"/>
    <s v="CATIVO"/>
    <x v="10"/>
    <n v="0"/>
    <n v="0"/>
    <n v="42.253999999999998"/>
    <n v="42.253999999999998"/>
    <n v="42.253999999999998"/>
    <n v="42.253999999999998"/>
    <m/>
    <n v="77.900000000000006"/>
    <n v="185.74"/>
    <m/>
    <n v="11139.84456"/>
    <n v="11139.84456"/>
    <n v="10974.20888"/>
    <n v="0"/>
    <n v="2291.8694036616939"/>
    <n v="0"/>
    <n v="0"/>
    <n v="0"/>
    <n v="0"/>
    <n v="0"/>
    <n v="7848.4391425519843"/>
    <n v="0"/>
    <n v="0"/>
    <n v="0"/>
    <n v="0"/>
    <n v="0"/>
    <n v="407.1254964223786"/>
    <m/>
    <n v="43.770133671305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8.97131163830159"/>
    <n v="0"/>
    <n v="0"/>
    <n v="0"/>
    <n v="0"/>
    <n v="0"/>
    <m/>
    <m/>
    <m/>
    <m/>
    <m/>
    <m/>
    <m/>
    <m/>
    <m/>
    <n v="8397.4104541902852"/>
    <m/>
    <m/>
    <m/>
    <m/>
    <m/>
    <m/>
    <m/>
    <m/>
    <m/>
    <m/>
    <m/>
    <m/>
    <n v="10973.17"/>
    <n v="-166.70456000000013"/>
    <m/>
    <m/>
    <m/>
    <m/>
    <n v="-165.63568000000006"/>
    <n v="0"/>
    <n v="31"/>
    <n v="-165.84928671040507"/>
    <n v="0"/>
    <n v="0"/>
    <n v="0"/>
    <n v="0"/>
    <n v="0"/>
    <n v="0"/>
    <n v="0"/>
    <n v="0"/>
    <n v="0"/>
    <n v="0"/>
    <n v="0"/>
    <n v="0"/>
    <n v="0"/>
    <n v="0"/>
    <n v="0"/>
    <n v="0"/>
    <n v="-141.74910916161389"/>
    <m/>
    <n v="0"/>
    <n v="0"/>
    <n v="0"/>
    <n v="0"/>
    <n v="-21.82697298878702"/>
    <n v="-2.2732045600045581"/>
    <n v="0"/>
    <n v="0"/>
    <m/>
    <m/>
    <m/>
    <n v="0"/>
    <n v="0"/>
    <n v="0"/>
    <n v="-165.63567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7"/>
    <s v="Regular"/>
    <s v="Verde"/>
    <s v="A4"/>
    <s v="Industrial"/>
    <s v="Não se aplica"/>
    <s v="Não se aplica"/>
    <s v="Não se aplica"/>
    <s v="Não se aplica"/>
    <s v="CATIVO"/>
    <x v="10"/>
    <n v="319"/>
    <n v="319"/>
    <n v="0"/>
    <n v="0"/>
    <n v="0"/>
    <n v="0"/>
    <n v="55.59"/>
    <m/>
    <m/>
    <n v="17733.210000000003"/>
    <m/>
    <n v="17733.210000000003"/>
    <n v="9413.69"/>
    <n v="0"/>
    <n v="0"/>
    <n v="0"/>
    <n v="0"/>
    <n v="0"/>
    <n v="5153.3399940604804"/>
    <n v="12578.400680563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.97"/>
    <n v="64.92"/>
    <n v="5134.43"/>
    <n v="5"/>
    <m/>
    <m/>
    <m/>
    <m/>
    <m/>
    <m/>
    <m/>
    <m/>
    <m/>
    <n v="0"/>
    <m/>
    <m/>
    <m/>
    <m/>
    <m/>
    <m/>
    <m/>
    <m/>
    <m/>
    <m/>
    <m/>
    <m/>
    <n v="9413.69"/>
    <n v="-8319.5499999999975"/>
    <m/>
    <m/>
    <m/>
    <m/>
    <n v="-8319.52"/>
    <n v="0"/>
    <n v="31"/>
    <n v="-474.3990354919215"/>
    <n v="0"/>
    <n v="0"/>
    <n v="0"/>
    <n v="0"/>
    <m/>
    <m/>
    <m/>
    <n v="-474.39903549192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578.40068056382"/>
    <m/>
    <n v="0"/>
    <n v="0"/>
    <n v="-8319.5200000000023"/>
    <m/>
    <n v="0"/>
    <m/>
    <n v="-7842.3424736478637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418"/>
    <s v="Regular"/>
    <s v="Convencional"/>
    <s v="B3"/>
    <s v="Comercial"/>
    <s v="Não se aplica"/>
    <s v="Não se aplica"/>
    <s v="Não se aplica"/>
    <s v="Não se aplica"/>
    <s v="CATIVO"/>
    <x v="10"/>
    <n v="0"/>
    <n v="0"/>
    <n v="118.15300000000001"/>
    <n v="118.15300000000001"/>
    <n v="118.15300000000001"/>
    <n v="118.15300000000001"/>
    <m/>
    <n v="825.6"/>
    <n v="185.74"/>
    <m/>
    <n v="119492.85502"/>
    <n v="119492.85502"/>
    <n v="74282.791100000002"/>
    <n v="0"/>
    <n v="7366.2684088084843"/>
    <n v="0"/>
    <n v="0"/>
    <n v="0"/>
    <n v="15399.082088693782"/>
    <n v="69387.686626369818"/>
    <n v="21946.244852793694"/>
    <n v="0"/>
    <n v="0"/>
    <n v="0"/>
    <n v="0"/>
    <n v="0"/>
    <n v="1138.4271022576158"/>
    <m/>
    <n v="280.12508979981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5.9074149331555"/>
    <n v="0"/>
    <n v="37.19"/>
    <n v="186.53"/>
    <n v="19824.25"/>
    <n v="350"/>
    <m/>
    <m/>
    <m/>
    <m/>
    <m/>
    <m/>
    <m/>
    <m/>
    <m/>
    <n v="25922.152267726851"/>
    <m/>
    <m/>
    <m/>
    <m/>
    <m/>
    <m/>
    <m/>
    <m/>
    <m/>
    <m/>
    <m/>
    <m/>
    <n v="74280.904999999999"/>
    <n v="-45211.980019999988"/>
    <m/>
    <m/>
    <m/>
    <m/>
    <n v="-45210.063920000008"/>
    <n v="0"/>
    <n v="31"/>
    <n v="-1948.763503122449"/>
    <n v="0"/>
    <n v="0"/>
    <n v="0"/>
    <n v="0"/>
    <n v="0"/>
    <n v="0"/>
    <n v="0"/>
    <n v="-1417.5873702796071"/>
    <n v="0"/>
    <n v="0"/>
    <n v="0"/>
    <n v="0"/>
    <n v="0"/>
    <n v="0"/>
    <n v="0"/>
    <n v="0"/>
    <n v="-455.59401557772162"/>
    <m/>
    <n v="0"/>
    <n v="0"/>
    <n v="0"/>
    <n v="0"/>
    <n v="-61.033803652770075"/>
    <n v="-14.548313612350228"/>
    <n v="0"/>
    <n v="0"/>
    <m/>
    <m/>
    <m/>
    <n v="69387.686626369818"/>
    <n v="0"/>
    <n v="0"/>
    <n v="-45210.063920000001"/>
    <n v="0"/>
    <n v="0"/>
    <n v="0"/>
    <n v="-43261.62091648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4.8849999999999998"/>
    <n v="4.8849999999999998"/>
    <n v="4.8849999999999998"/>
    <n v="4.8849999999999998"/>
    <m/>
    <n v="825.6"/>
    <n v="185.74"/>
    <m/>
    <n v="4940.3959000000004"/>
    <n v="4940.3959000000004"/>
    <n v="3071.1994999999997"/>
    <n v="0"/>
    <n v="304.55613634041828"/>
    <n v="0"/>
    <n v="0"/>
    <n v="0"/>
    <n v="636.67038503693618"/>
    <n v="2868.8128881180887"/>
    <n v="907.36084657941126"/>
    <n v="0"/>
    <n v="0"/>
    <n v="0"/>
    <n v="0"/>
    <n v="0"/>
    <n v="47.067923747416089"/>
    <m/>
    <n v="11.581686996285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38268788730258"/>
    <n v="0"/>
    <n v="1.47"/>
    <n v="7.3"/>
    <n v="1921.98"/>
    <n v="13"/>
    <m/>
    <m/>
    <m/>
    <m/>
    <m/>
    <m/>
    <m/>
    <m/>
    <m/>
    <n v="1071.7435344667138"/>
    <m/>
    <m/>
    <m/>
    <m/>
    <m/>
    <m/>
    <m/>
    <m/>
    <m/>
    <m/>
    <m/>
    <m/>
    <n v="3074.3429999999998"/>
    <n v="-1866.0829000000012"/>
    <m/>
    <m/>
    <m/>
    <m/>
    <n v="-1869.1964"/>
    <n v="0"/>
    <n v="31"/>
    <n v="-80.571036814580566"/>
    <n v="0"/>
    <n v="0"/>
    <n v="0"/>
    <n v="0"/>
    <n v="0"/>
    <n v="0"/>
    <n v="0"/>
    <n v="-58.60972047951293"/>
    <n v="0"/>
    <n v="0"/>
    <n v="0"/>
    <n v="0"/>
    <n v="0"/>
    <n v="0"/>
    <n v="0"/>
    <n v="0"/>
    <n v="-18.83639658829793"/>
    <m/>
    <n v="0"/>
    <n v="0"/>
    <n v="0"/>
    <n v="0"/>
    <n v="-2.5234241267152129"/>
    <n v="-0.60149562005476476"/>
    <n v="0"/>
    <n v="0"/>
    <m/>
    <m/>
    <m/>
    <n v="2868.8128881180887"/>
    <n v="0"/>
    <n v="0"/>
    <n v="-1869.1964000000003"/>
    <n v="0"/>
    <n v="0"/>
    <n v="0"/>
    <n v="-1788.6386141444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10"/>
    <n v="529"/>
    <n v="529"/>
    <n v="29.257000000000001"/>
    <n v="29.257000000000001"/>
    <n v="29.257000000000001"/>
    <n v="29.257000000000001"/>
    <n v="181.08"/>
    <n v="77.900000000000006"/>
    <n v="185.74"/>
    <n v="95791.32"/>
    <n v="7713.3154800000011"/>
    <n v="103504.63548"/>
    <n v="54901.808040000004"/>
    <n v="0"/>
    <n v="1586.9082960886587"/>
    <n v="0"/>
    <n v="0"/>
    <n v="0"/>
    <n v="21143.293090834497"/>
    <n v="74646.872515827636"/>
    <n v="5434.3206322157293"/>
    <n v="0"/>
    <n v="0"/>
    <n v="0"/>
    <n v="0"/>
    <n v="0"/>
    <n v="281.89687719102409"/>
    <m/>
    <n v="30.306782809234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.11202879258275"/>
    <n v="0"/>
    <n v="0"/>
    <n v="0"/>
    <n v="0"/>
    <n v="0"/>
    <m/>
    <m/>
    <m/>
    <m/>
    <m/>
    <m/>
    <m/>
    <m/>
    <m/>
    <n v="5814.4326610083117"/>
    <m/>
    <m/>
    <m/>
    <m/>
    <m/>
    <m/>
    <m/>
    <m/>
    <m/>
    <m/>
    <m/>
    <m/>
    <n v="54902.587199999994"/>
    <n v="-48602.078279999987"/>
    <m/>
    <m/>
    <m/>
    <m/>
    <n v="-48602.827440000008"/>
    <n v="0"/>
    <n v="31"/>
    <n v="-2061.2153335986077"/>
    <n v="0"/>
    <n v="0"/>
    <n v="0"/>
    <n v="0"/>
    <n v="0"/>
    <n v="0"/>
    <n v="0"/>
    <n v="-1946.3799906420463"/>
    <n v="0"/>
    <n v="0"/>
    <n v="0"/>
    <n v="0"/>
    <n v="0"/>
    <n v="0"/>
    <n v="0"/>
    <n v="0"/>
    <n v="-98.148191573373879"/>
    <m/>
    <n v="0"/>
    <n v="0"/>
    <n v="0"/>
    <n v="0"/>
    <n v="-15.113166770789576"/>
    <n v="-1.5739846123929908"/>
    <n v="0"/>
    <n v="0"/>
    <m/>
    <m/>
    <n v="74646.872515827636"/>
    <n v="0"/>
    <n v="0"/>
    <n v="0"/>
    <n v="-48602.827440000001"/>
    <n v="0"/>
    <n v="0"/>
    <n v="0"/>
    <n v="-46540.601919322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10"/>
    <n v="543"/>
    <n v="543"/>
    <n v="300.12599999999998"/>
    <n v="300.12599999999998"/>
    <n v="300.12599999999998"/>
    <n v="300.12599999999998"/>
    <n v="55.59"/>
    <n v="77.900000000000006"/>
    <n v="185.74"/>
    <n v="30185.370000000003"/>
    <n v="79125.218640000006"/>
    <n v="109310.58864"/>
    <n v="93972.654719999991"/>
    <n v="0"/>
    <n v="16278.922626103316"/>
    <n v="0"/>
    <n v="0"/>
    <n v="0"/>
    <n v="8771.9862594822589"/>
    <n v="21410.882663154091"/>
    <n v="55746.690161820348"/>
    <n v="0"/>
    <n v="0"/>
    <n v="0"/>
    <n v="0"/>
    <n v="0"/>
    <n v="2891.7722994098262"/>
    <m/>
    <n v="310.89494812879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9.2891531395107"/>
    <n v="0"/>
    <n v="0"/>
    <n v="0"/>
    <n v="0"/>
    <n v="0"/>
    <m/>
    <m/>
    <m/>
    <m/>
    <m/>
    <m/>
    <m/>
    <m/>
    <m/>
    <n v="59645.979314959855"/>
    <m/>
    <m/>
    <m/>
    <m/>
    <m/>
    <m/>
    <m/>
    <m/>
    <m/>
    <m/>
    <m/>
    <m/>
    <n v="93973.693599999999"/>
    <n v="-15336.925039999987"/>
    <m/>
    <m/>
    <m/>
    <m/>
    <n v="-15337.933920000001"/>
    <n v="0"/>
    <n v="31"/>
    <n v="-1985.5305087784363"/>
    <n v="0"/>
    <n v="0"/>
    <n v="0"/>
    <n v="0"/>
    <n v="0"/>
    <n v="0"/>
    <n v="0"/>
    <n v="-807.51936135458618"/>
    <n v="0"/>
    <n v="0"/>
    <n v="0"/>
    <n v="0"/>
    <n v="0"/>
    <n v="0"/>
    <n v="0"/>
    <n v="0"/>
    <n v="-1006.82996015143"/>
    <m/>
    <n v="0"/>
    <n v="0"/>
    <n v="0"/>
    <n v="0"/>
    <n v="-155.0348391923294"/>
    <n v="-16.146348080085374"/>
    <n v="0"/>
    <n v="0"/>
    <m/>
    <m/>
    <n v="21410.882663154091"/>
    <n v="0"/>
    <n v="0"/>
    <n v="0"/>
    <n v="-15337.933920000003"/>
    <n v="0"/>
    <n v="0"/>
    <n v="0"/>
    <n v="-13349.19110718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4.66"/>
    <n v="373.31"/>
    <n v="30584.1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10"/>
    <n v="0"/>
    <n v="0"/>
    <n v="16.074999999999999"/>
    <n v="16.074999999999999"/>
    <n v="16.074999999999999"/>
    <n v="16.074999999999999"/>
    <m/>
    <n v="4433.21"/>
    <n v="185.74"/>
    <m/>
    <n v="74249.621249999997"/>
    <n v="74249.621249999997"/>
    <n v="38750.716500000002"/>
    <n v="0"/>
    <n v="871.91273403374191"/>
    <n v="0"/>
    <n v="0"/>
    <n v="0"/>
    <n v="15458.089321965461"/>
    <n v="54553.463169735543"/>
    <n v="2985.8394286108569"/>
    <n v="0"/>
    <n v="0"/>
    <n v="0"/>
    <n v="0"/>
    <n v="0"/>
    <n v="154.88574702962407"/>
    <m/>
    <n v="16.651793883803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.84919379433185"/>
    <n v="0"/>
    <n v="0"/>
    <n v="0"/>
    <n v="0"/>
    <n v="0"/>
    <m/>
    <m/>
    <m/>
    <m/>
    <m/>
    <m/>
    <m/>
    <m/>
    <m/>
    <n v="3194.6886224051887"/>
    <m/>
    <m/>
    <m/>
    <m/>
    <m/>
    <m/>
    <m/>
    <m/>
    <m/>
    <m/>
    <m/>
    <m/>
    <n v="38762.7696"/>
    <n v="-35486.881649999981"/>
    <m/>
    <m/>
    <m/>
    <m/>
    <n v="-35498.904749999994"/>
    <n v="0"/>
    <n v="31"/>
    <n v="-1486.1146404035608"/>
    <n v="0"/>
    <n v="0"/>
    <n v="0"/>
    <n v="0"/>
    <n v="0"/>
    <n v="0"/>
    <n v="0"/>
    <n v="-1423.0193764316336"/>
    <n v="0"/>
    <n v="0"/>
    <n v="0"/>
    <n v="0"/>
    <n v="0"/>
    <n v="0"/>
    <n v="0"/>
    <n v="0"/>
    <n v="-53.926656169189755"/>
    <m/>
    <n v="0"/>
    <n v="0"/>
    <n v="0"/>
    <n v="0"/>
    <n v="-8.3037958724558791"/>
    <n v="-0.86481193028052594"/>
    <n v="0"/>
    <n v="0"/>
    <m/>
    <m/>
    <m/>
    <n v="54553.463169735543"/>
    <n v="0"/>
    <n v="0"/>
    <n v="-35498.904749999994"/>
    <n v="0"/>
    <n v="0"/>
    <n v="0"/>
    <n v="-34012.82501373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10"/>
    <n v="0"/>
    <n v="0"/>
    <n v="428.73"/>
    <n v="428.73"/>
    <n v="428.73"/>
    <n v="428.73"/>
    <m/>
    <n v="77.900000000000006"/>
    <n v="185.74"/>
    <m/>
    <n v="113030.37720000002"/>
    <n v="113030.37720000002"/>
    <n v="111349.7556"/>
    <n v="0"/>
    <n v="23254.441459551243"/>
    <n v="0"/>
    <n v="0"/>
    <n v="0"/>
    <n v="0"/>
    <n v="0"/>
    <n v="79634.148567858967"/>
    <n v="0"/>
    <n v="0"/>
    <n v="0"/>
    <n v="0"/>
    <n v="0"/>
    <n v="4130.8968164236849"/>
    <m/>
    <n v="444.11344272491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0.134672189356"/>
    <n v="0"/>
    <n v="0"/>
    <n v="0"/>
    <n v="0"/>
    <n v="0"/>
    <m/>
    <m/>
    <m/>
    <m/>
    <m/>
    <m/>
    <m/>
    <m/>
    <m/>
    <n v="85204.283240048317"/>
    <m/>
    <m/>
    <m/>
    <m/>
    <m/>
    <m/>
    <m/>
    <m/>
    <m/>
    <m/>
    <m/>
    <m/>
    <n v="111349.7556"/>
    <n v="-1680.6515999999974"/>
    <m/>
    <m/>
    <m/>
    <m/>
    <n v="-1680.6216000000009"/>
    <n v="0"/>
    <n v="31"/>
    <n v="-1682.7889594204607"/>
    <n v="0"/>
    <n v="0"/>
    <n v="0"/>
    <n v="0"/>
    <n v="0"/>
    <n v="0"/>
    <n v="0"/>
    <n v="0"/>
    <n v="0"/>
    <n v="0"/>
    <n v="0"/>
    <n v="0"/>
    <n v="0"/>
    <n v="0"/>
    <n v="0"/>
    <n v="0"/>
    <n v="-1438.2566282685366"/>
    <m/>
    <n v="0"/>
    <n v="0"/>
    <n v="0"/>
    <n v="0"/>
    <n v="-221.46727243533496"/>
    <n v="-23.065058716589078"/>
    <n v="0"/>
    <n v="0"/>
    <m/>
    <m/>
    <m/>
    <n v="0"/>
    <n v="0"/>
    <n v="0"/>
    <n v="-1680.6215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10"/>
    <n v="1263"/>
    <n v="1263"/>
    <n v="0"/>
    <n v="0"/>
    <n v="0"/>
    <n v="0"/>
    <n v="55.59"/>
    <m/>
    <m/>
    <n v="70210.17"/>
    <m/>
    <n v="70210.17"/>
    <n v="37271.130000000005"/>
    <n v="0"/>
    <n v="0"/>
    <n v="0"/>
    <n v="0"/>
    <n v="0"/>
    <n v="20403.349255480836"/>
    <n v="49801.0033214799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4.29"/>
    <n v="471.47"/>
    <n v="37595.56"/>
    <n v="6"/>
    <m/>
    <m/>
    <m/>
    <m/>
    <m/>
    <m/>
    <m/>
    <m/>
    <m/>
    <n v="0"/>
    <m/>
    <m/>
    <m/>
    <m/>
    <m/>
    <m/>
    <m/>
    <m/>
    <m/>
    <m/>
    <m/>
    <m/>
    <n v="37271.130000000005"/>
    <n v="-32939.069999999978"/>
    <m/>
    <m/>
    <m/>
    <m/>
    <n v="-32939.040000000001"/>
    <n v="0"/>
    <n v="31"/>
    <n v="-1878.2632659131559"/>
    <n v="0"/>
    <n v="0"/>
    <n v="0"/>
    <n v="0"/>
    <m/>
    <m/>
    <m/>
    <n v="-1878.26326591315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801.003321479955"/>
    <m/>
    <n v="0"/>
    <n v="0"/>
    <n v="-32939.039999999994"/>
    <m/>
    <n v="0"/>
    <m/>
    <n v="-31049.776000681042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426"/>
    <s v="Regular"/>
    <s v="Convencional"/>
    <s v="B2"/>
    <s v="Rural"/>
    <s v="Não se aplica"/>
    <s v="Não se aplica"/>
    <s v="Não se aplica"/>
    <s v="Não se aplica"/>
    <s v="CATIVO"/>
    <x v="10"/>
    <n v="0"/>
    <n v="0"/>
    <n v="1206.8920000000001"/>
    <n v="1206.8920000000001"/>
    <n v="1206.8920000000001"/>
    <n v="1206.8920000000001"/>
    <m/>
    <n v="825.6"/>
    <n v="185.74"/>
    <m/>
    <n v="1220578.1552800001"/>
    <n v="1220578.1552800001"/>
    <n v="758773.00040000002"/>
    <n v="0"/>
    <n v="75243.882190411488"/>
    <n v="0"/>
    <n v="0"/>
    <n v="0"/>
    <n v="157296.29362087985"/>
    <n v="708771.20249060728"/>
    <n v="224173.29515863233"/>
    <n v="0"/>
    <n v="0"/>
    <n v="0"/>
    <n v="0"/>
    <n v="0"/>
    <n v="11628.638818294065"/>
    <m/>
    <n v="2861.3808356848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12.518106383301"/>
    <n v="0"/>
    <n v="335.74"/>
    <n v="1671.96"/>
    <n v="116678.7"/>
    <n v="5577"/>
    <m/>
    <m/>
    <m/>
    <m/>
    <m/>
    <n v="91047.932480000003"/>
    <m/>
    <m/>
    <m/>
    <n v="264785.8132650156"/>
    <m/>
    <m/>
    <m/>
    <m/>
    <m/>
    <m/>
    <m/>
    <m/>
    <m/>
    <m/>
    <m/>
    <m/>
    <n v="667723.96140000003"/>
    <n v="-406385.81075999991"/>
    <m/>
    <m/>
    <m/>
    <m/>
    <n v="-461805.15488000005"/>
    <n v="0"/>
    <n v="31"/>
    <n v="-19905.944680291344"/>
    <n v="0"/>
    <n v="0"/>
    <n v="0"/>
    <n v="0"/>
    <n v="0"/>
    <n v="0"/>
    <n v="0"/>
    <n v="-14480.164333461667"/>
    <n v="0"/>
    <n v="0"/>
    <n v="0"/>
    <n v="0"/>
    <n v="0"/>
    <n v="0"/>
    <n v="0"/>
    <n v="0"/>
    <n v="-4653.735179374431"/>
    <m/>
    <n v="0"/>
    <n v="0"/>
    <n v="0"/>
    <n v="0"/>
    <n v="-623.4391793530358"/>
    <n v="-148.60598810217698"/>
    <n v="0"/>
    <n v="0"/>
    <m/>
    <m/>
    <m/>
    <n v="708771.20249060728"/>
    <n v="0"/>
    <n v="0"/>
    <n v="-461805.15488000005"/>
    <n v="0"/>
    <n v="0"/>
    <n v="0"/>
    <n v="-441902.48399221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7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0.32800000000000001"/>
    <n v="-0.32800000000000001"/>
    <n v="-0.32800000000000001"/>
    <n v="-0.32800000000000001"/>
    <m/>
    <n v="825.6"/>
    <n v="185.74"/>
    <m/>
    <n v="-331.71952000000005"/>
    <n v="-331.71952000000005"/>
    <n v="-206.21359999999999"/>
    <n v="0"/>
    <n v="-20.449214476900146"/>
    <n v="0"/>
    <n v="0"/>
    <n v="0"/>
    <n v="-42.748799650381798"/>
    <n v="-192.62448870066186"/>
    <n v="-60.92412644381718"/>
    <n v="0"/>
    <n v="0"/>
    <n v="0"/>
    <n v="0"/>
    <n v="0"/>
    <n v="-3.1603437029994841"/>
    <m/>
    <n v="-0.77764449023163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037363690283573"/>
    <n v="0"/>
    <n v="-0.1"/>
    <n v="-0.47"/>
    <n v="-35"/>
    <n v="0"/>
    <m/>
    <m/>
    <m/>
    <m/>
    <m/>
    <n v="-24.744319999999998"/>
    <m/>
    <m/>
    <m/>
    <n v="-71.961490134100757"/>
    <m/>
    <m/>
    <m/>
    <m/>
    <m/>
    <m/>
    <m/>
    <m/>
    <m/>
    <m/>
    <m/>
    <m/>
    <n v="-182.57580000000002"/>
    <n v="109.30763999999999"/>
    <m/>
    <m/>
    <m/>
    <m/>
    <n v="125.50592000000002"/>
    <n v="0"/>
    <n v="31"/>
    <n v="5.4098874258305898"/>
    <n v="0"/>
    <n v="0"/>
    <n v="0"/>
    <n v="0"/>
    <n v="0"/>
    <n v="0"/>
    <n v="0"/>
    <n v="3.935309788593699"/>
    <n v="0"/>
    <n v="0"/>
    <n v="0"/>
    <n v="0"/>
    <n v="0"/>
    <n v="0"/>
    <n v="0"/>
    <n v="0"/>
    <n v="1.2647570278324949"/>
    <m/>
    <n v="0"/>
    <n v="0"/>
    <n v="0"/>
    <n v="0"/>
    <n v="0.16943359540687641"/>
    <n v="4.0387013997535859E-2"/>
    <n v="0"/>
    <n v="0"/>
    <m/>
    <m/>
    <m/>
    <n v="-192.62448870066186"/>
    <n v="0"/>
    <n v="0"/>
    <n v="125.50592000000003"/>
    <n v="0"/>
    <n v="0"/>
    <n v="0"/>
    <n v="120.0969223007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8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46.091999999999999"/>
    <n v="46.091999999999999"/>
    <n v="46.091999999999999"/>
    <n v="46.091999999999999"/>
    <m/>
    <n v="825.6"/>
    <n v="185.74"/>
    <m/>
    <n v="46614.683280000005"/>
    <n v="46614.683280000005"/>
    <n v="28978.040399999998"/>
    <n v="0"/>
    <n v="2873.613395333175"/>
    <n v="0"/>
    <n v="0"/>
    <n v="0"/>
    <n v="6007.2490045286513"/>
    <n v="27068.438820703981"/>
    <n v="8561.3257196598206"/>
    <n v="0"/>
    <n v="0"/>
    <n v="0"/>
    <n v="0"/>
    <n v="0"/>
    <n v="444.10537182515912"/>
    <m/>
    <n v="109.27801781633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1.0188024772879"/>
    <n v="0"/>
    <n v="11.41"/>
    <n v="56.97"/>
    <n v="11397.99"/>
    <n v="188"/>
    <m/>
    <m/>
    <m/>
    <m/>
    <m/>
    <n v="3477.18048"/>
    <m/>
    <m/>
    <m/>
    <n v="10112.344522137108"/>
    <m/>
    <m/>
    <m/>
    <m/>
    <m/>
    <m/>
    <m/>
    <m/>
    <m/>
    <m/>
    <m/>
    <m/>
    <n v="25499.753400000001"/>
    <n v="-15521.234759999999"/>
    <m/>
    <m/>
    <m/>
    <m/>
    <n v="-17636.642880000003"/>
    <n v="0"/>
    <n v="31"/>
    <n v="-760.22113180300221"/>
    <n v="0"/>
    <n v="0"/>
    <n v="0"/>
    <n v="0"/>
    <n v="0"/>
    <n v="0"/>
    <n v="0"/>
    <n v="-553.00700846298969"/>
    <n v="0"/>
    <n v="0"/>
    <n v="0"/>
    <n v="0"/>
    <n v="0"/>
    <n v="0"/>
    <n v="0"/>
    <n v="0"/>
    <n v="-177.72921014285157"/>
    <m/>
    <n v="0"/>
    <n v="0"/>
    <n v="0"/>
    <n v="0"/>
    <n v="-23.809552681383309"/>
    <n v="-5.6753605157756795"/>
    <n v="0"/>
    <n v="0"/>
    <m/>
    <m/>
    <m/>
    <n v="27068.438820703981"/>
    <n v="0"/>
    <n v="0"/>
    <n v="-17636.642880000003"/>
    <n v="0"/>
    <n v="0"/>
    <n v="0"/>
    <n v="-16876.546776488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29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1.2"/>
    <n v="21.2"/>
    <n v="21.2"/>
    <n v="21.2"/>
    <m/>
    <n v="825.6"/>
    <n v="185.74"/>
    <m/>
    <n v="21440.408000000003"/>
    <n v="21440.408000000003"/>
    <n v="13328.439999999999"/>
    <n v="0"/>
    <n v="1321.7175210679361"/>
    <n v="0"/>
    <n v="0"/>
    <n v="0"/>
    <n v="2763.0321725246768"/>
    <n v="12450.119391628143"/>
    <n v="3937.7789042955005"/>
    <n v="0"/>
    <n v="0"/>
    <n v="0"/>
    <n v="0"/>
    <n v="0"/>
    <n v="204.26611738899101"/>
    <m/>
    <n v="50.262387783263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3.39057998174314"/>
    <n v="0"/>
    <n v="6.74"/>
    <n v="33.450000000000003"/>
    <n v="2664.96"/>
    <n v="92"/>
    <m/>
    <m/>
    <m/>
    <m/>
    <m/>
    <m/>
    <m/>
    <m/>
    <m/>
    <n v="4651.169484277244"/>
    <m/>
    <m/>
    <m/>
    <m/>
    <m/>
    <m/>
    <m/>
    <m/>
    <m/>
    <m/>
    <m/>
    <m/>
    <n v="13328.439999999999"/>
    <n v="-8111.9979999999996"/>
    <m/>
    <m/>
    <m/>
    <m/>
    <n v="-8111.9680000000008"/>
    <n v="0"/>
    <n v="31"/>
    <n v="-349.66345557197928"/>
    <n v="0"/>
    <n v="0"/>
    <n v="0"/>
    <n v="0"/>
    <n v="0"/>
    <n v="0"/>
    <n v="0"/>
    <n v="-254.35538877495856"/>
    <n v="0"/>
    <n v="0"/>
    <n v="0"/>
    <n v="0"/>
    <n v="0"/>
    <n v="0"/>
    <n v="0"/>
    <n v="0"/>
    <n v="-81.746490823319618"/>
    <m/>
    <n v="0"/>
    <n v="0"/>
    <n v="0"/>
    <n v="0"/>
    <n v="-10.951195800688311"/>
    <n v="-2.610380173011464"/>
    <n v="0"/>
    <n v="0"/>
    <m/>
    <m/>
    <m/>
    <n v="12450.119391628143"/>
    <n v="0"/>
    <n v="0"/>
    <n v="-8111.9680000000026"/>
    <n v="0"/>
    <n v="0"/>
    <n v="0"/>
    <n v="-7762.3620511487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0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62.262"/>
    <n v="262.262"/>
    <n v="262.262"/>
    <n v="262.262"/>
    <m/>
    <n v="454.08"/>
    <n v="102.16"/>
    <m/>
    <n v="145880.61487999998"/>
    <n v="145880.61487999998"/>
    <n v="90687.576979999998"/>
    <n v="0"/>
    <n v="8992.9223717299737"/>
    <n v="0"/>
    <n v="0"/>
    <n v="0"/>
    <n v="18799.579669663577"/>
    <n v="84710.201251790058"/>
    <n v="26792.517643825067"/>
    <n v="0"/>
    <n v="0"/>
    <n v="0"/>
    <n v="0"/>
    <n v="0"/>
    <n v="1389.8199180787428"/>
    <m/>
    <n v="341.98362687018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53.8859508464338"/>
    <n v="0"/>
    <n v="45.47"/>
    <n v="227.4"/>
    <n v="18630.46"/>
    <n v="9"/>
    <m/>
    <m/>
    <m/>
    <m/>
    <m/>
    <m/>
    <m/>
    <m/>
    <m/>
    <n v="31646.403594671501"/>
    <m/>
    <m/>
    <m/>
    <m/>
    <m/>
    <m/>
    <m/>
    <m/>
    <m/>
    <m/>
    <m/>
    <m/>
    <n v="90686.885399999999"/>
    <n v="-55193.759479999979"/>
    <m/>
    <m/>
    <m/>
    <m/>
    <n v="-55193.037899999996"/>
    <n v="0"/>
    <n v="31"/>
    <n v="-2379.0986062203156"/>
    <n v="0"/>
    <n v="0"/>
    <n v="0"/>
    <n v="0"/>
    <n v="0"/>
    <n v="0"/>
    <n v="0"/>
    <n v="-1730.6256666978552"/>
    <n v="0"/>
    <n v="0"/>
    <n v="0"/>
    <n v="0"/>
    <n v="0"/>
    <n v="0"/>
    <n v="0"/>
    <n v="0"/>
    <n v="-556.20042438528799"/>
    <m/>
    <n v="0"/>
    <n v="0"/>
    <n v="0"/>
    <n v="0"/>
    <n v="-74.511574631795611"/>
    <n v="-17.760940505373298"/>
    <n v="0"/>
    <n v="0"/>
    <m/>
    <m/>
    <m/>
    <n v="84710.201251790058"/>
    <n v="0"/>
    <n v="0"/>
    <n v="-55193.037899999988"/>
    <n v="0"/>
    <n v="0"/>
    <n v="0"/>
    <n v="-52814.855091608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1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137.452"/>
    <n v="137.452"/>
    <n v="137.452"/>
    <n v="137.452"/>
    <m/>
    <n v="495.36"/>
    <n v="111.45"/>
    <m/>
    <n v="83407.248120000004"/>
    <n v="83407.248120000004"/>
    <n v="51851.017959999997"/>
    <n v="0"/>
    <n v="5141.6806614857514"/>
    <n v="0"/>
    <n v="0"/>
    <n v="0"/>
    <n v="10748.612212581023"/>
    <n v="48432.843696737953"/>
    <n v="15318.554319430872"/>
    <n v="0"/>
    <n v="0"/>
    <n v="0"/>
    <n v="0"/>
    <n v="0"/>
    <n v="794.62602926466718"/>
    <m/>
    <n v="195.52827525241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5.1970377259508"/>
    <n v="0"/>
    <n v="26"/>
    <n v="130.03"/>
    <n v="10652.04"/>
    <n v="6"/>
    <m/>
    <m/>
    <m/>
    <m/>
    <m/>
    <m/>
    <m/>
    <m/>
    <m/>
    <n v="18093.751357156823"/>
    <m/>
    <m/>
    <m/>
    <m/>
    <m/>
    <m/>
    <m/>
    <m/>
    <m/>
    <m/>
    <m/>
    <m/>
    <n v="51850.263499999994"/>
    <n v="-31557.014619999994"/>
    <m/>
    <m/>
    <m/>
    <m/>
    <n v="-31556.230160000006"/>
    <n v="0"/>
    <n v="31"/>
    <n v="-1360.2436215645357"/>
    <n v="0"/>
    <n v="0"/>
    <n v="0"/>
    <n v="0"/>
    <n v="0"/>
    <n v="0"/>
    <n v="0"/>
    <n v="-989.480855600832"/>
    <n v="0"/>
    <n v="0"/>
    <n v="0"/>
    <n v="0"/>
    <n v="0"/>
    <n v="0"/>
    <n v="0"/>
    <n v="0"/>
    <n v="-318.00618839567142"/>
    <m/>
    <n v="0"/>
    <n v="0"/>
    <n v="0"/>
    <n v="0"/>
    <n v="-42.601804675363724"/>
    <n v="-10.154772892662834"/>
    <n v="0"/>
    <n v="0"/>
    <m/>
    <m/>
    <m/>
    <n v="48432.843696737953"/>
    <n v="0"/>
    <n v="0"/>
    <n v="-31556.230160000006"/>
    <n v="0"/>
    <n v="0"/>
    <n v="0"/>
    <n v="-30196.760056259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2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3.6429999999999998"/>
    <n v="3.4244199999999996"/>
    <n v="3.6429999999999998"/>
    <n v="3.4244199999999996"/>
    <m/>
    <n v="825.6"/>
    <n v="185.74"/>
    <m/>
    <n v="3684.3116199999999"/>
    <n v="3684.3116199999999"/>
    <n v="2290.3540999999996"/>
    <n v="0"/>
    <n v="227.12344005898544"/>
    <n v="0"/>
    <n v="0"/>
    <n v="0"/>
    <n v="474.79840587299043"/>
    <n v="2139.4238180991192"/>
    <n v="676.66644095983531"/>
    <n v="0"/>
    <n v="0"/>
    <n v="0"/>
    <n v="0"/>
    <n v="0"/>
    <n v="35.101012530570486"/>
    <m/>
    <n v="8.6370697497372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58876806007028"/>
    <n v="0"/>
    <n v="0.98"/>
    <n v="4.88"/>
    <n v="0"/>
    <n v="5"/>
    <m/>
    <m/>
    <m/>
    <m/>
    <n v="137.42124600000014"/>
    <m/>
    <m/>
    <m/>
    <m/>
    <n v="799.25520901990558"/>
    <m/>
    <m/>
    <m/>
    <m/>
    <m/>
    <m/>
    <m/>
    <m/>
    <m/>
    <m/>
    <m/>
    <m/>
    <n v="2150.154"/>
    <n v="-1313.1289228000001"/>
    <m/>
    <m/>
    <m/>
    <m/>
    <n v="-1393.9575200000002"/>
    <n v="0"/>
    <n v="31"/>
    <n v="-60.086036257014939"/>
    <n v="0"/>
    <n v="0"/>
    <n v="0"/>
    <n v="0"/>
    <n v="0"/>
    <n v="0"/>
    <n v="0"/>
    <n v="-43.708334023923271"/>
    <n v="0"/>
    <n v="0"/>
    <n v="0"/>
    <n v="0"/>
    <n v="0"/>
    <n v="0"/>
    <n v="0"/>
    <n v="0"/>
    <n v="-14.047286135346866"/>
    <m/>
    <n v="0"/>
    <n v="0"/>
    <n v="0"/>
    <n v="0"/>
    <n v="-1.881849353863565"/>
    <n v="-0.4485667438811678"/>
    <n v="0"/>
    <n v="0"/>
    <m/>
    <m/>
    <m/>
    <n v="2139.4238180991192"/>
    <n v="0"/>
    <n v="0"/>
    <n v="-1393.9575200000004"/>
    <n v="0"/>
    <n v="0"/>
    <n v="0"/>
    <n v="-1333.8813656761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3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0.58499999999999996"/>
    <n v="0.58499999999999996"/>
    <n v="0.58499999999999996"/>
    <n v="0.58499999999999996"/>
    <m/>
    <n v="825.6"/>
    <n v="185.74"/>
    <m/>
    <n v="591.63390000000004"/>
    <n v="591.63390000000004"/>
    <n v="367.78949999999998"/>
    <n v="0"/>
    <n v="36.471922161544462"/>
    <n v="0"/>
    <n v="0"/>
    <n v="0"/>
    <n v="76.244048156930944"/>
    <n v="343.55282283502186"/>
    <n v="108.6604084440032"/>
    <n v="0"/>
    <n v="0"/>
    <n v="0"/>
    <n v="0"/>
    <n v="0"/>
    <n v="5.6365886166301769"/>
    <m/>
    <n v="1.3869573987362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685541947609419"/>
    <n v="0"/>
    <n v="0.19"/>
    <n v="0.91"/>
    <n v="101.82"/>
    <n v="4"/>
    <m/>
    <m/>
    <m/>
    <m/>
    <m/>
    <m/>
    <m/>
    <m/>
    <m/>
    <n v="128.3459503916126"/>
    <m/>
    <m/>
    <m/>
    <m/>
    <m/>
    <m/>
    <m/>
    <m/>
    <m/>
    <m/>
    <m/>
    <m/>
    <n v="370.93299999999999"/>
    <n v="-220.73090000000002"/>
    <m/>
    <m/>
    <m/>
    <m/>
    <n v="-223.84440000000001"/>
    <n v="0"/>
    <n v="31"/>
    <n v="-9.6487321466795493"/>
    <n v="0"/>
    <n v="0"/>
    <n v="0"/>
    <n v="0"/>
    <n v="0"/>
    <n v="0"/>
    <n v="0"/>
    <n v="-7.0187689827052253"/>
    <n v="0"/>
    <n v="0"/>
    <n v="0"/>
    <n v="0"/>
    <n v="0"/>
    <n v="0"/>
    <n v="0"/>
    <n v="0"/>
    <n v="-2.2557404307378306"/>
    <m/>
    <n v="0"/>
    <n v="0"/>
    <n v="0"/>
    <n v="0"/>
    <n v="-0.30219101619823974"/>
    <n v="-7.2031717038288035E-2"/>
    <n v="0"/>
    <n v="0"/>
    <m/>
    <m/>
    <m/>
    <n v="343.55282283502186"/>
    <n v="0"/>
    <n v="0"/>
    <n v="-223.84440000000001"/>
    <n v="0"/>
    <n v="0"/>
    <n v="0"/>
    <n v="-214.19725471330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Tração elétrica"/>
    <s v="Não se aplica"/>
    <s v="Não se aplica"/>
    <s v="Não se aplica"/>
    <s v="CATIVO"/>
    <x v="10"/>
    <n v="0"/>
    <n v="0"/>
    <n v="3.5999999999999997E-2"/>
    <n v="3.5999999999999997E-2"/>
    <n v="3.5999999999999997E-2"/>
    <n v="3.5999999999999997E-2"/>
    <m/>
    <n v="825.6"/>
    <n v="185.74"/>
    <m/>
    <n v="36.408239999999999"/>
    <n v="36.408239999999999"/>
    <n v="22.633199999999999"/>
    <n v="0"/>
    <n v="2.2444259791719667"/>
    <n v="0"/>
    <n v="0"/>
    <n v="0"/>
    <n v="4.6919414250419038"/>
    <n v="21.141712174462885"/>
    <n v="6.6867943657848121"/>
    <n v="0"/>
    <n v="0"/>
    <n v="0"/>
    <n v="0"/>
    <n v="0"/>
    <n v="0.34686699179262626"/>
    <m/>
    <n v="8.53512245376181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114179660067335"/>
    <n v="0"/>
    <n v="0.01"/>
    <n v="0.06"/>
    <n v="0"/>
    <n v="1"/>
    <m/>
    <m/>
    <m/>
    <m/>
    <m/>
    <m/>
    <m/>
    <m/>
    <m/>
    <n v="7.8982123317915454"/>
    <m/>
    <m/>
    <m/>
    <m/>
    <m/>
    <m/>
    <m/>
    <m/>
    <m/>
    <m/>
    <m/>
    <m/>
    <n v="25.148"/>
    <n v="-11.290240000000001"/>
    <m/>
    <m/>
    <m/>
    <m/>
    <n v="-13.775040000000001"/>
    <n v="0"/>
    <n v="31"/>
    <n v="-0.5937681321033601"/>
    <n v="0"/>
    <n v="0"/>
    <n v="0"/>
    <n v="0"/>
    <n v="0"/>
    <n v="0"/>
    <n v="0"/>
    <n v="-0.43192424508955174"/>
    <n v="0"/>
    <n v="0"/>
    <n v="0"/>
    <n v="0"/>
    <n v="0"/>
    <n v="0"/>
    <n v="0"/>
    <n v="0"/>
    <n v="-0.1388147957377126"/>
    <m/>
    <n v="0"/>
    <n v="0"/>
    <n v="0"/>
    <n v="0"/>
    <n v="-1.859637022758398E-2"/>
    <n v="-4.4327210485100299E-3"/>
    <n v="0"/>
    <n v="0"/>
    <m/>
    <m/>
    <m/>
    <n v="21.141712174462885"/>
    <n v="0"/>
    <n v="0"/>
    <n v="-13.775040000000001"/>
    <n v="0"/>
    <n v="0"/>
    <n v="0"/>
    <n v="-13.181369520818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5"/>
    <s v="Regular"/>
    <s v="Convencional"/>
    <s v="B1"/>
    <s v="Residencial"/>
    <s v="Residencial"/>
    <s v="Não se aplica"/>
    <s v="Não se aplica"/>
    <s v="Não se aplica"/>
    <s v="CATIVO"/>
    <x v="11"/>
    <n v="0"/>
    <n v="0"/>
    <n v="1352.2570000000001"/>
    <n v="1352.2570000000001"/>
    <n v="1352.2570000000001"/>
    <n v="1352.2570000000001"/>
    <m/>
    <n v="825.6"/>
    <n v="185.74"/>
    <m/>
    <n v="1367591.5943800001"/>
    <n v="1367591.5943800001"/>
    <n v="850163.97590000008"/>
    <n v="0"/>
    <n v="84306.68725880963"/>
    <n v="0"/>
    <n v="0"/>
    <n v="0"/>
    <n v="176241.9621000803"/>
    <n v="794139.6744417405"/>
    <n v="251174.01357480758"/>
    <n v="0"/>
    <n v="0"/>
    <n v="0"/>
    <n v="0"/>
    <n v="0"/>
    <n v="13029.258825570039"/>
    <m/>
    <n v="3206.0219677657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04.122901621326"/>
    <n v="0"/>
    <n v="345.99"/>
    <n v="1606.63"/>
    <n v="138179.32999999999"/>
    <n v="8393"/>
    <m/>
    <m/>
    <m/>
    <m/>
    <m/>
    <m/>
    <m/>
    <m/>
    <m/>
    <n v="296678.13647642889"/>
    <m/>
    <m/>
    <m/>
    <m/>
    <m/>
    <m/>
    <m/>
    <m/>
    <m/>
    <m/>
    <m/>
    <m/>
    <n v="850165.86199999996"/>
    <n v="-517425.7623800002"/>
    <m/>
    <m/>
    <m/>
    <m/>
    <n v="-517427.61848000006"/>
    <n v="0"/>
    <n v="31"/>
    <n v="-22303.530917047057"/>
    <n v="0"/>
    <n v="0"/>
    <n v="0"/>
    <n v="0"/>
    <n v="0"/>
    <n v="0"/>
    <n v="0"/>
    <n v="-16224.238441446185"/>
    <n v="0"/>
    <n v="0"/>
    <n v="0"/>
    <n v="0"/>
    <n v="0"/>
    <n v="0"/>
    <n v="0"/>
    <n v="0"/>
    <n v="-5214.257756663661"/>
    <m/>
    <n v="0"/>
    <n v="0"/>
    <n v="0"/>
    <n v="0"/>
    <n v="-698.52977263449975"/>
    <n v="-166.50494630263984"/>
    <n v="0"/>
    <n v="0"/>
    <m/>
    <m/>
    <m/>
    <n v="794139.6744417405"/>
    <n v="0"/>
    <n v="0"/>
    <n v="-517427.61848000006"/>
    <n v="0"/>
    <n v="0"/>
    <n v="0"/>
    <n v="-495127.7556698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6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123"/>
    <n v="-0.123"/>
    <n v="-0.123"/>
    <n v="-0.123"/>
    <m/>
    <n v="825.6"/>
    <n v="185.74"/>
    <m/>
    <n v="-124.39482"/>
    <n v="-124.39482"/>
    <n v="-77.330100000000002"/>
    <n v="0"/>
    <n v="-7.6684554288375537"/>
    <n v="0"/>
    <n v="0"/>
    <n v="0"/>
    <n v="-16.030799868893173"/>
    <n v="-72.234183262748189"/>
    <n v="-22.846547416431441"/>
    <n v="0"/>
    <n v="0"/>
    <n v="0"/>
    <n v="0"/>
    <n v="0"/>
    <n v="-1.1851288886248064"/>
    <m/>
    <n v="-0.2916166838368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1390113838563396"/>
    <n v="0"/>
    <n v="-0.03"/>
    <n v="-0.18"/>
    <n v="-11.07"/>
    <n v="0"/>
    <m/>
    <m/>
    <m/>
    <m/>
    <m/>
    <m/>
    <m/>
    <m/>
    <m/>
    <n v="-26.98555880028778"/>
    <m/>
    <m/>
    <m/>
    <m/>
    <m/>
    <m/>
    <m/>
    <m/>
    <m/>
    <m/>
    <m/>
    <m/>
    <n v="-75.443999999999988"/>
    <n v="48.920819999999992"/>
    <m/>
    <m/>
    <m/>
    <m/>
    <n v="47.064720000000001"/>
    <n v="0"/>
    <n v="31"/>
    <n v="2.0287077846864818"/>
    <n v="0"/>
    <n v="0"/>
    <n v="0"/>
    <n v="0"/>
    <n v="0"/>
    <n v="0"/>
    <n v="0"/>
    <n v="1.4757411707226371"/>
    <n v="0"/>
    <n v="0"/>
    <n v="0"/>
    <n v="0"/>
    <n v="0"/>
    <n v="0"/>
    <n v="0"/>
    <n v="0"/>
    <n v="0.47428388543718469"/>
    <m/>
    <n v="0"/>
    <n v="0"/>
    <n v="0"/>
    <n v="0"/>
    <n v="6.3537598277578544E-2"/>
    <n v="1.5145130249075989E-2"/>
    <n v="0"/>
    <n v="0"/>
    <m/>
    <m/>
    <m/>
    <n v="-72.234183262748189"/>
    <n v="0"/>
    <n v="0"/>
    <n v="47.064720000000001"/>
    <n v="0"/>
    <n v="0"/>
    <n v="0"/>
    <n v="45.036345862797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7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20.401"/>
    <n v="20.401"/>
    <n v="20.401"/>
    <n v="20.401"/>
    <m/>
    <n v="825.6"/>
    <n v="185.74"/>
    <m/>
    <n v="20632.34734"/>
    <n v="20632.34734"/>
    <n v="12826.108700000001"/>
    <n v="0"/>
    <n v="1271.903733363536"/>
    <n v="0"/>
    <n v="0"/>
    <n v="0"/>
    <n v="2658.8971392299968"/>
    <n v="11980.890835311593"/>
    <n v="3789.3692182326654"/>
    <n v="0"/>
    <n v="0"/>
    <n v="0"/>
    <n v="0"/>
    <n v="0"/>
    <n v="196.567597210038"/>
    <m/>
    <n v="48.368064771998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6.50383123620475"/>
    <n v="0"/>
    <n v="4.8600000000000003"/>
    <n v="22.4"/>
    <n v="6792.18"/>
    <n v="112"/>
    <m/>
    <m/>
    <m/>
    <m/>
    <m/>
    <m/>
    <m/>
    <m/>
    <m/>
    <n v="4475.8730494688698"/>
    <m/>
    <m/>
    <m/>
    <m/>
    <m/>
    <m/>
    <m/>
    <m/>
    <m/>
    <m/>
    <m/>
    <m/>
    <n v="12825.479999999998"/>
    <n v="-7806.8973399999977"/>
    <m/>
    <m/>
    <m/>
    <m/>
    <n v="-7806.2386400000005"/>
    <n v="0"/>
    <n v="31"/>
    <n v="-336.48510175113006"/>
    <n v="0"/>
    <n v="0"/>
    <n v="0"/>
    <n v="0"/>
    <n v="0"/>
    <n v="0"/>
    <n v="0"/>
    <n v="-244.76907011310959"/>
    <n v="0"/>
    <n v="0"/>
    <n v="0"/>
    <n v="0"/>
    <n v="0"/>
    <n v="0"/>
    <n v="0"/>
    <n v="0"/>
    <n v="-78.66557355125201"/>
    <m/>
    <n v="0"/>
    <n v="0"/>
    <n v="0"/>
    <n v="0"/>
    <n v="-10.53845969480389"/>
    <n v="-2.5119983919625923"/>
    <n v="0"/>
    <n v="0"/>
    <m/>
    <m/>
    <m/>
    <n v="11980.890835311593"/>
    <n v="0"/>
    <n v="0"/>
    <n v="-7806.2386400000014"/>
    <n v="0"/>
    <n v="0"/>
    <n v="0"/>
    <n v="-7469.8088776172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8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6.75"/>
    <n v="6.75"/>
    <n v="6.75"/>
    <n v="6.75"/>
    <m/>
    <n v="753.62"/>
    <n v="185.74"/>
    <m/>
    <n v="6340.68"/>
    <n v="6340.68"/>
    <n v="3787.3575000000001"/>
    <n v="0"/>
    <n v="0"/>
    <n v="0"/>
    <n v="0"/>
    <n v="0"/>
    <n v="879.73901719535706"/>
    <n v="3964.0710327117908"/>
    <n v="1253.7739435846522"/>
    <n v="0"/>
    <n v="0"/>
    <n v="0"/>
    <n v="0"/>
    <n v="0"/>
    <n v="0"/>
    <m/>
    <n v="16.003354600803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4086862626255"/>
    <n v="0"/>
    <n v="0"/>
    <n v="2.25"/>
    <n v="180"/>
    <n v="19"/>
    <m/>
    <m/>
    <m/>
    <m/>
    <m/>
    <m/>
    <m/>
    <n v="2461.7925000000005"/>
    <m/>
    <n v="1480.9148122109148"/>
    <m/>
    <m/>
    <m/>
    <m/>
    <m/>
    <m/>
    <m/>
    <m/>
    <m/>
    <m/>
    <m/>
    <m/>
    <n v="1325.5650000000001"/>
    <n v="-893.73"/>
    <m/>
    <m/>
    <m/>
    <m/>
    <n v="-2553.3224999999998"/>
    <n v="0"/>
    <n v="31"/>
    <n v="-81.816931150887285"/>
    <n v="0"/>
    <n v="0"/>
    <n v="0"/>
    <n v="0"/>
    <n v="0"/>
    <n v="0"/>
    <n v="0"/>
    <n v="-80.985795954291007"/>
    <n v="0"/>
    <n v="0"/>
    <n v="0"/>
    <n v="0"/>
    <n v="0"/>
    <n v="0"/>
    <n v="0"/>
    <n v="0"/>
    <n v="0"/>
    <m/>
    <n v="0"/>
    <n v="0"/>
    <n v="0"/>
    <n v="0"/>
    <n v="0"/>
    <n v="-0.83113519659563373"/>
    <n v="0"/>
    <n v="0"/>
    <m/>
    <m/>
    <m/>
    <n v="3964.0710327117908"/>
    <n v="0"/>
    <n v="0"/>
    <n v="-2553.3225000000002"/>
    <n v="0"/>
    <n v="0"/>
    <n v="0"/>
    <n v="-2471.5067851534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39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3.456"/>
    <n v="13.456"/>
    <n v="13.456"/>
    <n v="13.456"/>
    <m/>
    <n v="753.62"/>
    <n v="185.74"/>
    <m/>
    <n v="12640.028159999998"/>
    <n v="12640.028159999998"/>
    <n v="7550.0270399999999"/>
    <n v="0"/>
    <n v="0"/>
    <n v="0"/>
    <n v="0"/>
    <n v="0"/>
    <n v="1753.7434393156627"/>
    <n v="7902.3021949881268"/>
    <n v="2499.3751385000119"/>
    <n v="0"/>
    <n v="0"/>
    <n v="0"/>
    <n v="0"/>
    <n v="0"/>
    <n v="0"/>
    <m/>
    <n v="31.902391038283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.80111529407242"/>
    <n v="0"/>
    <n v="2"/>
    <n v="9.5500000000000007"/>
    <n v="620.89"/>
    <n v="33"/>
    <m/>
    <m/>
    <m/>
    <m/>
    <m/>
    <m/>
    <m/>
    <n v="3019.9300800000001"/>
    <m/>
    <n v="2952.1762537940845"/>
    <m/>
    <m/>
    <m/>
    <m/>
    <m/>
    <m/>
    <m/>
    <m/>
    <m/>
    <m/>
    <m/>
    <m/>
    <n v="4531.4436000000005"/>
    <n v="-3052.6571199999998"/>
    <m/>
    <m/>
    <m/>
    <m/>
    <n v="-5090.0011199999999"/>
    <n v="0"/>
    <n v="31"/>
    <n v="-163.10053712093759"/>
    <n v="0"/>
    <n v="0"/>
    <n v="0"/>
    <n v="0"/>
    <n v="0"/>
    <n v="0"/>
    <n v="0"/>
    <n v="-161.44368449791705"/>
    <n v="0"/>
    <n v="0"/>
    <n v="0"/>
    <n v="0"/>
    <n v="0"/>
    <n v="0"/>
    <n v="0"/>
    <n v="0"/>
    <n v="0"/>
    <m/>
    <n v="0"/>
    <n v="0"/>
    <n v="0"/>
    <n v="0"/>
    <n v="0"/>
    <n v="-1.6568526230208604"/>
    <n v="0"/>
    <n v="0"/>
    <m/>
    <m/>
    <m/>
    <n v="7902.3021949881268"/>
    <n v="0"/>
    <n v="0"/>
    <n v="-5090.001119999999"/>
    <n v="0"/>
    <n v="0"/>
    <n v="0"/>
    <n v="-4926.9030075593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0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4.058999999999999"/>
    <n v="14.058999999999999"/>
    <n v="14.058999999999999"/>
    <n v="14.058999999999999"/>
    <m/>
    <n v="753.62"/>
    <n v="185.74"/>
    <m/>
    <n v="13206.462240000001"/>
    <n v="13206.462240000001"/>
    <n v="7888.3643099999999"/>
    <n v="0"/>
    <n v="0"/>
    <n v="0"/>
    <n v="0"/>
    <n v="0"/>
    <n v="1832.3334581851148"/>
    <n v="8256.4258739103807"/>
    <n v="2611.3789441269078"/>
    <n v="0"/>
    <n v="0"/>
    <n v="0"/>
    <n v="0"/>
    <n v="0"/>
    <n v="0"/>
    <m/>
    <n v="33.332024049288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.09236622468518"/>
    <n v="0"/>
    <n v="2.77"/>
    <n v="13.38"/>
    <n v="1193.54"/>
    <n v="108"/>
    <m/>
    <m/>
    <m/>
    <m/>
    <m/>
    <m/>
    <m/>
    <n v="788.70990000000063"/>
    <m/>
    <n v="3084.4713103515928"/>
    <m/>
    <m/>
    <m/>
    <m/>
    <m/>
    <m/>
    <m/>
    <m/>
    <m/>
    <m/>
    <m/>
    <m/>
    <n v="7100.1594000000005"/>
    <n v="-4785.7709699999996"/>
    <m/>
    <m/>
    <m/>
    <m/>
    <n v="-5318.0979299999999"/>
    <n v="0"/>
    <n v="31"/>
    <n v="-170.40951630375093"/>
    <n v="0"/>
    <n v="0"/>
    <n v="0"/>
    <n v="0"/>
    <n v="0"/>
    <n v="0"/>
    <n v="0"/>
    <n v="-168.6784156031672"/>
    <n v="0"/>
    <n v="0"/>
    <n v="0"/>
    <n v="0"/>
    <n v="0"/>
    <n v="0"/>
    <n v="0"/>
    <n v="0"/>
    <n v="0"/>
    <m/>
    <n v="0"/>
    <n v="0"/>
    <n v="0"/>
    <n v="0"/>
    <n v="0"/>
    <n v="-1.7311007005834043"/>
    <n v="0"/>
    <n v="0"/>
    <m/>
    <m/>
    <m/>
    <n v="8256.4258739103807"/>
    <n v="0"/>
    <n v="0"/>
    <n v="-5318.0979299999999"/>
    <n v="0"/>
    <n v="0"/>
    <n v="0"/>
    <n v="-5147.6909470330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1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6.5069999999999997"/>
    <n v="6.5069999999999997"/>
    <n v="6.5069999999999997"/>
    <n v="6.5069999999999997"/>
    <m/>
    <n v="753.62"/>
    <n v="185.74"/>
    <m/>
    <n v="6112.4155199999996"/>
    <n v="6112.4155199999996"/>
    <n v="3651.0126300000002"/>
    <n v="0"/>
    <n v="0"/>
    <n v="0"/>
    <n v="0"/>
    <n v="0"/>
    <n v="848.06841257632414"/>
    <n v="3821.3644755341661"/>
    <n v="1208.6380816156047"/>
    <n v="0"/>
    <n v="0"/>
    <n v="0"/>
    <n v="0"/>
    <n v="0"/>
    <n v="0"/>
    <m/>
    <n v="15.427233835174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.96379735571708"/>
    <n v="0"/>
    <n v="1.8"/>
    <n v="6.44"/>
    <n v="749.36"/>
    <n v="65"/>
    <m/>
    <m/>
    <m/>
    <m/>
    <m/>
    <m/>
    <m/>
    <m/>
    <m/>
    <n v="1427.6018789713219"/>
    <m/>
    <m/>
    <m/>
    <m/>
    <m/>
    <m/>
    <m/>
    <m/>
    <m/>
    <m/>
    <m/>
    <m/>
    <n v="3652.6958999999997"/>
    <n v="-2459.7496200000005"/>
    <m/>
    <m/>
    <m/>
    <m/>
    <n v="-2461.4028899999998"/>
    <n v="0"/>
    <n v="31"/>
    <n v="-78.871521629454946"/>
    <n v="0"/>
    <n v="0"/>
    <n v="0"/>
    <n v="0"/>
    <n v="0"/>
    <n v="0"/>
    <n v="0"/>
    <n v="-78.07030729993653"/>
    <n v="0"/>
    <n v="0"/>
    <n v="0"/>
    <n v="0"/>
    <n v="0"/>
    <n v="0"/>
    <n v="0"/>
    <n v="0"/>
    <n v="0"/>
    <m/>
    <n v="0"/>
    <n v="0"/>
    <n v="0"/>
    <n v="0"/>
    <n v="0"/>
    <n v="-0.80121432951818861"/>
    <n v="0"/>
    <n v="0"/>
    <m/>
    <m/>
    <m/>
    <n v="3821.3644755341661"/>
    <n v="0"/>
    <n v="0"/>
    <n v="-2461.4028899999998"/>
    <n v="0"/>
    <n v="0"/>
    <n v="0"/>
    <n v="-2382.5325408879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2"/>
    <s v="Regular"/>
    <s v="Branca"/>
    <s v="B1"/>
    <s v="Residencial"/>
    <s v="Residencial"/>
    <s v="Não se aplica"/>
    <s v="Não se aplica"/>
    <s v="Ponta"/>
    <s v="CATIVO"/>
    <x v="11"/>
    <n v="0"/>
    <n v="0"/>
    <n v="7.3999999999999996E-2"/>
    <n v="7.3999999999999996E-2"/>
    <n v="7.3999999999999996E-2"/>
    <n v="7.3999999999999996E-2"/>
    <m/>
    <n v="2045.69"/>
    <n v="185.74"/>
    <m/>
    <n v="165.12581999999998"/>
    <n v="165.12581999999998"/>
    <n v="89.238079999999997"/>
    <n v="0"/>
    <n v="4.6135422905201544"/>
    <n v="0"/>
    <n v="0"/>
    <n v="0"/>
    <n v="26.052187297274422"/>
    <n v="117.3364659619441"/>
    <n v="13.745077307446557"/>
    <n v="0"/>
    <n v="0"/>
    <n v="0"/>
    <n v="0"/>
    <n v="0"/>
    <n v="0.71300437201817612"/>
    <m/>
    <n v="0.17544418377177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01369301249523"/>
    <n v="0"/>
    <n v="0"/>
    <n v="0"/>
    <n v="0"/>
    <n v="0"/>
    <m/>
    <m/>
    <m/>
    <m/>
    <m/>
    <m/>
    <m/>
    <m/>
    <m/>
    <n v="16.235214237571508"/>
    <m/>
    <m/>
    <m/>
    <m/>
    <m/>
    <m/>
    <m/>
    <m/>
    <m/>
    <m/>
    <m/>
    <m/>
    <n v="84.414400000000001"/>
    <n v="-80.741419999999948"/>
    <m/>
    <m/>
    <m/>
    <m/>
    <n v="-75.887740000000008"/>
    <n v="0"/>
    <n v="31"/>
    <n v="-2.7309552754729935"/>
    <n v="0"/>
    <n v="0"/>
    <n v="0"/>
    <n v="0"/>
    <n v="0"/>
    <n v="0"/>
    <n v="0"/>
    <n v="-2.398276174389057"/>
    <n v="0"/>
    <n v="0"/>
    <n v="0"/>
    <n v="0"/>
    <n v="0"/>
    <n v="0"/>
    <n v="0"/>
    <n v="0"/>
    <n v="-0.28534152457196527"/>
    <m/>
    <n v="0"/>
    <n v="0"/>
    <n v="0"/>
    <n v="0"/>
    <n v="-3.8225872134478034E-2"/>
    <n v="-9.1117043774928685E-3"/>
    <n v="0"/>
    <n v="0"/>
    <m/>
    <m/>
    <m/>
    <n v="117.3364659619441"/>
    <n v="0"/>
    <n v="0"/>
    <n v="-75.887739999999994"/>
    <n v="0"/>
    <n v="0"/>
    <n v="0"/>
    <n v="-73.156578017344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3"/>
    <s v="Regular"/>
    <s v="Branca"/>
    <s v="B1"/>
    <s v="Residencial"/>
    <s v="Residencial"/>
    <s v="Não se aplica"/>
    <s v="Não se aplica"/>
    <s v="Fora ponta"/>
    <s v="CATIVO"/>
    <x v="11"/>
    <n v="0"/>
    <n v="0"/>
    <n v="0.68"/>
    <n v="0.68"/>
    <n v="0.68"/>
    <n v="0.68"/>
    <m/>
    <n v="495.6"/>
    <n v="185.74"/>
    <m/>
    <n v="463.31120000000004"/>
    <n v="463.31120000000004"/>
    <n v="321.39519999999999"/>
    <n v="0"/>
    <n v="42.394712939914939"/>
    <n v="0"/>
    <n v="0"/>
    <n v="0"/>
    <n v="47.923484371589822"/>
    <n v="215.64522871181066"/>
    <n v="126.30611579815758"/>
    <n v="0"/>
    <n v="0"/>
    <n v="0"/>
    <n v="0"/>
    <n v="0"/>
    <n v="6.551932067194052"/>
    <m/>
    <n v="1.6121897968216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82339357904968"/>
    <n v="0"/>
    <n v="0"/>
    <n v="0"/>
    <n v="0"/>
    <n v="0"/>
    <m/>
    <m/>
    <m/>
    <m/>
    <m/>
    <m/>
    <m/>
    <m/>
    <m/>
    <n v="149.18845515606256"/>
    <m/>
    <m/>
    <m/>
    <m/>
    <m/>
    <m/>
    <m/>
    <m/>
    <m/>
    <m/>
    <m/>
    <m/>
    <n v="321.39519999999999"/>
    <n v="-141.94600000000003"/>
    <m/>
    <m/>
    <m/>
    <m/>
    <n v="-141.91600000000005"/>
    <n v="0"/>
    <n v="31"/>
    <n v="-7.4687249465634125"/>
    <n v="0"/>
    <n v="0"/>
    <n v="0"/>
    <n v="0"/>
    <n v="0"/>
    <n v="0"/>
    <n v="0"/>
    <n v="-4.4116737474137011"/>
    <n v="0"/>
    <n v="0"/>
    <n v="0"/>
    <n v="0"/>
    <n v="0"/>
    <n v="0"/>
    <n v="0"/>
    <n v="0"/>
    <n v="-2.6220572528234669"/>
    <m/>
    <n v="0"/>
    <n v="0"/>
    <n v="0"/>
    <n v="0"/>
    <n v="-0.35126477096547415"/>
    <n v="-8.3729175360745201E-2"/>
    <n v="0"/>
    <n v="0"/>
    <m/>
    <m/>
    <m/>
    <n v="215.64522871181066"/>
    <n v="0"/>
    <n v="0"/>
    <n v="-141.91600000000005"/>
    <n v="0"/>
    <n v="0"/>
    <n v="0"/>
    <n v="-134.4498223036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4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8"/>
    <n v="0.82"/>
    <n v="74.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445"/>
    <s v="Regular"/>
    <s v="Branca"/>
    <s v="B1"/>
    <s v="Residencial"/>
    <s v="Residencial"/>
    <s v="Não se aplica"/>
    <s v="Não se aplica"/>
    <s v="Intermediário"/>
    <s v="CATIVO"/>
    <x v="11"/>
    <n v="0"/>
    <n v="0"/>
    <n v="2.8000000000000001E-2"/>
    <n v="2.8000000000000001E-2"/>
    <n v="2.8000000000000001E-2"/>
    <n v="2.8000000000000001E-2"/>
    <m/>
    <n v="1270.6099999999999"/>
    <n v="185.74"/>
    <m/>
    <n v="40.777799999999999"/>
    <n v="40.777799999999999"/>
    <n v="23.499000000000002"/>
    <n v="0"/>
    <n v="1.7456646504670856"/>
    <n v="0"/>
    <n v="0"/>
    <n v="0"/>
    <n v="5.9145511901327321"/>
    <n v="26.638562880239967"/>
    <n v="5.2008400622770763"/>
    <n v="0"/>
    <n v="0"/>
    <n v="0"/>
    <n v="0"/>
    <n v="0"/>
    <n v="0.26978543806093153"/>
    <m/>
    <n v="6.63842857514807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221397356079284"/>
    <n v="0"/>
    <n v="0"/>
    <n v="0"/>
    <n v="0"/>
    <n v="0"/>
    <m/>
    <m/>
    <m/>
    <m/>
    <m/>
    <m/>
    <m/>
    <m/>
    <m/>
    <n v="6.1430540358378689"/>
    <m/>
    <m/>
    <m/>
    <m/>
    <m/>
    <m/>
    <m/>
    <m/>
    <m/>
    <m/>
    <m/>
    <m/>
    <n v="25.177500000000002"/>
    <n v="-15.630299999999991"/>
    <m/>
    <m/>
    <m/>
    <m/>
    <n v="-17.278799999999997"/>
    <n v="0"/>
    <n v="31"/>
    <n v="-0.67035214024582324"/>
    <n v="0"/>
    <n v="0"/>
    <n v="0"/>
    <n v="0"/>
    <n v="0"/>
    <n v="0"/>
    <n v="0"/>
    <n v="-0.5444735614573073"/>
    <n v="0"/>
    <n v="0"/>
    <n v="0"/>
    <n v="0"/>
    <n v="0"/>
    <n v="0"/>
    <n v="0"/>
    <n v="0"/>
    <n v="-0.10796706335155437"/>
    <m/>
    <n v="0"/>
    <n v="0"/>
    <n v="0"/>
    <n v="0"/>
    <n v="-1.4463843510343077E-2"/>
    <n v="-3.4476719266189199E-3"/>
    <n v="0"/>
    <n v="0"/>
    <m/>
    <m/>
    <m/>
    <n v="26.638562880239967"/>
    <n v="0"/>
    <n v="0"/>
    <n v="-17.278799999999993"/>
    <n v="0"/>
    <n v="0"/>
    <n v="0"/>
    <n v="-16.608529050553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6"/>
    <s v="Regular"/>
    <s v="Convencional"/>
    <s v="B3"/>
    <s v="Industrial"/>
    <s v="Não se aplica"/>
    <s v="Não se aplica"/>
    <s v="Não se aplica"/>
    <s v="Não se aplica"/>
    <s v="CATIVO"/>
    <x v="11"/>
    <n v="0"/>
    <n v="0"/>
    <n v="39.868000000000002"/>
    <n v="39.868000000000002"/>
    <n v="39.868000000000002"/>
    <n v="39.868000000000002"/>
    <m/>
    <n v="825.6"/>
    <n v="185.74"/>
    <m/>
    <n v="40320.103120000007"/>
    <n v="40320.103120000007"/>
    <n v="25065.011600000002"/>
    <n v="0"/>
    <n v="2485.5770816007775"/>
    <n v="0"/>
    <n v="0"/>
    <n v="0"/>
    <n v="5196.0644648214065"/>
    <n v="23413.271693652398"/>
    <n v="7405.2532715308034"/>
    <n v="0"/>
    <n v="0"/>
    <n v="0"/>
    <n v="0"/>
    <n v="0"/>
    <n v="384.13592302190068"/>
    <m/>
    <n v="94.521739440715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1.5780963543461"/>
    <n v="0"/>
    <n v="10.1"/>
    <n v="47.66"/>
    <n v="5145.66"/>
    <n v="44"/>
    <m/>
    <m/>
    <m/>
    <m/>
    <m/>
    <m/>
    <m/>
    <m/>
    <m/>
    <n v="8746.83136788515"/>
    <m/>
    <m/>
    <m/>
    <m/>
    <m/>
    <m/>
    <m/>
    <m/>
    <m/>
    <m/>
    <m/>
    <m/>
    <n v="25066.268999999997"/>
    <n v="-15253.864120000017"/>
    <m/>
    <m/>
    <m/>
    <m/>
    <n v="-15255.091520000002"/>
    <n v="0"/>
    <n v="31"/>
    <n v="-657.56521918602266"/>
    <n v="0"/>
    <n v="0"/>
    <n v="0"/>
    <n v="0"/>
    <n v="0"/>
    <n v="0"/>
    <n v="0"/>
    <n v="-478.33210564528508"/>
    <n v="0"/>
    <n v="0"/>
    <n v="0"/>
    <n v="0"/>
    <n v="0"/>
    <n v="0"/>
    <n v="0"/>
    <n v="0"/>
    <n v="-153.72967434642032"/>
    <m/>
    <n v="0"/>
    <n v="0"/>
    <n v="0"/>
    <n v="0"/>
    <n v="-20.594446895369913"/>
    <n v="-4.9089922989443977"/>
    <n v="0"/>
    <n v="0"/>
    <m/>
    <m/>
    <m/>
    <n v="23413.271693652398"/>
    <n v="0"/>
    <n v="0"/>
    <n v="-15255.091520000005"/>
    <n v="0"/>
    <n v="0"/>
    <n v="0"/>
    <n v="-14597.634445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7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7.0250000000000004"/>
    <n v="7.0250000000000004"/>
    <n v="7.0250000000000004"/>
    <n v="7.0250000000000004"/>
    <m/>
    <n v="825.6"/>
    <n v="185.74"/>
    <m/>
    <n v="7104.6635000000006"/>
    <n v="7104.6635000000006"/>
    <n v="4416.6175000000003"/>
    <n v="0"/>
    <n v="437.97479176897417"/>
    <n v="0"/>
    <n v="0"/>
    <n v="0"/>
    <n v="915.58023641442719"/>
    <n v="4125.5702229333829"/>
    <n v="1304.8536227677307"/>
    <n v="0"/>
    <n v="0"/>
    <n v="0"/>
    <n v="0"/>
    <n v="0"/>
    <n v="67.687239370644434"/>
    <m/>
    <n v="16.6553431215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39475586659177"/>
    <n v="0"/>
    <n v="1.78"/>
    <n v="8.39"/>
    <n v="1434.91"/>
    <n v="3"/>
    <m/>
    <m/>
    <m/>
    <m/>
    <m/>
    <m/>
    <m/>
    <m/>
    <m/>
    <n v="1541.2483786343225"/>
    <m/>
    <m/>
    <m/>
    <m/>
    <m/>
    <m/>
    <m/>
    <m/>
    <m/>
    <m/>
    <m/>
    <m/>
    <n v="4419.7610000000004"/>
    <n v="-2684.9325000000008"/>
    <m/>
    <m/>
    <m/>
    <m/>
    <n v="-2688.0460000000003"/>
    <n v="0"/>
    <n v="31"/>
    <n v="-115.8672535562805"/>
    <n v="0"/>
    <n v="0"/>
    <n v="0"/>
    <n v="0"/>
    <n v="0"/>
    <n v="0"/>
    <n v="0"/>
    <n v="-84.285217270947328"/>
    <n v="0"/>
    <n v="0"/>
    <n v="0"/>
    <n v="0"/>
    <n v="0"/>
    <n v="0"/>
    <n v="0"/>
    <n v="0"/>
    <n v="-27.088165001595371"/>
    <m/>
    <n v="0"/>
    <n v="0"/>
    <n v="0"/>
    <n v="0"/>
    <n v="-3.6288750235771516"/>
    <n v="-0.86499626016063935"/>
    <n v="0"/>
    <n v="0"/>
    <m/>
    <m/>
    <m/>
    <n v="4125.5702229333829"/>
    <n v="0"/>
    <n v="0"/>
    <n v="-2688.0460000000003"/>
    <n v="0"/>
    <n v="0"/>
    <n v="0"/>
    <n v="-2572.197802326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8"/>
    <s v="Regular"/>
    <s v="Verde"/>
    <s v="A4"/>
    <s v="Industrial"/>
    <s v="Não se aplica"/>
    <s v="Não se aplica"/>
    <s v="Não se aplica"/>
    <s v="Ponta"/>
    <s v="CATIVO"/>
    <x v="11"/>
    <n v="0"/>
    <n v="0"/>
    <n v="1.976"/>
    <n v="1.976"/>
    <n v="1.976"/>
    <n v="1.976"/>
    <m/>
    <n v="4433.21"/>
    <n v="185.74"/>
    <m/>
    <n v="9127.0452000000005"/>
    <n v="9127.0452000000005"/>
    <n v="4763.3851200000008"/>
    <n v="0"/>
    <n v="107.17882192539186"/>
    <n v="0"/>
    <n v="0"/>
    <n v="0"/>
    <n v="1900.1669984574651"/>
    <n v="6705.9187075208365"/>
    <n v="367.03071296641082"/>
    <n v="0"/>
    <n v="0"/>
    <n v="0"/>
    <n v="0"/>
    <n v="0"/>
    <n v="19.039143771728597"/>
    <m/>
    <n v="2.0469016929639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672535423800916"/>
    <n v="0"/>
    <n v="0"/>
    <n v="0"/>
    <n v="0"/>
    <n v="0"/>
    <m/>
    <m/>
    <m/>
    <m/>
    <m/>
    <m/>
    <m/>
    <m/>
    <m/>
    <n v="392.70324839021174"/>
    <m/>
    <m/>
    <m/>
    <m/>
    <m/>
    <m/>
    <m/>
    <m/>
    <m/>
    <m/>
    <m/>
    <m/>
    <n v="4773.0276000000003"/>
    <n v="-4354.0476000000008"/>
    <m/>
    <m/>
    <m/>
    <m/>
    <n v="-4363.6600799999997"/>
    <n v="0"/>
    <n v="31"/>
    <n v="-182.67885097589033"/>
    <n v="0"/>
    <n v="0"/>
    <n v="0"/>
    <n v="0"/>
    <n v="0"/>
    <n v="0"/>
    <n v="0"/>
    <n v="-174.92294170008768"/>
    <n v="0"/>
    <n v="0"/>
    <n v="0"/>
    <n v="0"/>
    <n v="0"/>
    <n v="0"/>
    <n v="0"/>
    <n v="0"/>
    <n v="-6.6288692124615238"/>
    <m/>
    <n v="0"/>
    <n v="0"/>
    <n v="0"/>
    <n v="0"/>
    <n v="-1.0207340991584957"/>
    <n v="-0.10630596418253924"/>
    <n v="0"/>
    <n v="0"/>
    <m/>
    <m/>
    <m/>
    <n v="6705.9187075208365"/>
    <n v="0"/>
    <n v="0"/>
    <n v="-4363.6600799999997"/>
    <n v="0"/>
    <n v="0"/>
    <n v="0"/>
    <n v="-4180.9855195726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49"/>
    <s v="Regular"/>
    <s v="Verde"/>
    <s v="A4"/>
    <s v="Industrial"/>
    <s v="Não se aplica"/>
    <s v="Não se aplica"/>
    <s v="Não se aplica"/>
    <s v="Fora ponta"/>
    <s v="CATIVO"/>
    <x v="11"/>
    <n v="0"/>
    <n v="0"/>
    <n v="47.945"/>
    <n v="47.945"/>
    <n v="47.945"/>
    <n v="47.945"/>
    <m/>
    <n v="77.900000000000006"/>
    <n v="185.74"/>
    <m/>
    <n v="12640.219800000001"/>
    <n v="12640.219800000001"/>
    <n v="12452.2754"/>
    <n v="0"/>
    <n v="2600.5509196421622"/>
    <n v="0"/>
    <n v="0"/>
    <n v="0"/>
    <n v="0"/>
    <n v="0"/>
    <n v="8905.5098852098017"/>
    <n v="0"/>
    <n v="0"/>
    <n v="0"/>
    <n v="0"/>
    <n v="0"/>
    <n v="461.95938670826297"/>
    <m/>
    <n v="49.665334852812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2.90977271970394"/>
    <n v="0"/>
    <n v="0"/>
    <n v="0"/>
    <n v="0"/>
    <n v="0"/>
    <m/>
    <m/>
    <m/>
    <m/>
    <m/>
    <m/>
    <m/>
    <m/>
    <m/>
    <n v="9528.4196579295058"/>
    <m/>
    <m/>
    <m/>
    <m/>
    <m/>
    <m/>
    <m/>
    <m/>
    <m/>
    <m/>
    <m/>
    <m/>
    <n v="12453.574000000001"/>
    <n v="-186.67580000000089"/>
    <m/>
    <m/>
    <m/>
    <m/>
    <n v="-187.94440000000009"/>
    <n v="0"/>
    <n v="31"/>
    <n v="-188.18677643135197"/>
    <n v="0"/>
    <n v="0"/>
    <n v="0"/>
    <n v="0"/>
    <n v="0"/>
    <n v="0"/>
    <n v="0"/>
    <n v="0"/>
    <n v="0"/>
    <n v="0"/>
    <n v="0"/>
    <n v="0"/>
    <n v="0"/>
    <n v="0"/>
    <n v="0"/>
    <n v="0"/>
    <n v="-160.84065505641047"/>
    <m/>
    <n v="0"/>
    <n v="0"/>
    <n v="0"/>
    <n v="0"/>
    <n v="-24.766749182264277"/>
    <n v="-2.5793721926780577"/>
    <n v="0"/>
    <n v="0"/>
    <m/>
    <m/>
    <m/>
    <n v="0"/>
    <n v="0"/>
    <n v="0"/>
    <n v="-187.944400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0"/>
    <s v="Regular"/>
    <s v="Verde"/>
    <s v="A4"/>
    <s v="Industrial"/>
    <s v="Não se aplica"/>
    <s v="Não se aplica"/>
    <s v="Não se aplica"/>
    <s v="Não se aplica"/>
    <s v="CATIVO"/>
    <x v="11"/>
    <n v="305"/>
    <n v="305"/>
    <n v="0"/>
    <n v="0"/>
    <n v="0"/>
    <n v="0"/>
    <n v="55.59"/>
    <m/>
    <m/>
    <n v="16954.95"/>
    <m/>
    <n v="16954.95"/>
    <n v="9000.5500000000011"/>
    <n v="0"/>
    <n v="0"/>
    <n v="0"/>
    <n v="0"/>
    <n v="0"/>
    <n v="4927.1746024716185"/>
    <n v="12026.3705566519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.86"/>
    <n v="51.62"/>
    <n v="5363.79"/>
    <n v="5"/>
    <m/>
    <m/>
    <m/>
    <m/>
    <m/>
    <m/>
    <m/>
    <m/>
    <m/>
    <n v="0"/>
    <m/>
    <m/>
    <m/>
    <m/>
    <m/>
    <m/>
    <m/>
    <m/>
    <m/>
    <m/>
    <m/>
    <m/>
    <n v="9000.5500000000011"/>
    <n v="-7954.4299999999948"/>
    <m/>
    <m/>
    <m/>
    <m/>
    <n v="-7954.4000000000005"/>
    <n v="0"/>
    <n v="31"/>
    <n v="-453.57901512550416"/>
    <n v="0"/>
    <n v="0"/>
    <n v="0"/>
    <n v="0"/>
    <m/>
    <m/>
    <m/>
    <n v="-453.579015125504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026.370556651927"/>
    <m/>
    <n v="0"/>
    <n v="0"/>
    <n v="-7954.4"/>
    <m/>
    <n v="0"/>
    <m/>
    <n v="-7498.1644340520315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451"/>
    <s v="Regular"/>
    <s v="Convencional"/>
    <s v="B3"/>
    <s v="Comercial"/>
    <s v="Não se aplica"/>
    <s v="Não se aplica"/>
    <s v="Não se aplica"/>
    <s v="Não se aplica"/>
    <s v="CATIVO"/>
    <x v="11"/>
    <n v="0"/>
    <n v="0"/>
    <n v="132.239"/>
    <n v="132.239"/>
    <n v="132.239"/>
    <n v="132.239"/>
    <m/>
    <n v="825.6"/>
    <n v="185.74"/>
    <m/>
    <n v="133738.59026"/>
    <n v="133738.59026"/>
    <n v="83138.659299999999"/>
    <n v="0"/>
    <n v="8244.4624183256055"/>
    <n v="0"/>
    <n v="0"/>
    <n v="0"/>
    <n v="17234.934502947679"/>
    <n v="77659.968784411045"/>
    <n v="24562.63889269494"/>
    <n v="0"/>
    <n v="0"/>
    <n v="0"/>
    <n v="0"/>
    <n v="0"/>
    <n v="1274.1484479906974"/>
    <m/>
    <n v="313.52112726750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9.9083446323457"/>
    <n v="0"/>
    <n v="33.76"/>
    <n v="157.46"/>
    <n v="16663.7"/>
    <n v="352"/>
    <m/>
    <m/>
    <m/>
    <m/>
    <m/>
    <m/>
    <m/>
    <m/>
    <m/>
    <n v="29012.547237327286"/>
    <m/>
    <m/>
    <m/>
    <m/>
    <m/>
    <m/>
    <m/>
    <m/>
    <m/>
    <m/>
    <m/>
    <m/>
    <n v="83139.288"/>
    <n v="-50599.332259999996"/>
    <m/>
    <m/>
    <m/>
    <m/>
    <n v="-50599.930960000005"/>
    <n v="0"/>
    <n v="31"/>
    <n v="-2181.0917783671102"/>
    <n v="0"/>
    <n v="0"/>
    <n v="0"/>
    <n v="0"/>
    <n v="0"/>
    <n v="0"/>
    <n v="0"/>
    <n v="-1586.5897290665926"/>
    <n v="0"/>
    <n v="0"/>
    <n v="0"/>
    <n v="0"/>
    <n v="0"/>
    <n v="0"/>
    <n v="0"/>
    <n v="0"/>
    <n v="-509.90916037665102"/>
    <m/>
    <n v="0"/>
    <n v="0"/>
    <n v="0"/>
    <n v="0"/>
    <n v="-68.310150070152076"/>
    <n v="-16.282738853719934"/>
    <n v="0"/>
    <n v="0"/>
    <m/>
    <m/>
    <m/>
    <n v="77659.968784411045"/>
    <n v="0"/>
    <n v="0"/>
    <n v="-50599.930960000005"/>
    <n v="0"/>
    <n v="0"/>
    <n v="0"/>
    <n v="-48419.197890653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2"/>
    <s v="Refaturamento - Regular"/>
    <s v="Convencional"/>
    <s v="B3"/>
    <s v="Comercial"/>
    <s v="Não se aplica"/>
    <s v="Não se aplica"/>
    <s v="Não se aplica"/>
    <s v="Não se aplica"/>
    <s v="CATIVO"/>
    <x v="11"/>
    <n v="0"/>
    <n v="0"/>
    <n v="-0.224"/>
    <n v="-0.224"/>
    <n v="-0.224"/>
    <n v="-0.224"/>
    <m/>
    <n v="825.6"/>
    <n v="185.74"/>
    <m/>
    <n v="-226.54016000000001"/>
    <n v="-226.54016000000001"/>
    <n v="-140.8288"/>
    <n v="0"/>
    <n v="-13.965317203736685"/>
    <n v="0"/>
    <n v="0"/>
    <n v="0"/>
    <n v="-29.19430220026074"/>
    <n v="-131.54843130776908"/>
    <n v="-41.60672049821661"/>
    <n v="0"/>
    <n v="0"/>
    <n v="0"/>
    <n v="0"/>
    <n v="0"/>
    <n v="-2.1582835044874522"/>
    <m/>
    <n v="-0.53107428601184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377117884863427"/>
    <n v="0"/>
    <n v="-7.0000000000000007E-2"/>
    <n v="-0.35"/>
    <n v="-28.93"/>
    <n v="0"/>
    <m/>
    <m/>
    <m/>
    <m/>
    <m/>
    <m/>
    <m/>
    <m/>
    <m/>
    <n v="-49.144432286702951"/>
    <m/>
    <m/>
    <m/>
    <m/>
    <m/>
    <m/>
    <m/>
    <m/>
    <m/>
    <m/>
    <m/>
    <m/>
    <n v="-138.31399999999999"/>
    <n v="88.196160000000049"/>
    <m/>
    <m/>
    <m/>
    <m/>
    <n v="85.711360000000013"/>
    <n v="0"/>
    <n v="31"/>
    <n v="3.694557266420901"/>
    <n v="0"/>
    <n v="0"/>
    <n v="0"/>
    <n v="0"/>
    <n v="0"/>
    <n v="0"/>
    <n v="0"/>
    <n v="2.6875286361127699"/>
    <n v="0"/>
    <n v="0"/>
    <n v="0"/>
    <n v="0"/>
    <n v="0"/>
    <n v="0"/>
    <n v="0"/>
    <n v="0"/>
    <n v="0.86373650681243497"/>
    <m/>
    <n v="0"/>
    <n v="0"/>
    <n v="0"/>
    <n v="0"/>
    <n v="0.11571074808274462"/>
    <n v="2.7581375412951359E-2"/>
    <n v="0"/>
    <n v="0"/>
    <m/>
    <m/>
    <m/>
    <n v="-131.54843130776908"/>
    <n v="0"/>
    <n v="0"/>
    <n v="85.711360000000013"/>
    <n v="0"/>
    <n v="0"/>
    <n v="0"/>
    <n v="82.017410351760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3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4.9050000000000002"/>
    <n v="4.9050000000000002"/>
    <n v="4.9050000000000002"/>
    <n v="4.9050000000000002"/>
    <m/>
    <n v="825.6"/>
    <n v="185.74"/>
    <m/>
    <n v="4960.6226999999999"/>
    <n v="4960.6226999999999"/>
    <n v="3083.7735000000002"/>
    <n v="0"/>
    <n v="305.80303966218054"/>
    <n v="0"/>
    <n v="0"/>
    <n v="0"/>
    <n v="639.27701916195952"/>
    <n v="2880.5582837705683"/>
    <n v="911.07573233818073"/>
    <n v="0"/>
    <n v="0"/>
    <n v="0"/>
    <n v="0"/>
    <n v="0"/>
    <n v="47.260627631745329"/>
    <m/>
    <n v="11.629104343250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05569786841747"/>
    <n v="0"/>
    <n v="1.1599999999999999"/>
    <n v="5.46"/>
    <n v="1638.19"/>
    <n v="13"/>
    <m/>
    <m/>
    <m/>
    <m/>
    <m/>
    <m/>
    <m/>
    <m/>
    <m/>
    <n v="1076.1314302065982"/>
    <m/>
    <m/>
    <m/>
    <m/>
    <m/>
    <m/>
    <m/>
    <m/>
    <m/>
    <m/>
    <m/>
    <m/>
    <n v="3086.9169999999999"/>
    <n v="-1873.7357000000006"/>
    <m/>
    <m/>
    <m/>
    <m/>
    <n v="-1876.8492000000003"/>
    <n v="0"/>
    <n v="31"/>
    <n v="-80.900907999083302"/>
    <n v="0"/>
    <n v="0"/>
    <n v="0"/>
    <n v="0"/>
    <n v="0"/>
    <n v="0"/>
    <n v="0"/>
    <n v="-58.849678393451541"/>
    <n v="0"/>
    <n v="0"/>
    <n v="0"/>
    <n v="0"/>
    <n v="0"/>
    <n v="0"/>
    <n v="0"/>
    <n v="0"/>
    <n v="-18.913515919263375"/>
    <m/>
    <n v="0"/>
    <n v="0"/>
    <n v="0"/>
    <n v="0"/>
    <n v="-2.5337554435083121"/>
    <n v="-0.60395824285949118"/>
    <n v="0"/>
    <n v="0"/>
    <m/>
    <m/>
    <m/>
    <n v="2880.5582837705683"/>
    <n v="0"/>
    <n v="0"/>
    <n v="-1876.8492000000001"/>
    <n v="0"/>
    <n v="0"/>
    <n v="0"/>
    <n v="-1795.961597211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4"/>
    <s v="Regular"/>
    <s v="Azul"/>
    <s v="A4"/>
    <s v="Comercial"/>
    <s v="Não se aplica"/>
    <s v="Não se aplica"/>
    <s v="Não se aplica"/>
    <s v="Ponta"/>
    <s v="CATIVO"/>
    <x v="11"/>
    <n v="533"/>
    <n v="533"/>
    <n v="35.159999999999997"/>
    <n v="35.159999999999997"/>
    <n v="35.159999999999997"/>
    <n v="35.159999999999997"/>
    <n v="181.08"/>
    <n v="77.900000000000006"/>
    <n v="185.74"/>
    <n v="96515.64"/>
    <n v="9269.5823999999993"/>
    <n v="105785.2224"/>
    <n v="56792.6152"/>
    <n v="0"/>
    <n v="1907.0887545024177"/>
    <n v="0"/>
    <n v="0"/>
    <n v="0"/>
    <n v="21303.166762598841"/>
    <n v="75211.310115191183"/>
    <n v="6530.7691639164996"/>
    <n v="0"/>
    <n v="0"/>
    <n v="0"/>
    <n v="0"/>
    <n v="0"/>
    <n v="338.77342865079828"/>
    <m/>
    <n v="36.421590852536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6.80483071904865"/>
    <n v="0"/>
    <n v="0"/>
    <n v="0"/>
    <n v="0"/>
    <n v="0"/>
    <m/>
    <m/>
    <m/>
    <m/>
    <m/>
    <m/>
    <m/>
    <m/>
    <m/>
    <n v="6987.5739946355479"/>
    <m/>
    <m/>
    <m/>
    <m/>
    <m/>
    <m/>
    <m/>
    <m/>
    <m/>
    <m/>
    <m/>
    <m/>
    <n v="56792.6152"/>
    <n v="-48992.637199999983"/>
    <m/>
    <m/>
    <m/>
    <m/>
    <n v="-48992.607200000006"/>
    <n v="0"/>
    <n v="31"/>
    <n v="-2099.1023640842395"/>
    <n v="0"/>
    <n v="0"/>
    <n v="0"/>
    <n v="0"/>
    <n v="0"/>
    <n v="0"/>
    <n v="0"/>
    <n v="-1961.0974196828174"/>
    <n v="0"/>
    <n v="0"/>
    <n v="0"/>
    <n v="0"/>
    <n v="0"/>
    <n v="0"/>
    <n v="0"/>
    <n v="0"/>
    <n v="-117.9509319383335"/>
    <m/>
    <n v="0"/>
    <n v="0"/>
    <n v="0"/>
    <n v="0"/>
    <n v="-18.162454922273639"/>
    <n v="-1.8915575408188658"/>
    <n v="0"/>
    <n v="0"/>
    <m/>
    <m/>
    <n v="75211.310115191183"/>
    <n v="0"/>
    <n v="0"/>
    <n v="0"/>
    <n v="-48992.607199999991"/>
    <n v="0"/>
    <n v="0"/>
    <n v="0"/>
    <n v="-46892.51573345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5"/>
    <s v="Regular"/>
    <s v="Azul"/>
    <s v="A4"/>
    <s v="Comercial"/>
    <s v="Não se aplica"/>
    <s v="Não se aplica"/>
    <s v="Não se aplica"/>
    <s v="Fora ponta"/>
    <s v="CATIVO"/>
    <x v="11"/>
    <n v="530"/>
    <n v="530"/>
    <n v="312.01100000000002"/>
    <n v="312.01100000000002"/>
    <n v="312.01100000000002"/>
    <n v="312.01100000000002"/>
    <n v="55.59"/>
    <n v="77.900000000000006"/>
    <n v="185.74"/>
    <n v="29462.7"/>
    <n v="82258.580040000015"/>
    <n v="111721.28004000001"/>
    <n v="96675.796920000008"/>
    <n v="0"/>
    <n v="16923.568526196075"/>
    <n v="0"/>
    <n v="0"/>
    <n v="0"/>
    <n v="8561.9755387211735"/>
    <n v="20898.283262378762"/>
    <n v="57954.261023969033"/>
    <n v="0"/>
    <n v="0"/>
    <n v="0"/>
    <n v="0"/>
    <n v="0"/>
    <n v="3006.2865826724756"/>
    <m/>
    <n v="323.2063988478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3.7011387224438"/>
    <n v="0"/>
    <n v="0"/>
    <n v="0"/>
    <n v="0"/>
    <n v="0"/>
    <m/>
    <m/>
    <m/>
    <m/>
    <m/>
    <m/>
    <m/>
    <m/>
    <m/>
    <n v="62007.962162691474"/>
    <m/>
    <m/>
    <m/>
    <m/>
    <m/>
    <m/>
    <m/>
    <m/>
    <m/>
    <m/>
    <m/>
    <m/>
    <n v="96675.537199999992"/>
    <n v="-15045.77284000002"/>
    <m/>
    <m/>
    <m/>
    <m/>
    <n v="-15045.483120000003"/>
    <n v="0"/>
    <n v="31"/>
    <n v="-2012.8469149824377"/>
    <n v="0"/>
    <n v="0"/>
    <n v="0"/>
    <n v="0"/>
    <n v="0"/>
    <n v="0"/>
    <n v="0"/>
    <n v="-788.18648530005612"/>
    <n v="0"/>
    <n v="0"/>
    <n v="0"/>
    <n v="0"/>
    <n v="0"/>
    <n v="0"/>
    <n v="0"/>
    <n v="0"/>
    <n v="-1046.7004614622128"/>
    <m/>
    <n v="0"/>
    <n v="0"/>
    <n v="0"/>
    <n v="0"/>
    <n v="-161.17422419663035"/>
    <n v="-16.785744023561847"/>
    <n v="0"/>
    <n v="0"/>
    <m/>
    <m/>
    <n v="20898.283262378762"/>
    <n v="0"/>
    <n v="0"/>
    <n v="0"/>
    <n v="-15045.483120000004"/>
    <n v="0"/>
    <n v="0"/>
    <n v="0"/>
    <n v="-13029.59721327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6"/>
    <s v="Regular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1.53"/>
    <n v="292.26"/>
    <n v="31505.7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457"/>
    <s v="Regular"/>
    <s v="Verde"/>
    <s v="A4"/>
    <s v="Comercial"/>
    <s v="Não se aplica"/>
    <s v="Não se aplica"/>
    <s v="Não se aplica"/>
    <s v="Ponta"/>
    <s v="CATIVO"/>
    <x v="11"/>
    <n v="0"/>
    <n v="0"/>
    <n v="8.0719999999999992"/>
    <n v="8.0719999999999992"/>
    <n v="8.0719999999999992"/>
    <n v="8.0719999999999992"/>
    <m/>
    <n v="4433.21"/>
    <n v="185.74"/>
    <m/>
    <n v="37284.164399999994"/>
    <n v="37284.164399999994"/>
    <n v="19458.524639999996"/>
    <n v="0"/>
    <n v="437.82765717700556"/>
    <n v="0"/>
    <n v="0"/>
    <n v="0"/>
    <n v="7762.2206536177409"/>
    <n v="27393.813667564871"/>
    <n v="1499.3278922393056"/>
    <n v="0"/>
    <n v="0"/>
    <n v="0"/>
    <n v="0"/>
    <n v="0"/>
    <n v="77.775287715279973"/>
    <m/>
    <n v="8.3616348510147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87282689317864"/>
    <n v="0"/>
    <n v="0"/>
    <n v="0"/>
    <n v="0"/>
    <n v="0"/>
    <m/>
    <m/>
    <m/>
    <m/>
    <m/>
    <m/>
    <m/>
    <m/>
    <m/>
    <n v="1604.2007191324842"/>
    <m/>
    <m/>
    <m/>
    <m/>
    <m/>
    <m/>
    <m/>
    <m/>
    <m/>
    <m/>
    <m/>
    <m/>
    <n v="19453.703400000002"/>
    <n v="-17830.490999999998"/>
    <m/>
    <m/>
    <m/>
    <m/>
    <n v="-17825.639759999998"/>
    <n v="0"/>
    <n v="31"/>
    <n v="-746.24680418895696"/>
    <n v="0"/>
    <n v="0"/>
    <n v="0"/>
    <n v="0"/>
    <n v="0"/>
    <n v="0"/>
    <n v="0"/>
    <n v="-714.56375779509381"/>
    <n v="0"/>
    <n v="0"/>
    <n v="0"/>
    <n v="0"/>
    <n v="0"/>
    <n v="0"/>
    <n v="0"/>
    <n v="0"/>
    <n v="-27.079064920541157"/>
    <m/>
    <n v="0"/>
    <n v="0"/>
    <n v="0"/>
    <n v="0"/>
    <n v="-4.169719457696047"/>
    <n v="-0.43426201562826705"/>
    <n v="0"/>
    <n v="0"/>
    <m/>
    <m/>
    <m/>
    <n v="27393.813667564871"/>
    <n v="0"/>
    <n v="0"/>
    <n v="-17825.639759999998"/>
    <n v="0"/>
    <n v="0"/>
    <n v="0"/>
    <n v="-17079.4104827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8"/>
    <s v="Regular"/>
    <s v="Verde"/>
    <s v="A4"/>
    <s v="Comercial"/>
    <s v="Não se aplica"/>
    <s v="Não se aplica"/>
    <s v="Não se aplica"/>
    <s v="Fora ponta"/>
    <s v="CATIVO"/>
    <x v="11"/>
    <n v="0"/>
    <n v="0"/>
    <n v="411.89800000000002"/>
    <n v="411.89800000000002"/>
    <n v="411.89800000000002"/>
    <n v="411.89800000000002"/>
    <m/>
    <n v="77.900000000000006"/>
    <n v="185.74"/>
    <m/>
    <n v="108592.78872000001"/>
    <n v="108592.78872000001"/>
    <n v="106978.14856000002"/>
    <n v="0"/>
    <n v="22341.468822583531"/>
    <n v="0"/>
    <n v="0"/>
    <n v="0"/>
    <n v="0"/>
    <n v="0"/>
    <n v="76507.700713278682"/>
    <n v="0"/>
    <n v="0"/>
    <n v="0"/>
    <n v="0"/>
    <n v="0"/>
    <n v="3968.7172273721994"/>
    <m/>
    <n v="426.67748660347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51.45040283034"/>
    <n v="0"/>
    <n v="0"/>
    <n v="0"/>
    <n v="0"/>
    <n v="0"/>
    <m/>
    <m/>
    <m/>
    <m/>
    <m/>
    <m/>
    <m/>
    <m/>
    <m/>
    <n v="81859.151116109017"/>
    <m/>
    <m/>
    <m/>
    <m/>
    <m/>
    <m/>
    <m/>
    <m/>
    <m/>
    <m/>
    <m/>
    <m/>
    <n v="106978.66800000001"/>
    <n v="-1614.1507200000051"/>
    <m/>
    <m/>
    <m/>
    <m/>
    <n v="-1614.6401600000008"/>
    <n v="0"/>
    <n v="31"/>
    <n v="-1616.7224285852717"/>
    <n v="0"/>
    <n v="0"/>
    <n v="0"/>
    <n v="0"/>
    <n v="0"/>
    <n v="0"/>
    <n v="0"/>
    <n v="0"/>
    <n v="0"/>
    <n v="0"/>
    <n v="0"/>
    <n v="0"/>
    <n v="0"/>
    <n v="0"/>
    <n v="0"/>
    <n v="0"/>
    <n v="-1381.7904710903204"/>
    <m/>
    <n v="0"/>
    <n v="0"/>
    <n v="0"/>
    <n v="0"/>
    <n v="-212.77243622226024"/>
    <n v="-22.159521272702136"/>
    <n v="0"/>
    <n v="0"/>
    <m/>
    <m/>
    <m/>
    <n v="0"/>
    <n v="0"/>
    <n v="0"/>
    <n v="-1614.64016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59"/>
    <s v="Regular"/>
    <s v="Verde"/>
    <s v="A4"/>
    <s v="Comercial"/>
    <s v="Não se aplica"/>
    <s v="Não se aplica"/>
    <s v="Não se aplica"/>
    <s v="Não se aplica"/>
    <s v="CATIVO"/>
    <x v="11"/>
    <n v="1196"/>
    <n v="1196"/>
    <n v="0"/>
    <n v="0"/>
    <n v="0"/>
    <n v="0"/>
    <n v="55.59"/>
    <m/>
    <m/>
    <n v="66485.64"/>
    <m/>
    <n v="66485.64"/>
    <n v="35293.96"/>
    <n v="0"/>
    <n v="0"/>
    <n v="0"/>
    <n v="0"/>
    <n v="0"/>
    <n v="19320.986310019856"/>
    <n v="47159.1448713301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83"/>
    <n v="308"/>
    <n v="32450.7"/>
    <n v="6"/>
    <m/>
    <m/>
    <m/>
    <m/>
    <m/>
    <m/>
    <m/>
    <m/>
    <m/>
    <n v="0"/>
    <m/>
    <m/>
    <m/>
    <m/>
    <m/>
    <m/>
    <m/>
    <m/>
    <m/>
    <m/>
    <m/>
    <m/>
    <n v="35293.96"/>
    <n v="-31191.709999999985"/>
    <m/>
    <m/>
    <m/>
    <m/>
    <n v="-31191.680000000004"/>
    <n v="0"/>
    <n v="31"/>
    <n v="-1778.6245970167329"/>
    <n v="0"/>
    <n v="0"/>
    <n v="0"/>
    <n v="0"/>
    <m/>
    <m/>
    <m/>
    <n v="-1778.62459701673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159.144871330187"/>
    <m/>
    <n v="0"/>
    <n v="0"/>
    <n v="-31191.68"/>
    <m/>
    <n v="0"/>
    <m/>
    <n v="-29402.638239758136"/>
    <m/>
    <n v="0"/>
    <n v="0"/>
    <m/>
    <n v="0"/>
    <n v="0"/>
    <n v="0"/>
    <n v="0"/>
    <n v="0"/>
    <m/>
    <m/>
    <n v="0"/>
    <n v="0"/>
    <m/>
    <n v="0"/>
    <m/>
    <n v="0"/>
    <m/>
    <n v="221"/>
    <m/>
    <m/>
    <m/>
    <m/>
    <n v="0"/>
    <m/>
    <m/>
    <m/>
    <m/>
    <n v="0"/>
    <n v="0"/>
    <n v="0"/>
    <n v="0"/>
  </r>
  <r>
    <n v="460"/>
    <s v="Regular"/>
    <s v="Convencional"/>
    <s v="B2"/>
    <s v="Rural"/>
    <s v="Não se aplica"/>
    <s v="Não se aplica"/>
    <s v="Não se aplica"/>
    <s v="Não se aplica"/>
    <s v="CATIVO"/>
    <x v="11"/>
    <n v="0"/>
    <n v="0"/>
    <n v="1362.568"/>
    <n v="1362.568"/>
    <n v="1362.568"/>
    <n v="1362.568"/>
    <m/>
    <n v="825.6"/>
    <n v="185.74"/>
    <m/>
    <n v="1378019.5211199999"/>
    <n v="1378019.5211199999"/>
    <n v="856646.50159999996"/>
    <n v="0"/>
    <n v="84949.528266344132"/>
    <n v="0"/>
    <n v="0"/>
    <n v="0"/>
    <n v="177585.81232323602"/>
    <n v="800195.01317037619"/>
    <n v="253089.22292774112"/>
    <n v="0"/>
    <n v="0"/>
    <n v="0"/>
    <n v="0"/>
    <n v="0"/>
    <n v="13128.607313135977"/>
    <m/>
    <n v="3230.4679809937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851.093197385082"/>
    <n v="0"/>
    <n v="304.07"/>
    <n v="1435.15"/>
    <n v="126082.84"/>
    <n v="5576"/>
    <m/>
    <m/>
    <m/>
    <m/>
    <m/>
    <n v="102792.12991999999"/>
    <m/>
    <m/>
    <m/>
    <n v="298940.31612512621"/>
    <m/>
    <m/>
    <m/>
    <m/>
    <m/>
    <m/>
    <m/>
    <m/>
    <m/>
    <m/>
    <m/>
    <m/>
    <n v="753855.4781999999"/>
    <n v="-458802.82044000004"/>
    <m/>
    <m/>
    <m/>
    <m/>
    <n v="-521373.01952000003"/>
    <n v="0"/>
    <n v="31"/>
    <n v="-22473.596006216947"/>
    <n v="0"/>
    <n v="0"/>
    <n v="0"/>
    <n v="0"/>
    <n v="0"/>
    <n v="0"/>
    <n v="0"/>
    <n v="-16347.948743977235"/>
    <n v="0"/>
    <n v="0"/>
    <n v="0"/>
    <n v="0"/>
    <n v="0"/>
    <n v="0"/>
    <n v="0"/>
    <n v="0"/>
    <n v="-5254.0166277428798"/>
    <m/>
    <n v="0"/>
    <n v="0"/>
    <n v="0"/>
    <n v="0"/>
    <n v="-703.85608300718377"/>
    <n v="-167.77455148961735"/>
    <n v="0"/>
    <n v="0"/>
    <m/>
    <m/>
    <m/>
    <n v="800195.01317037619"/>
    <n v="0"/>
    <n v="0"/>
    <n v="-521373.01951999997"/>
    <n v="0"/>
    <n v="0"/>
    <n v="0"/>
    <n v="-498903.11959007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1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39.896999999999998"/>
    <n v="39.896999999999998"/>
    <n v="39.896999999999998"/>
    <n v="39.896999999999998"/>
    <m/>
    <n v="825.6"/>
    <n v="185.74"/>
    <m/>
    <n v="40349.431980000001"/>
    <n v="40349.431980000001"/>
    <n v="25083.243899999998"/>
    <n v="0"/>
    <n v="2487.3850914173327"/>
    <n v="0"/>
    <n v="0"/>
    <n v="0"/>
    <n v="5199.8440843026901"/>
    <n v="23430.302517348493"/>
    <n v="7410.6398558810179"/>
    <n v="0"/>
    <n v="0"/>
    <n v="0"/>
    <n v="0"/>
    <n v="0"/>
    <n v="384.41534365417806"/>
    <m/>
    <n v="94.590494593815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2.5539608269626"/>
    <n v="0"/>
    <n v="7.56"/>
    <n v="35.54"/>
    <n v="11938.02"/>
    <n v="189"/>
    <m/>
    <m/>
    <m/>
    <m/>
    <m/>
    <n v="3009.8296799999998"/>
    <m/>
    <m/>
    <m/>
    <n v="8753.1938167079807"/>
    <m/>
    <m/>
    <m/>
    <m/>
    <m/>
    <m/>
    <m/>
    <m/>
    <m/>
    <m/>
    <m/>
    <m/>
    <n v="22075.074000000001"/>
    <n v="-13432.488059999996"/>
    <m/>
    <m/>
    <m/>
    <m/>
    <n v="-15266.188080000002"/>
    <n v="0"/>
    <n v="31"/>
    <n v="-658.04353240354794"/>
    <n v="0"/>
    <n v="0"/>
    <n v="0"/>
    <n v="0"/>
    <n v="0"/>
    <n v="0"/>
    <n v="0"/>
    <n v="-478.68004462049612"/>
    <n v="0"/>
    <n v="0"/>
    <n v="0"/>
    <n v="0"/>
    <n v="0"/>
    <n v="0"/>
    <n v="0"/>
    <n v="0"/>
    <n v="-153.84149737632015"/>
    <m/>
    <n v="0"/>
    <n v="0"/>
    <n v="0"/>
    <n v="0"/>
    <n v="-20.609427304719929"/>
    <n v="-4.9125631020112479"/>
    <n v="0"/>
    <n v="0"/>
    <m/>
    <m/>
    <m/>
    <n v="23430.302517348493"/>
    <n v="0"/>
    <n v="0"/>
    <n v="-15266.18808"/>
    <n v="0"/>
    <n v="0"/>
    <n v="0"/>
    <n v="-14608.252771447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2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21.1"/>
    <n v="21.1"/>
    <n v="21.1"/>
    <n v="21.1"/>
    <m/>
    <n v="825.6"/>
    <n v="185.74"/>
    <m/>
    <n v="21339.274000000001"/>
    <n v="21339.274000000001"/>
    <n v="13265.57"/>
    <n v="0"/>
    <n v="1315.4830044591251"/>
    <n v="0"/>
    <n v="0"/>
    <n v="0"/>
    <n v="2749.9990018995609"/>
    <n v="12391.392413365747"/>
    <n v="3919.2044755016541"/>
    <n v="0"/>
    <n v="0"/>
    <n v="0"/>
    <n v="0"/>
    <n v="0"/>
    <n v="203.30259796734487"/>
    <m/>
    <n v="50.025301048437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0.02553007616893"/>
    <n v="0"/>
    <n v="5.45"/>
    <n v="24.99"/>
    <n v="2003.07"/>
    <n v="92"/>
    <m/>
    <m/>
    <m/>
    <m/>
    <m/>
    <m/>
    <m/>
    <m/>
    <m/>
    <n v="4629.2300055778232"/>
    <m/>
    <m/>
    <m/>
    <m/>
    <m/>
    <m/>
    <m/>
    <m/>
    <m/>
    <m/>
    <m/>
    <m/>
    <n v="13265.57"/>
    <n v="-8073.7339999999967"/>
    <m/>
    <m/>
    <m/>
    <m/>
    <n v="-8073.7040000000015"/>
    <n v="0"/>
    <n v="31"/>
    <n v="-348.01409964947015"/>
    <n v="0"/>
    <n v="0"/>
    <n v="0"/>
    <n v="0"/>
    <n v="0"/>
    <n v="0"/>
    <n v="0"/>
    <n v="-253.15559920526539"/>
    <n v="0"/>
    <n v="0"/>
    <n v="0"/>
    <n v="0"/>
    <n v="0"/>
    <n v="0"/>
    <n v="0"/>
    <n v="0"/>
    <n v="-81.360894168492678"/>
    <m/>
    <n v="0"/>
    <n v="0"/>
    <n v="0"/>
    <n v="0"/>
    <n v="-10.899539216722843"/>
    <n v="-2.598067058987823"/>
    <n v="0"/>
    <n v="0"/>
    <m/>
    <m/>
    <m/>
    <n v="12391.392413365747"/>
    <n v="0"/>
    <n v="0"/>
    <n v="-8073.7039999999997"/>
    <n v="0"/>
    <n v="0"/>
    <n v="0"/>
    <n v="-7725.747135813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3"/>
    <s v="Refaturamento - Regular"/>
    <s v="Convencional"/>
    <s v="B3"/>
    <s v="Poder público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3.6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"/>
    <m/>
    <m/>
    <m/>
    <m/>
    <n v="0"/>
    <m/>
    <m/>
    <m/>
    <m/>
    <n v="0"/>
    <n v="0"/>
    <n v="0"/>
    <n v="0"/>
  </r>
  <r>
    <n v="464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76.28800000000001"/>
    <n v="276.28800000000001"/>
    <n v="276.28800000000001"/>
    <n v="276.28800000000001"/>
    <m/>
    <n v="454.08"/>
    <n v="102.16"/>
    <m/>
    <n v="153682.43711999999"/>
    <n v="153682.43711999999"/>
    <n v="95537.627520000009"/>
    <n v="0"/>
    <n v="9473.8716864834823"/>
    <n v="0"/>
    <n v="0"/>
    <n v="0"/>
    <n v="19804.997551196935"/>
    <n v="89240.576535886154"/>
    <n v="28225.404804268786"/>
    <n v="0"/>
    <n v="0"/>
    <n v="0"/>
    <n v="0"/>
    <n v="0"/>
    <n v="1464.1486968227944"/>
    <m/>
    <n v="360.27320885492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13.4759957121487"/>
    <n v="0"/>
    <n v="38.299999999999997"/>
    <n v="181.94"/>
    <n v="19613.07"/>
    <n v="9"/>
    <m/>
    <m/>
    <m/>
    <m/>
    <m/>
    <m/>
    <m/>
    <m/>
    <m/>
    <n v="33338.880799980936"/>
    <m/>
    <m/>
    <m/>
    <m/>
    <m/>
    <m/>
    <m/>
    <m/>
    <m/>
    <m/>
    <m/>
    <m/>
    <n v="95538.319100000008"/>
    <n v="-58144.148019999979"/>
    <m/>
    <m/>
    <m/>
    <m/>
    <n v="-58144.809600000001"/>
    <n v="0"/>
    <n v="31"/>
    <n v="-2506.3348701504437"/>
    <n v="0"/>
    <n v="0"/>
    <n v="0"/>
    <n v="0"/>
    <n v="0"/>
    <n v="0"/>
    <n v="0"/>
    <n v="-1823.1810334727015"/>
    <n v="0"/>
    <n v="0"/>
    <n v="0"/>
    <n v="0"/>
    <n v="0"/>
    <n v="0"/>
    <n v="0"/>
    <n v="0"/>
    <n v="-585.94650712860494"/>
    <m/>
    <n v="0"/>
    <n v="0"/>
    <n v="0"/>
    <n v="0"/>
    <n v="-78.496518488646871"/>
    <n v="-18.710811060498997"/>
    <n v="0"/>
    <n v="0"/>
    <m/>
    <m/>
    <m/>
    <n v="89240.576535886154"/>
    <n v="0"/>
    <n v="0"/>
    <n v="-58144.809599999993"/>
    <n v="0"/>
    <n v="0"/>
    <n v="0"/>
    <n v="-55639.439505343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5"/>
    <s v="Regular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123.929"/>
    <n v="123.929"/>
    <n v="123.929"/>
    <n v="123.929"/>
    <m/>
    <n v="495.36"/>
    <n v="111.45"/>
    <m/>
    <n v="75201.356490000006"/>
    <n v="75201.356490000006"/>
    <n v="46749.736669999998"/>
    <n v="0"/>
    <n v="4635.8244528800433"/>
    <n v="0"/>
    <n v="0"/>
    <n v="0"/>
    <n v="9691.1268144003279"/>
    <n v="43667.85413448359"/>
    <n v="13811.462315955741"/>
    <n v="0"/>
    <n v="0"/>
    <n v="0"/>
    <n v="0"/>
    <n v="0"/>
    <n v="716.44799043113915"/>
    <m/>
    <n v="176.29153176204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2.1636184874674"/>
    <n v="0"/>
    <n v="18.73"/>
    <n v="89.04"/>
    <n v="9597.33"/>
    <n v="6"/>
    <m/>
    <m/>
    <m/>
    <m/>
    <m/>
    <m/>
    <m/>
    <m/>
    <m/>
    <n v="16313.625934443209"/>
    <m/>
    <m/>
    <m/>
    <m/>
    <m/>
    <m/>
    <m/>
    <m/>
    <m/>
    <m/>
    <m/>
    <m/>
    <n v="46750.113899999997"/>
    <n v="-28451.272590000008"/>
    <m/>
    <m/>
    <m/>
    <m/>
    <n v="-28451.619820000007"/>
    <n v="0"/>
    <n v="31"/>
    <n v="-1226.4181807239693"/>
    <n v="0"/>
    <n v="0"/>
    <n v="0"/>
    <n v="0"/>
    <n v="0"/>
    <n v="0"/>
    <n v="0"/>
    <n v="-892.13232949506528"/>
    <n v="0"/>
    <n v="0"/>
    <n v="0"/>
    <n v="0"/>
    <n v="0"/>
    <n v="0"/>
    <n v="0"/>
    <n v="0"/>
    <n v="-286.71964701631987"/>
    <m/>
    <n v="0"/>
    <n v="0"/>
    <n v="0"/>
    <n v="0"/>
    <n v="-38.410492765570211"/>
    <n v="-9.1557114470128624"/>
    <n v="0"/>
    <n v="0"/>
    <m/>
    <m/>
    <m/>
    <n v="43667.85413448359"/>
    <n v="0"/>
    <n v="0"/>
    <n v="-28451.619820000007"/>
    <n v="0"/>
    <n v="0"/>
    <n v="0"/>
    <n v="-27225.89905575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6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3.62"/>
    <n v="3.4028"/>
    <n v="3.62"/>
    <n v="3.4028"/>
    <m/>
    <n v="825.6"/>
    <n v="185.74"/>
    <m/>
    <n v="3661.0508"/>
    <n v="3661.0508"/>
    <n v="2275.8940000000002"/>
    <n v="0"/>
    <n v="225.68950123895891"/>
    <n v="0"/>
    <n v="0"/>
    <n v="0"/>
    <n v="471.80077662921371"/>
    <n v="2125.9166130987678"/>
    <n v="672.39432233725063"/>
    <n v="0"/>
    <n v="0"/>
    <n v="0"/>
    <n v="0"/>
    <n v="0"/>
    <n v="34.879403063591866"/>
    <m/>
    <n v="8.5825398007271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81480658178822"/>
    <n v="0"/>
    <n v="0.77"/>
    <n v="3.68"/>
    <n v="0"/>
    <n v="5"/>
    <m/>
    <m/>
    <m/>
    <m/>
    <n v="136.55364000000003"/>
    <m/>
    <m/>
    <m/>
    <m/>
    <n v="794.2091289190389"/>
    <m/>
    <m/>
    <m/>
    <m/>
    <m/>
    <m/>
    <m/>
    <m/>
    <m/>
    <m/>
    <m/>
    <m/>
    <n v="2137.58"/>
    <n v="-1303.8377520000008"/>
    <m/>
    <m/>
    <m/>
    <m/>
    <n v="-1385.1568000000002"/>
    <n v="0"/>
    <n v="31"/>
    <n v="-59.706684394837566"/>
    <n v="0"/>
    <n v="0"/>
    <n v="0"/>
    <n v="0"/>
    <n v="0"/>
    <n v="0"/>
    <n v="0"/>
    <n v="-43.432382422893852"/>
    <n v="0"/>
    <n v="0"/>
    <n v="0"/>
    <n v="0"/>
    <n v="0"/>
    <n v="0"/>
    <n v="0"/>
    <n v="0"/>
    <n v="-13.958598904736647"/>
    <m/>
    <n v="0"/>
    <n v="0"/>
    <n v="0"/>
    <n v="0"/>
    <n v="-1.8699683395514981"/>
    <n v="-0.44573472765573108"/>
    <n v="0"/>
    <n v="0"/>
    <m/>
    <m/>
    <m/>
    <n v="2125.9166130987678"/>
    <n v="0"/>
    <n v="0"/>
    <n v="-1385.1568"/>
    <n v="0"/>
    <n v="0"/>
    <n v="0"/>
    <n v="-1325.459935148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7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0.6"/>
    <n v="0.6"/>
    <n v="0.6"/>
    <n v="0.6"/>
    <m/>
    <n v="825.6"/>
    <n v="185.74"/>
    <m/>
    <n v="606.80399999999997"/>
    <n v="606.80399999999997"/>
    <n v="377.21999999999997"/>
    <n v="0"/>
    <n v="37.407099652866115"/>
    <n v="0"/>
    <n v="0"/>
    <n v="0"/>
    <n v="78.199023750698402"/>
    <n v="352.36186957438139"/>
    <n v="111.4465727630802"/>
    <n v="0"/>
    <n v="0"/>
    <n v="0"/>
    <n v="0"/>
    <n v="0"/>
    <n v="5.7811165298771039"/>
    <m/>
    <n v="1.4225204089603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9029943344556"/>
    <n v="0"/>
    <n v="0.15"/>
    <n v="0.72"/>
    <n v="77.45"/>
    <n v="4"/>
    <m/>
    <m/>
    <m/>
    <m/>
    <m/>
    <m/>
    <m/>
    <m/>
    <m/>
    <n v="131.63687219652576"/>
    <m/>
    <m/>
    <m/>
    <m/>
    <m/>
    <m/>
    <m/>
    <m/>
    <m/>
    <m/>
    <m/>
    <m/>
    <n v="377.21999999999997"/>
    <n v="-229.61399999999998"/>
    <m/>
    <m/>
    <m/>
    <m/>
    <n v="-229.58400000000003"/>
    <n v="0"/>
    <n v="31"/>
    <n v="-9.8961355350560041"/>
    <n v="0"/>
    <n v="0"/>
    <n v="0"/>
    <n v="0"/>
    <n v="0"/>
    <n v="0"/>
    <n v="0"/>
    <n v="-7.1987374181591974"/>
    <n v="0"/>
    <n v="0"/>
    <n v="0"/>
    <n v="0"/>
    <n v="0"/>
    <n v="0"/>
    <n v="0"/>
    <n v="0"/>
    <n v="-2.3135799289618788"/>
    <m/>
    <n v="0"/>
    <n v="0"/>
    <n v="0"/>
    <n v="0"/>
    <n v="-0.3099395037930659"/>
    <n v="-7.3878684141833961E-2"/>
    <n v="0"/>
    <n v="0"/>
    <m/>
    <m/>
    <m/>
    <n v="352.36186957438139"/>
    <n v="0"/>
    <n v="0"/>
    <n v="-229.58400000000006"/>
    <n v="0"/>
    <n v="0"/>
    <n v="0"/>
    <n v="-219.68949201364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  <r>
    <n v="468"/>
    <s v="Regular"/>
    <s v="Convencional"/>
    <s v="B3"/>
    <s v="Serviço público"/>
    <s v="Tração elétrica"/>
    <s v="Não se aplica"/>
    <s v="Não se aplica"/>
    <s v="Não se aplica"/>
    <s v="CATIVO"/>
    <x v="11"/>
    <n v="0"/>
    <n v="0"/>
    <n v="7.4999999999999997E-2"/>
    <n v="7.4999999999999997E-2"/>
    <n v="7.4999999999999997E-2"/>
    <n v="7.4999999999999997E-2"/>
    <m/>
    <n v="825.6"/>
    <n v="185.74"/>
    <m/>
    <n v="75.850499999999997"/>
    <n v="75.850499999999997"/>
    <n v="47.152499999999996"/>
    <n v="0"/>
    <n v="4.6758874566082644"/>
    <n v="0"/>
    <n v="0"/>
    <n v="0"/>
    <n v="9.7748779688373002"/>
    <n v="44.045233696797673"/>
    <n v="13.930821595385025"/>
    <n v="0"/>
    <n v="0"/>
    <n v="0"/>
    <n v="0"/>
    <n v="0"/>
    <n v="0.72263956623463799"/>
    <m/>
    <n v="0.17781505112003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23787429180695"/>
    <n v="0"/>
    <n v="0.02"/>
    <n v="0.09"/>
    <n v="0"/>
    <n v="1"/>
    <m/>
    <m/>
    <m/>
    <m/>
    <m/>
    <m/>
    <m/>
    <m/>
    <m/>
    <n v="16.45460902456572"/>
    <m/>
    <m/>
    <m/>
    <m/>
    <m/>
    <m/>
    <m/>
    <m/>
    <m/>
    <m/>
    <m/>
    <m/>
    <n v="50.295999999999999"/>
    <n v="-25.584499999999998"/>
    <m/>
    <m/>
    <m/>
    <m/>
    <n v="-28.698000000000004"/>
    <n v="0"/>
    <n v="31"/>
    <n v="-1.2370169418820005"/>
    <n v="0"/>
    <n v="0"/>
    <n v="0"/>
    <n v="0"/>
    <n v="0"/>
    <n v="0"/>
    <n v="0"/>
    <n v="-0.89984217726989968"/>
    <n v="0"/>
    <n v="0"/>
    <n v="0"/>
    <n v="0"/>
    <n v="0"/>
    <n v="0"/>
    <n v="0"/>
    <n v="0"/>
    <n v="-0.28919749112023485"/>
    <m/>
    <n v="0"/>
    <n v="0"/>
    <n v="0"/>
    <n v="0"/>
    <n v="-3.8742437974133237E-2"/>
    <n v="-9.2348355177292452E-3"/>
    <n v="0"/>
    <n v="0"/>
    <m/>
    <m/>
    <m/>
    <n v="44.045233696797673"/>
    <n v="0"/>
    <n v="0"/>
    <n v="-28.698000000000008"/>
    <n v="0"/>
    <n v="0"/>
    <n v="0"/>
    <n v="-27.46118650170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252" totalsRowShown="0">
  <autoFilter ref="A1:X252" xr:uid="{BB6801E4-6272-476E-A69A-A8D66091D28D}">
    <filterColumn colId="6">
      <filters>
        <filter val="2022"/>
      </filters>
    </filterColumn>
    <filterColumn colId="8">
      <filters>
        <dateGroupItem year="2022" month="7" dateTimeGrouping="month"/>
        <dateGroupItem year="2022" month="8" dateTimeGrouping="month"/>
      </filters>
    </filterColumn>
  </autoFilter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3812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469" totalsRowShown="0" headerRowDxfId="447" dataDxfId="446" totalsRowDxfId="445">
  <autoFilter ref="A2:FI469" xr:uid="{00000000-000C-0000-FFFF-FFFF12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C-0000-FFFF-FFFF11000000}">
    <filterColumn colId="1">
      <filters>
        <filter val="(1.200.000,00)"/>
        <filter val="(1.345,24)"/>
        <filter val="(17.867.394,38)"/>
        <filter val="(241.337,59)"/>
        <filter val="(370.152,84)"/>
        <filter val="(38.909,61)"/>
        <filter val="(438.582,28)"/>
        <filter val="(494.687,62)"/>
        <filter val="(6.436,72)"/>
        <filter val="241.337,59"/>
        <filter val="319.108,76"/>
        <filter val="338.502,54"/>
        <filter val="349.379,41"/>
        <filter val="51.044,08"/>
      </filters>
    </filterColumn>
  </autoFilter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Vírgula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00000000-000C-0000-FFFF-FFFF15000000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2037</v>
      </c>
    </row>
    <row r="2" spans="1:15">
      <c r="A2">
        <v>252</v>
      </c>
      <c r="B2" s="907">
        <v>43922</v>
      </c>
      <c r="C2" s="232"/>
      <c r="D2" s="232"/>
      <c r="E2" s="232"/>
      <c r="F2" s="232"/>
      <c r="G2" s="232"/>
      <c r="H2" s="232"/>
      <c r="I2" s="908"/>
    </row>
    <row r="3" spans="1:15">
      <c r="A3">
        <v>255</v>
      </c>
      <c r="B3" s="907">
        <v>43922</v>
      </c>
      <c r="C3" s="232"/>
      <c r="D3" s="232"/>
      <c r="E3" s="232"/>
      <c r="F3" s="232"/>
      <c r="G3" s="232"/>
      <c r="H3" s="232"/>
      <c r="I3" s="908"/>
    </row>
    <row r="4" spans="1:15">
      <c r="A4">
        <v>206</v>
      </c>
      <c r="B4" s="907">
        <v>43922</v>
      </c>
      <c r="C4" s="232"/>
      <c r="D4" s="232"/>
      <c r="E4" s="232"/>
      <c r="F4" s="232"/>
      <c r="G4" s="232"/>
      <c r="H4" s="232"/>
      <c r="I4" s="908"/>
    </row>
    <row r="5" spans="1:15">
      <c r="A5">
        <v>256</v>
      </c>
      <c r="B5" s="907">
        <v>43922</v>
      </c>
      <c r="C5" s="232"/>
      <c r="D5" s="232"/>
      <c r="E5" s="232"/>
      <c r="F5" s="232"/>
      <c r="G5" s="232"/>
      <c r="H5" s="232"/>
      <c r="I5" s="908"/>
      <c r="J5" s="232">
        <v>4154376.2782662762</v>
      </c>
    </row>
    <row r="6" spans="1:15">
      <c r="A6">
        <v>203</v>
      </c>
      <c r="B6" s="907">
        <v>43952</v>
      </c>
      <c r="C6" s="232"/>
      <c r="D6" s="232"/>
      <c r="E6" s="232"/>
      <c r="F6" s="232"/>
      <c r="G6" s="232"/>
      <c r="H6" s="232"/>
      <c r="I6" s="908"/>
      <c r="J6" s="232"/>
    </row>
    <row r="7" spans="1:15">
      <c r="A7">
        <v>211</v>
      </c>
      <c r="B7" s="907">
        <v>43952</v>
      </c>
      <c r="C7" s="232"/>
      <c r="D7" s="232"/>
      <c r="E7" s="232"/>
      <c r="F7" s="232"/>
      <c r="G7" s="232"/>
      <c r="H7" s="232"/>
      <c r="I7" s="908"/>
      <c r="J7" s="232">
        <v>18046086.986190885</v>
      </c>
      <c r="N7" s="232"/>
      <c r="O7" s="908"/>
    </row>
    <row r="8" spans="1:15">
      <c r="A8">
        <v>254</v>
      </c>
      <c r="B8" s="907">
        <v>43952</v>
      </c>
      <c r="C8" s="232"/>
      <c r="D8" s="232"/>
      <c r="E8" s="232"/>
      <c r="F8" s="232"/>
      <c r="G8" s="232"/>
      <c r="H8" s="232"/>
      <c r="I8" s="908"/>
      <c r="N8" s="232"/>
      <c r="O8" s="908"/>
    </row>
    <row r="9" spans="1:15">
      <c r="A9">
        <v>210</v>
      </c>
      <c r="B9" s="907">
        <v>43952</v>
      </c>
      <c r="C9" s="232"/>
      <c r="D9" s="232"/>
      <c r="E9" s="232"/>
      <c r="F9" s="232"/>
      <c r="G9" s="232"/>
      <c r="H9" s="232"/>
      <c r="I9" s="908"/>
      <c r="N9" s="232"/>
      <c r="O9" s="908"/>
    </row>
    <row r="10" spans="1:15">
      <c r="A10">
        <v>258</v>
      </c>
      <c r="B10" s="907">
        <v>44013</v>
      </c>
      <c r="C10" s="232"/>
      <c r="D10" s="232"/>
      <c r="E10" s="232"/>
      <c r="F10" s="232"/>
      <c r="G10" s="232"/>
      <c r="H10" s="232"/>
      <c r="I10" s="908"/>
    </row>
    <row r="11" spans="1:15">
      <c r="A11">
        <v>247</v>
      </c>
      <c r="B11" s="907">
        <v>44013</v>
      </c>
      <c r="C11" s="232"/>
      <c r="D11" s="232"/>
      <c r="E11" s="232"/>
      <c r="F11" s="232"/>
      <c r="G11" s="232"/>
      <c r="H11" s="232"/>
      <c r="I11" s="908"/>
    </row>
    <row r="12" spans="1:15">
      <c r="A12">
        <v>248</v>
      </c>
      <c r="B12" s="907">
        <v>44013</v>
      </c>
      <c r="C12" s="232"/>
      <c r="D12" s="232"/>
      <c r="E12" s="232"/>
      <c r="F12" s="232"/>
      <c r="G12" s="232"/>
      <c r="H12" s="232"/>
      <c r="I12" s="909"/>
    </row>
    <row r="13" spans="1:15">
      <c r="A13">
        <v>209</v>
      </c>
      <c r="B13" s="907">
        <v>44013</v>
      </c>
      <c r="C13" s="232"/>
      <c r="D13" s="232"/>
      <c r="E13" s="232"/>
      <c r="F13" s="232"/>
      <c r="G13" s="232"/>
      <c r="H13" s="232"/>
      <c r="I13" s="908"/>
    </row>
    <row r="14" spans="1:15">
      <c r="A14">
        <v>207</v>
      </c>
      <c r="B14" s="907">
        <v>44013</v>
      </c>
      <c r="C14" s="232"/>
      <c r="D14" s="232"/>
      <c r="E14" s="232"/>
      <c r="F14" s="232"/>
      <c r="G14" s="232"/>
      <c r="H14" s="232"/>
      <c r="I14" s="908"/>
    </row>
    <row r="15" spans="1:15">
      <c r="A15">
        <v>249</v>
      </c>
      <c r="B15" s="907">
        <v>44013</v>
      </c>
      <c r="C15" s="232"/>
      <c r="D15" s="232"/>
      <c r="E15" s="232"/>
      <c r="F15" s="232"/>
      <c r="G15" s="232"/>
      <c r="H15" s="232"/>
      <c r="I15" s="908"/>
    </row>
    <row r="16" spans="1:15">
      <c r="A16">
        <v>237</v>
      </c>
      <c r="B16" s="907">
        <v>44013</v>
      </c>
      <c r="C16" s="232"/>
      <c r="D16" s="232"/>
      <c r="E16" s="232"/>
      <c r="F16" s="232"/>
      <c r="G16" s="232"/>
      <c r="H16" s="232"/>
      <c r="I16" s="909"/>
    </row>
    <row r="17" spans="1:10">
      <c r="A17">
        <v>246</v>
      </c>
      <c r="B17" s="907">
        <v>44013</v>
      </c>
      <c r="C17" s="232"/>
      <c r="D17" s="232"/>
      <c r="E17" s="232"/>
      <c r="F17" s="232"/>
      <c r="G17" s="232"/>
      <c r="H17" s="232"/>
      <c r="I17" s="908"/>
    </row>
    <row r="18" spans="1:10">
      <c r="A18">
        <v>238</v>
      </c>
      <c r="B18" s="907">
        <v>44013</v>
      </c>
      <c r="C18" s="232"/>
      <c r="D18" s="232"/>
      <c r="E18" s="232"/>
      <c r="F18" s="232"/>
      <c r="G18" s="232"/>
      <c r="H18" s="232"/>
      <c r="I18" s="908"/>
    </row>
    <row r="19" spans="1:10">
      <c r="A19">
        <v>240</v>
      </c>
      <c r="B19" s="907">
        <v>44013</v>
      </c>
      <c r="C19" s="232"/>
      <c r="D19" s="232"/>
      <c r="E19" s="232"/>
      <c r="F19" s="232"/>
      <c r="G19" s="232"/>
      <c r="H19" s="232"/>
      <c r="I19" s="908"/>
      <c r="J19" s="232">
        <v>81721407.839354143</v>
      </c>
    </row>
    <row r="20" spans="1:10">
      <c r="A20">
        <v>242</v>
      </c>
      <c r="B20" s="907">
        <v>44013</v>
      </c>
      <c r="C20" s="232"/>
      <c r="D20" s="232"/>
      <c r="E20" s="232"/>
      <c r="F20" s="232"/>
      <c r="G20" s="232"/>
      <c r="H20" s="232"/>
      <c r="I20" s="908"/>
    </row>
    <row r="21" spans="1:10">
      <c r="A21">
        <v>245</v>
      </c>
      <c r="B21" s="907">
        <v>44013</v>
      </c>
      <c r="C21" s="232"/>
      <c r="D21" s="232"/>
      <c r="E21" s="232"/>
      <c r="F21" s="232"/>
      <c r="G21" s="232"/>
      <c r="H21" s="232"/>
      <c r="I21" s="908"/>
    </row>
    <row r="22" spans="1:10">
      <c r="A22">
        <v>257</v>
      </c>
      <c r="B22" s="907">
        <v>44013</v>
      </c>
      <c r="C22" s="232"/>
      <c r="D22" s="232"/>
      <c r="E22" s="232"/>
      <c r="F22" s="232"/>
      <c r="G22" s="232"/>
      <c r="H22" s="232"/>
      <c r="I22" s="908"/>
    </row>
    <row r="23" spans="1:10">
      <c r="A23">
        <v>239</v>
      </c>
      <c r="B23" s="907">
        <v>44013</v>
      </c>
      <c r="C23" s="232"/>
      <c r="D23" s="232"/>
      <c r="E23" s="232"/>
      <c r="F23" s="232"/>
      <c r="G23" s="232"/>
      <c r="H23" s="232"/>
      <c r="I23" s="908"/>
    </row>
    <row r="24" spans="1:10">
      <c r="A24">
        <v>232</v>
      </c>
      <c r="B24" s="907">
        <v>44075</v>
      </c>
      <c r="C24" s="232"/>
      <c r="D24" s="232"/>
      <c r="E24" s="232"/>
      <c r="F24" s="232"/>
      <c r="G24" s="232"/>
      <c r="H24" s="232"/>
      <c r="I24" s="908"/>
    </row>
    <row r="25" spans="1:10">
      <c r="A25">
        <v>222</v>
      </c>
      <c r="B25" s="907">
        <v>44075</v>
      </c>
      <c r="C25" s="232"/>
      <c r="D25" s="232"/>
      <c r="E25" s="232"/>
      <c r="F25" s="232"/>
      <c r="G25" s="232"/>
      <c r="H25" s="232"/>
      <c r="I25" s="908"/>
    </row>
    <row r="26" spans="1:10">
      <c r="A26">
        <v>202</v>
      </c>
      <c r="B26" s="907">
        <v>44075</v>
      </c>
      <c r="C26" s="232"/>
      <c r="D26" s="232"/>
      <c r="E26" s="232"/>
      <c r="F26" s="232"/>
      <c r="G26" s="232"/>
      <c r="H26" s="232"/>
      <c r="I26" s="908"/>
    </row>
    <row r="27" spans="1:10">
      <c r="A27">
        <v>260</v>
      </c>
      <c r="B27" s="907">
        <v>44075</v>
      </c>
      <c r="C27" s="232"/>
      <c r="D27" s="232"/>
      <c r="E27" s="232"/>
      <c r="F27" s="232"/>
      <c r="G27" s="232"/>
      <c r="H27" s="232"/>
      <c r="I27" s="908"/>
    </row>
    <row r="28" spans="1:10">
      <c r="A28">
        <v>230</v>
      </c>
      <c r="B28" s="907">
        <v>44075</v>
      </c>
      <c r="C28" s="232"/>
      <c r="D28" s="232"/>
      <c r="E28" s="232"/>
      <c r="F28" s="232"/>
      <c r="G28" s="232"/>
      <c r="H28" s="232"/>
      <c r="I28" s="908"/>
    </row>
    <row r="29" spans="1:10">
      <c r="A29">
        <v>221</v>
      </c>
      <c r="B29" s="907">
        <v>44075</v>
      </c>
      <c r="C29" s="232"/>
      <c r="D29" s="232"/>
      <c r="E29" s="232"/>
      <c r="F29" s="232"/>
      <c r="G29" s="232"/>
      <c r="H29" s="232"/>
      <c r="I29" s="908"/>
    </row>
    <row r="30" spans="1:10">
      <c r="A30">
        <v>218</v>
      </c>
      <c r="B30" s="907">
        <v>44075</v>
      </c>
      <c r="C30" s="232"/>
      <c r="D30" s="232"/>
      <c r="E30" s="232"/>
      <c r="F30" s="232"/>
      <c r="G30" s="232"/>
      <c r="H30" s="232"/>
      <c r="I30" s="908"/>
    </row>
    <row r="31" spans="1:10">
      <c r="A31">
        <v>261</v>
      </c>
      <c r="B31" s="907">
        <v>44075</v>
      </c>
      <c r="C31" s="232"/>
      <c r="D31" s="232"/>
      <c r="E31" s="232"/>
      <c r="F31" s="232"/>
      <c r="G31" s="232"/>
      <c r="H31" s="232"/>
      <c r="I31" s="908"/>
    </row>
    <row r="32" spans="1:10">
      <c r="A32">
        <v>262</v>
      </c>
      <c r="B32" s="907">
        <v>44075</v>
      </c>
      <c r="C32" s="232"/>
      <c r="D32" s="232"/>
      <c r="E32" s="232"/>
      <c r="F32" s="232"/>
      <c r="G32" s="232"/>
      <c r="H32" s="232"/>
      <c r="I32" s="908"/>
    </row>
    <row r="33" spans="1:9">
      <c r="A33">
        <v>227</v>
      </c>
      <c r="B33" s="907">
        <v>44075</v>
      </c>
      <c r="C33" s="232"/>
      <c r="D33" s="232"/>
      <c r="E33" s="232"/>
      <c r="F33" s="232"/>
      <c r="G33" s="232"/>
      <c r="H33" s="232"/>
      <c r="I33" s="908"/>
    </row>
    <row r="34" spans="1:9">
      <c r="A34">
        <v>231</v>
      </c>
      <c r="B34" s="907">
        <v>44075</v>
      </c>
      <c r="C34" s="232"/>
      <c r="D34" s="232"/>
      <c r="E34" s="232"/>
      <c r="F34" s="232"/>
      <c r="G34" s="232"/>
      <c r="H34" s="232"/>
      <c r="I34" s="908"/>
    </row>
    <row r="35" spans="1:9">
      <c r="A35">
        <v>216</v>
      </c>
      <c r="B35" s="907">
        <v>44075</v>
      </c>
      <c r="C35" s="232"/>
      <c r="D35" s="232"/>
      <c r="E35" s="232"/>
      <c r="F35" s="232"/>
      <c r="G35" s="232"/>
      <c r="H35" s="232"/>
      <c r="I35" s="908"/>
    </row>
    <row r="36" spans="1:9">
      <c r="A36">
        <v>229</v>
      </c>
      <c r="B36" s="907">
        <v>44075</v>
      </c>
      <c r="C36" s="232"/>
      <c r="D36" s="232"/>
      <c r="E36" s="232"/>
      <c r="F36" s="232"/>
      <c r="G36" s="232"/>
      <c r="H36" s="232"/>
      <c r="I36" s="908"/>
    </row>
    <row r="37" spans="1:9">
      <c r="A37">
        <v>215</v>
      </c>
      <c r="B37" s="907">
        <v>44075</v>
      </c>
      <c r="C37" s="232"/>
      <c r="D37" s="232"/>
      <c r="E37" s="232"/>
      <c r="F37" s="232"/>
      <c r="G37" s="232"/>
      <c r="H37" s="232"/>
      <c r="I37" s="908"/>
    </row>
    <row r="38" spans="1:9">
      <c r="A38">
        <v>224</v>
      </c>
      <c r="B38" s="907">
        <v>44075</v>
      </c>
      <c r="C38" s="232"/>
      <c r="D38" s="232"/>
      <c r="E38" s="232"/>
      <c r="F38" s="232"/>
      <c r="G38" s="232"/>
      <c r="H38" s="232"/>
      <c r="I38" s="908"/>
    </row>
    <row r="39" spans="1:9">
      <c r="A39">
        <v>226</v>
      </c>
      <c r="B39" s="907">
        <v>44075</v>
      </c>
      <c r="C39" s="232"/>
      <c r="D39" s="232"/>
      <c r="E39" s="232"/>
      <c r="F39" s="232"/>
      <c r="G39" s="232"/>
      <c r="H39" s="232"/>
      <c r="I39" s="908"/>
    </row>
    <row r="40" spans="1:9">
      <c r="A40">
        <v>234</v>
      </c>
      <c r="B40" s="907">
        <v>44075</v>
      </c>
      <c r="C40" s="232"/>
      <c r="D40" s="232"/>
      <c r="E40" s="232"/>
      <c r="F40" s="232"/>
      <c r="G40" s="232"/>
      <c r="H40" s="232"/>
      <c r="I40" s="908"/>
    </row>
    <row r="41" spans="1:9">
      <c r="A41">
        <v>223</v>
      </c>
      <c r="B41" s="907">
        <v>44075</v>
      </c>
      <c r="C41" s="232"/>
      <c r="D41" s="232"/>
      <c r="E41" s="232"/>
      <c r="F41" s="232"/>
      <c r="G41" s="232"/>
      <c r="H41" s="232"/>
      <c r="I41" s="908"/>
    </row>
    <row r="42" spans="1:9">
      <c r="A42">
        <v>225</v>
      </c>
      <c r="B42" s="907">
        <v>44075</v>
      </c>
      <c r="C42" s="232"/>
      <c r="D42" s="232"/>
      <c r="E42" s="232"/>
      <c r="F42" s="232"/>
      <c r="G42" s="232"/>
      <c r="H42" s="232"/>
      <c r="I42" s="908"/>
    </row>
    <row r="43" spans="1:9">
      <c r="A43">
        <v>228</v>
      </c>
      <c r="B43" s="907">
        <v>44075</v>
      </c>
      <c r="C43" s="232"/>
      <c r="D43" s="232"/>
      <c r="E43" s="232"/>
      <c r="F43" s="232"/>
      <c r="G43" s="232"/>
      <c r="H43" s="232"/>
      <c r="I43" s="908"/>
    </row>
    <row r="44" spans="1:9">
      <c r="A44">
        <v>220</v>
      </c>
      <c r="B44" s="907">
        <v>44075</v>
      </c>
      <c r="C44" s="232"/>
      <c r="D44" s="232"/>
      <c r="E44" s="232"/>
      <c r="F44" s="232"/>
      <c r="G44" s="232"/>
      <c r="H44" s="232"/>
      <c r="I44" s="908"/>
    </row>
    <row r="45" spans="1:9">
      <c r="A45">
        <v>201</v>
      </c>
      <c r="B45" s="907">
        <v>44136</v>
      </c>
      <c r="C45" s="232"/>
      <c r="D45" s="232"/>
      <c r="E45" s="232"/>
      <c r="F45" s="232"/>
      <c r="G45" s="232"/>
      <c r="H45" s="232"/>
      <c r="I45" s="908"/>
    </row>
    <row r="46" spans="1:9">
      <c r="A46">
        <v>213</v>
      </c>
      <c r="B46" s="907">
        <v>44136</v>
      </c>
      <c r="C46" s="232"/>
      <c r="D46" s="232"/>
      <c r="E46" s="232"/>
      <c r="F46" s="232"/>
      <c r="G46" s="232"/>
      <c r="H46" s="232"/>
      <c r="I46" s="908"/>
    </row>
    <row r="47" spans="1:9">
      <c r="A47">
        <v>219</v>
      </c>
      <c r="B47" s="907">
        <v>44136</v>
      </c>
      <c r="C47" s="232"/>
      <c r="D47" s="232"/>
      <c r="E47" s="232"/>
      <c r="F47" s="232"/>
      <c r="G47" s="232"/>
      <c r="H47" s="232"/>
      <c r="I47" s="908"/>
    </row>
    <row r="48" spans="1:9">
      <c r="A48">
        <v>205</v>
      </c>
      <c r="B48" s="907">
        <v>44136</v>
      </c>
      <c r="C48" s="232"/>
      <c r="D48" s="232"/>
      <c r="E48" s="232"/>
      <c r="F48" s="232"/>
      <c r="G48" s="232"/>
      <c r="H48" s="232"/>
      <c r="I48" s="908"/>
    </row>
    <row r="49" spans="1:10">
      <c r="A49">
        <v>208</v>
      </c>
      <c r="B49" s="907">
        <v>44136</v>
      </c>
      <c r="C49" s="232"/>
      <c r="D49" s="232"/>
      <c r="E49" s="232"/>
      <c r="F49" s="232"/>
      <c r="G49" s="232"/>
      <c r="H49" s="232"/>
      <c r="I49" s="908"/>
    </row>
    <row r="50" spans="1:10">
      <c r="A50">
        <v>263</v>
      </c>
      <c r="B50" s="907">
        <v>44166</v>
      </c>
      <c r="C50" s="232"/>
      <c r="D50" s="232"/>
      <c r="F50" s="232"/>
      <c r="G50" s="232"/>
      <c r="H50" s="232"/>
      <c r="I50" s="908"/>
      <c r="J50" s="232">
        <v>5389974.3136365721</v>
      </c>
    </row>
    <row r="51" spans="1:10">
      <c r="A51">
        <v>217</v>
      </c>
      <c r="B51" s="907">
        <v>44166</v>
      </c>
      <c r="C51" s="232"/>
      <c r="D51" s="232"/>
      <c r="E51" s="232"/>
      <c r="F51" s="232"/>
      <c r="G51" s="232"/>
      <c r="H51" s="232"/>
      <c r="I51" s="908"/>
      <c r="J51" s="232"/>
    </row>
    <row r="52" spans="1:10">
      <c r="A52">
        <v>264</v>
      </c>
      <c r="B52" s="907">
        <v>44166</v>
      </c>
      <c r="C52" s="232"/>
      <c r="D52" s="232"/>
      <c r="F52" s="232"/>
      <c r="G52" s="232"/>
      <c r="H52" s="232"/>
      <c r="I52" s="908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A70" zoomScale="94" zoomScaleNormal="94" workbookViewId="0">
      <selection activeCell="E81" sqref="E81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29" t="s">
        <v>12</v>
      </c>
      <c r="C1" s="930"/>
      <c r="D1" s="930"/>
      <c r="E1" s="931" t="s">
        <v>13</v>
      </c>
      <c r="F1" s="932">
        <f ca="1">LnkTXTIRTEco</f>
        <v>0.1018</v>
      </c>
    </row>
    <row r="2" spans="2:43" ht="28.5" customHeight="1">
      <c r="B2" s="136" t="str">
        <f>CAPA!C9</f>
        <v>Cerej</v>
      </c>
      <c r="C2" s="70"/>
      <c r="D2" s="70"/>
      <c r="E2" s="83" t="s">
        <v>14</v>
      </c>
      <c r="F2" s="84">
        <f ca="1">LnkTXTIRTTotal</f>
        <v>-0.31169999999999998</v>
      </c>
      <c r="M2" s="85"/>
      <c r="N2" s="86"/>
      <c r="AA2" s="844"/>
      <c r="AB2" s="906"/>
      <c r="AC2" s="844"/>
      <c r="AD2" s="844"/>
    </row>
    <row r="3" spans="2:43" ht="21" customHeight="1">
      <c r="B3" s="933" t="s">
        <v>15</v>
      </c>
      <c r="C3" s="782"/>
      <c r="I3" s="933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4" t="s">
        <v>17</v>
      </c>
      <c r="C5" s="935">
        <v>50888.870999999999</v>
      </c>
      <c r="D5" s="1775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1" t="s">
        <v>27</v>
      </c>
      <c r="T5" s="480" t="s">
        <v>28</v>
      </c>
      <c r="U5" s="71" t="s">
        <v>29</v>
      </c>
      <c r="V5" s="781" t="s">
        <v>30</v>
      </c>
      <c r="AA5" s="68" t="s">
        <v>31</v>
      </c>
      <c r="AB5" s="68" t="s">
        <v>32</v>
      </c>
      <c r="AC5" s="68" t="s">
        <v>20</v>
      </c>
      <c r="AD5" s="844" t="s">
        <v>33</v>
      </c>
      <c r="AE5" s="844" t="s">
        <v>2033</v>
      </c>
      <c r="AI5" s="886" t="s">
        <v>34</v>
      </c>
      <c r="AJ5" s="886" t="s">
        <v>35</v>
      </c>
      <c r="AL5" s="894" t="s">
        <v>36</v>
      </c>
      <c r="AM5" s="894" t="s">
        <v>37</v>
      </c>
      <c r="AO5" s="844" t="s">
        <v>2058</v>
      </c>
      <c r="AP5" s="844" t="s">
        <v>37</v>
      </c>
      <c r="AQ5" s="844" t="s">
        <v>2059</v>
      </c>
    </row>
    <row r="6" spans="2:43" ht="16.5">
      <c r="B6" s="93"/>
      <c r="C6" s="88"/>
      <c r="D6" s="1776"/>
      <c r="E6" s="90"/>
      <c r="F6" s="72"/>
      <c r="G6" s="72"/>
      <c r="H6" s="68" t="str">
        <f>CONCATENATE(W6,J6,L6,O6)</f>
        <v>5697A4Não se aplicaEnergia</v>
      </c>
      <c r="I6" s="936">
        <v>2022</v>
      </c>
      <c r="J6" s="937" t="s">
        <v>533</v>
      </c>
      <c r="K6" s="937" t="s">
        <v>752</v>
      </c>
      <c r="L6" s="937" t="s">
        <v>1239</v>
      </c>
      <c r="M6" s="937" t="s">
        <v>310</v>
      </c>
      <c r="N6" s="937">
        <v>5352</v>
      </c>
      <c r="O6" s="937" t="s">
        <v>108</v>
      </c>
      <c r="P6" s="937" t="s">
        <v>753</v>
      </c>
      <c r="Q6" s="938">
        <v>44795</v>
      </c>
      <c r="R6" s="938">
        <v>44785</v>
      </c>
      <c r="S6" s="508" t="s">
        <v>2342</v>
      </c>
      <c r="T6" s="938" t="s">
        <v>2343</v>
      </c>
      <c r="U6" s="937">
        <v>12.06</v>
      </c>
      <c r="V6" s="937">
        <v>111</v>
      </c>
      <c r="W6" s="68">
        <f>VLOOKUP(V6,DescontosTE[[#All],[idsreag supridora]:[codsariSUP]],2,FALSE)</f>
        <v>5697</v>
      </c>
      <c r="AA6" s="845"/>
      <c r="AB6" s="846"/>
      <c r="AC6" s="845"/>
      <c r="AD6" s="845"/>
      <c r="AE6" s="845"/>
      <c r="AI6" s="892"/>
      <c r="AJ6" s="893"/>
      <c r="AL6" s="895" t="s">
        <v>2603</v>
      </c>
      <c r="AM6" s="896">
        <v>0</v>
      </c>
      <c r="AO6" s="1450" t="s">
        <v>2072</v>
      </c>
      <c r="AP6" s="1451">
        <v>0</v>
      </c>
      <c r="AQ6" s="1451"/>
    </row>
    <row r="7" spans="2:43" ht="16.5">
      <c r="B7" s="939" t="s">
        <v>38</v>
      </c>
      <c r="C7" s="940">
        <v>0</v>
      </c>
      <c r="D7" s="1776"/>
      <c r="E7" s="72"/>
      <c r="F7" s="72"/>
      <c r="G7" s="72"/>
      <c r="H7" s="68" t="str">
        <f t="shared" ref="H7:H30" si="0">CONCATENATE(W7,J7,L7,O7)</f>
        <v>5697A4PontaPotência</v>
      </c>
      <c r="I7" s="506">
        <v>2022</v>
      </c>
      <c r="J7" s="507" t="s">
        <v>533</v>
      </c>
      <c r="K7" s="507" t="s">
        <v>752</v>
      </c>
      <c r="L7" s="507" t="s">
        <v>893</v>
      </c>
      <c r="M7" s="507" t="s">
        <v>310</v>
      </c>
      <c r="N7" s="507">
        <v>5352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2342</v>
      </c>
      <c r="T7" s="508" t="s">
        <v>2343</v>
      </c>
      <c r="U7" s="507">
        <v>24.15</v>
      </c>
      <c r="V7" s="507">
        <v>111</v>
      </c>
      <c r="W7" s="68">
        <f>VLOOKUP(V7,DescontosTE[[#All],[idsreag supridora]:[codsariSUP]],2,FALSE)</f>
        <v>5697</v>
      </c>
      <c r="AA7" s="845"/>
      <c r="AB7" s="846"/>
      <c r="AC7" s="845"/>
      <c r="AD7" s="845"/>
      <c r="AE7" s="845"/>
      <c r="AI7" s="892"/>
      <c r="AJ7" s="893"/>
      <c r="AL7" s="895" t="s">
        <v>2604</v>
      </c>
      <c r="AM7" s="896">
        <v>0</v>
      </c>
      <c r="AO7" s="1450" t="s">
        <v>2073</v>
      </c>
      <c r="AP7" s="1451">
        <v>0</v>
      </c>
      <c r="AQ7" s="1451"/>
    </row>
    <row r="8" spans="2:43" ht="16.5">
      <c r="B8" s="93" t="s">
        <v>39</v>
      </c>
      <c r="C8" s="119">
        <v>0</v>
      </c>
      <c r="D8" s="1776"/>
      <c r="E8" s="72"/>
      <c r="F8" s="72"/>
      <c r="G8" s="72"/>
      <c r="H8" s="68" t="str">
        <f t="shared" si="0"/>
        <v>5697A4Fora pontaPotência</v>
      </c>
      <c r="I8" s="506">
        <v>2022</v>
      </c>
      <c r="J8" s="507" t="s">
        <v>533</v>
      </c>
      <c r="K8" s="507" t="s">
        <v>752</v>
      </c>
      <c r="L8" s="507" t="s">
        <v>2323</v>
      </c>
      <c r="M8" s="507" t="s">
        <v>310</v>
      </c>
      <c r="N8" s="507">
        <v>5352</v>
      </c>
      <c r="O8" s="507" t="s">
        <v>1238</v>
      </c>
      <c r="P8" s="507" t="s">
        <v>753</v>
      </c>
      <c r="Q8" s="508">
        <v>44795</v>
      </c>
      <c r="R8" s="508">
        <v>44785</v>
      </c>
      <c r="S8" s="508" t="s">
        <v>2342</v>
      </c>
      <c r="T8" s="508" t="s">
        <v>2343</v>
      </c>
      <c r="U8" s="507">
        <v>13.88</v>
      </c>
      <c r="V8" s="507">
        <v>111</v>
      </c>
      <c r="W8" s="68">
        <f>VLOOKUP(V8,DescontosTE[[#All],[idsreag supridora]:[codsariSUP]],2,FALSE)</f>
        <v>5697</v>
      </c>
      <c r="AI8" s="892"/>
      <c r="AJ8" s="893"/>
      <c r="AL8" s="895" t="s">
        <v>2605</v>
      </c>
      <c r="AM8" s="896">
        <v>0</v>
      </c>
      <c r="AO8" s="1450" t="s">
        <v>2074</v>
      </c>
      <c r="AP8" s="1451">
        <v>0</v>
      </c>
      <c r="AQ8" s="1451"/>
    </row>
    <row r="9" spans="2:43" ht="16.5">
      <c r="B9" s="93" t="s">
        <v>40</v>
      </c>
      <c r="C9" s="119">
        <v>105115.06471188</v>
      </c>
      <c r="D9" s="1776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2"/>
      <c r="AJ9" s="893"/>
      <c r="AL9" s="895" t="s">
        <v>2606</v>
      </c>
      <c r="AM9" s="896"/>
      <c r="AO9" s="1450"/>
      <c r="AP9" s="1451"/>
      <c r="AQ9" s="1451" t="s">
        <v>2075</v>
      </c>
    </row>
    <row r="10" spans="2:43" ht="16.5">
      <c r="B10" s="93" t="s">
        <v>41</v>
      </c>
      <c r="C10" s="119">
        <v>2973324.3137599998</v>
      </c>
      <c r="D10" s="1776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0" t="s">
        <v>45</v>
      </c>
      <c r="AI10" s="892"/>
      <c r="AJ10" s="893"/>
      <c r="AL10" s="895" t="s">
        <v>2607</v>
      </c>
      <c r="AM10" s="896">
        <v>0</v>
      </c>
    </row>
    <row r="11" spans="2:43" ht="16.5">
      <c r="B11" s="93" t="s">
        <v>46</v>
      </c>
      <c r="C11" s="119">
        <v>0</v>
      </c>
      <c r="D11" s="1776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5">
        <v>0.87029999999999996</v>
      </c>
      <c r="AB11" s="846">
        <v>195.04</v>
      </c>
      <c r="AC11" s="845">
        <v>14739.74</v>
      </c>
      <c r="AD11" s="845"/>
      <c r="AI11" s="892"/>
      <c r="AJ11" s="893"/>
      <c r="AL11" s="895" t="s">
        <v>2608</v>
      </c>
      <c r="AM11" s="896">
        <v>0</v>
      </c>
    </row>
    <row r="12" spans="2:43" ht="16.5">
      <c r="B12" s="93" t="s">
        <v>47</v>
      </c>
      <c r="C12" s="119">
        <v>470418.94751999999</v>
      </c>
      <c r="D12" s="1776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2"/>
      <c r="AJ12" s="893"/>
      <c r="AL12" s="895" t="s">
        <v>2609</v>
      </c>
      <c r="AM12" s="896">
        <v>0</v>
      </c>
    </row>
    <row r="13" spans="2:43" ht="16.5">
      <c r="B13" s="93" t="s">
        <v>48</v>
      </c>
      <c r="C13" s="119">
        <v>0</v>
      </c>
      <c r="D13" s="1776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2"/>
      <c r="AJ13" s="893"/>
      <c r="AL13" s="895" t="s">
        <v>2610</v>
      </c>
      <c r="AM13" s="896">
        <v>0</v>
      </c>
    </row>
    <row r="14" spans="2:43" ht="16.5">
      <c r="B14" s="93" t="s">
        <v>49</v>
      </c>
      <c r="C14" s="119">
        <v>0</v>
      </c>
      <c r="D14" s="1776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4"/>
      <c r="AB14" s="794"/>
      <c r="AC14" s="794"/>
      <c r="AI14" s="892"/>
      <c r="AJ14" s="893"/>
      <c r="AL14" s="895" t="s">
        <v>2611</v>
      </c>
      <c r="AM14" s="896">
        <v>0</v>
      </c>
    </row>
    <row r="15" spans="2:43" ht="16.5">
      <c r="B15" s="941" t="s">
        <v>2034</v>
      </c>
      <c r="C15" s="942">
        <v>0</v>
      </c>
      <c r="D15" s="1776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898" t="s">
        <v>109</v>
      </c>
      <c r="AB15" s="898" t="s">
        <v>898</v>
      </c>
      <c r="AC15" s="794"/>
      <c r="AI15" s="892"/>
      <c r="AJ15" s="893"/>
      <c r="AL15" s="895"/>
      <c r="AM15" s="896"/>
    </row>
    <row r="16" spans="2:43" ht="16.5">
      <c r="D16" s="1776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5">
        <v>2022</v>
      </c>
      <c r="AB16" s="846">
        <v>875.47703243856063</v>
      </c>
      <c r="AC16" s="844"/>
      <c r="AI16" s="892"/>
      <c r="AJ16" s="893"/>
      <c r="AL16" s="895"/>
      <c r="AM16" s="896"/>
    </row>
    <row r="17" spans="2:42" ht="16.5">
      <c r="B17" s="934" t="s">
        <v>50</v>
      </c>
      <c r="C17" s="943"/>
      <c r="D17" s="1776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2"/>
      <c r="AJ17" s="893"/>
      <c r="AL17" s="851"/>
      <c r="AM17" s="846"/>
    </row>
    <row r="18" spans="2:42" ht="16.5">
      <c r="B18" s="93" t="s">
        <v>51</v>
      </c>
      <c r="C18" s="119">
        <v>0</v>
      </c>
      <c r="D18" s="1776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2"/>
      <c r="AJ18" s="893"/>
      <c r="AL18" s="851"/>
      <c r="AM18" s="846"/>
    </row>
    <row r="19" spans="2:42" ht="16.5">
      <c r="B19" s="93" t="s">
        <v>52</v>
      </c>
      <c r="C19" s="119">
        <v>0</v>
      </c>
      <c r="D19" s="1776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2"/>
      <c r="AJ19" s="893"/>
    </row>
    <row r="20" spans="2:42" ht="16.5">
      <c r="B20" s="93" t="s">
        <v>53</v>
      </c>
      <c r="C20" s="119"/>
      <c r="D20" s="1776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7" t="s">
        <v>54</v>
      </c>
      <c r="AB20" s="847"/>
      <c r="AC20" s="848"/>
      <c r="AD20" s="848"/>
      <c r="AE20" s="848"/>
      <c r="AF20" s="848"/>
      <c r="AG20" s="849"/>
      <c r="AI20" s="851"/>
      <c r="AJ20" s="846"/>
    </row>
    <row r="21" spans="2:42" ht="16.5">
      <c r="B21" s="93" t="s">
        <v>55</v>
      </c>
      <c r="C21" s="119"/>
      <c r="D21" s="1776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6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5"/>
      <c r="AB22" s="846"/>
      <c r="AC22" s="845"/>
      <c r="AD22" s="845"/>
      <c r="AE22" s="846"/>
      <c r="AF22" s="851"/>
      <c r="AG22" s="845"/>
    </row>
    <row r="23" spans="2:42" ht="16.5">
      <c r="B23" s="93" t="s">
        <v>64</v>
      </c>
      <c r="C23" s="119"/>
      <c r="D23" s="1776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5"/>
      <c r="AB23" s="846"/>
      <c r="AC23" s="845"/>
      <c r="AD23" s="845"/>
      <c r="AE23" s="846"/>
      <c r="AF23" s="845"/>
      <c r="AG23" s="845"/>
      <c r="AI23" s="844" t="s">
        <v>2062</v>
      </c>
      <c r="AM23" s="844" t="s">
        <v>2066</v>
      </c>
    </row>
    <row r="24" spans="2:42" ht="16.5">
      <c r="B24" s="93" t="s">
        <v>65</v>
      </c>
      <c r="C24" s="119">
        <v>0</v>
      </c>
      <c r="D24" s="1776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2060</v>
      </c>
      <c r="AJ24" s="68" t="s">
        <v>2061</v>
      </c>
      <c r="AK24" s="68" t="s">
        <v>1415</v>
      </c>
      <c r="AM24" s="68" t="s">
        <v>2063</v>
      </c>
      <c r="AN24" s="68" t="s">
        <v>2064</v>
      </c>
      <c r="AO24" s="68" t="s">
        <v>2065</v>
      </c>
      <c r="AP24" s="68" t="s">
        <v>37</v>
      </c>
    </row>
    <row r="25" spans="2:42" ht="16.5">
      <c r="B25" s="93" t="s">
        <v>66</v>
      </c>
      <c r="C25" s="119">
        <v>6033724.9292400004</v>
      </c>
      <c r="D25" s="1776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4"/>
      <c r="AE25" s="906"/>
      <c r="AF25" s="844"/>
      <c r="AG25" s="844"/>
      <c r="AI25" s="257" t="s">
        <v>2076</v>
      </c>
      <c r="AJ25" s="257" t="s">
        <v>41</v>
      </c>
      <c r="AK25" s="69">
        <v>-183896.199343068</v>
      </c>
      <c r="AM25" s="1454"/>
      <c r="AN25" s="1454"/>
      <c r="AO25" s="1454"/>
      <c r="AP25" s="1453"/>
    </row>
    <row r="26" spans="2:42" ht="16.5">
      <c r="B26" s="934" t="s">
        <v>67</v>
      </c>
      <c r="C26" s="944">
        <v>26035998.172943</v>
      </c>
      <c r="D26" s="1776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898" t="s">
        <v>2067</v>
      </c>
      <c r="AB26" s="898" t="s">
        <v>37</v>
      </c>
      <c r="AD26" s="844"/>
      <c r="AE26" s="906"/>
      <c r="AF26" s="844"/>
      <c r="AG26" s="844"/>
      <c r="AI26" s="257" t="s">
        <v>2076</v>
      </c>
      <c r="AJ26" s="257" t="s">
        <v>47</v>
      </c>
      <c r="AK26" s="69">
        <v>-25220.286499276299</v>
      </c>
      <c r="AM26" s="1454"/>
      <c r="AN26" s="1454"/>
      <c r="AO26" s="1454"/>
      <c r="AP26" s="1453"/>
    </row>
    <row r="27" spans="2:42" ht="16.5">
      <c r="C27" s="69"/>
      <c r="D27" s="1776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5" t="s">
        <v>2069</v>
      </c>
      <c r="AB27" s="846"/>
      <c r="AI27" s="257" t="s">
        <v>2076</v>
      </c>
      <c r="AJ27" s="257" t="s">
        <v>40</v>
      </c>
      <c r="AK27" s="69">
        <v>-5459.1572925644996</v>
      </c>
      <c r="AM27" s="1454"/>
      <c r="AN27" s="1454"/>
      <c r="AO27" s="1454"/>
      <c r="AP27" s="1453"/>
    </row>
    <row r="28" spans="2:42" ht="16.5">
      <c r="B28" s="933" t="s">
        <v>68</v>
      </c>
      <c r="C28" s="945"/>
      <c r="D28" s="1776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5" t="s">
        <v>2070</v>
      </c>
      <c r="AB28" s="846"/>
      <c r="AI28" s="257" t="s">
        <v>2077</v>
      </c>
      <c r="AJ28" s="257" t="s">
        <v>2078</v>
      </c>
      <c r="AK28" s="69">
        <v>0</v>
      </c>
      <c r="AM28" s="1454"/>
      <c r="AN28" s="1454"/>
      <c r="AO28" s="1454"/>
      <c r="AP28" s="1453"/>
    </row>
    <row r="29" spans="2:42" ht="18" customHeight="1">
      <c r="D29" s="1776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5"/>
      <c r="AB29" s="846"/>
      <c r="AI29" s="257" t="s">
        <v>2079</v>
      </c>
      <c r="AJ29" s="257" t="s">
        <v>2080</v>
      </c>
      <c r="AK29" s="69">
        <v>-555444.29246935097</v>
      </c>
      <c r="AM29" s="1454"/>
      <c r="AN29" s="1454"/>
      <c r="AO29" s="1454"/>
      <c r="AP29" s="1453"/>
    </row>
    <row r="30" spans="2:42" ht="16.5">
      <c r="B30" s="946"/>
      <c r="C30" s="947"/>
      <c r="D30" s="1776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5"/>
      <c r="AB30" s="846"/>
      <c r="AI30" s="257" t="s">
        <v>104</v>
      </c>
      <c r="AJ30" s="257"/>
      <c r="AK30" s="69">
        <v>-16232843.8647207</v>
      </c>
      <c r="AM30" s="1454"/>
      <c r="AN30" s="1454"/>
      <c r="AO30" s="1454"/>
      <c r="AP30" s="1453"/>
    </row>
    <row r="31" spans="2:42">
      <c r="B31" s="652" t="s">
        <v>69</v>
      </c>
      <c r="C31" s="653">
        <v>0.13904635417038499</v>
      </c>
      <c r="D31" s="1777"/>
      <c r="AI31" s="257"/>
      <c r="AJ31" s="257"/>
      <c r="AK31" s="69"/>
      <c r="AM31" s="1454"/>
      <c r="AN31" s="1454"/>
      <c r="AO31" s="1454"/>
      <c r="AP31" s="1453"/>
    </row>
    <row r="32" spans="2:42">
      <c r="B32" s="948" t="s">
        <v>70</v>
      </c>
      <c r="C32" s="949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3"/>
      <c r="C34" s="945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6" t="s">
        <v>41</v>
      </c>
      <c r="C35" s="950">
        <v>2663956.7822999991</v>
      </c>
      <c r="AA35" s="196"/>
      <c r="AB35" s="1566"/>
      <c r="AC35" s="1566"/>
      <c r="AD35" s="1566"/>
      <c r="AI35" s="257"/>
      <c r="AJ35" s="257"/>
      <c r="AK35" s="69"/>
    </row>
    <row r="36" spans="1:37">
      <c r="B36" s="652" t="s">
        <v>47</v>
      </c>
      <c r="C36" s="87">
        <v>351262.21800999995</v>
      </c>
      <c r="AA36" s="196"/>
      <c r="AB36" s="1566"/>
      <c r="AC36" s="1566"/>
      <c r="AD36" s="1566"/>
      <c r="AI36" s="257"/>
      <c r="AJ36" s="257"/>
      <c r="AK36" s="69"/>
    </row>
    <row r="37" spans="1:37">
      <c r="B37" s="948" t="s">
        <v>40</v>
      </c>
      <c r="C37" s="951">
        <v>94414.431116513515</v>
      </c>
      <c r="AA37" s="196"/>
      <c r="AB37" s="1566"/>
      <c r="AC37" s="1566"/>
      <c r="AD37" s="1566"/>
      <c r="AI37" s="257"/>
      <c r="AJ37" s="257"/>
      <c r="AK37" s="69"/>
    </row>
    <row r="38" spans="1:37">
      <c r="AA38" s="196"/>
      <c r="AB38" s="1566"/>
      <c r="AC38" s="1566"/>
      <c r="AD38" s="1566"/>
      <c r="AI38" s="257"/>
      <c r="AJ38" s="257"/>
      <c r="AK38" s="69"/>
    </row>
    <row r="39" spans="1:37">
      <c r="D39" s="89"/>
      <c r="AA39" s="196"/>
      <c r="AB39" s="1566"/>
      <c r="AC39" s="1566"/>
      <c r="AD39" s="1566"/>
      <c r="AI39" s="257"/>
      <c r="AJ39" s="257"/>
      <c r="AK39" s="69"/>
    </row>
    <row r="40" spans="1:37" ht="16.5">
      <c r="B40" s="948"/>
      <c r="C40" s="72"/>
      <c r="D40" s="9"/>
      <c r="E40" s="9" t="s">
        <v>74</v>
      </c>
      <c r="F40" s="9"/>
      <c r="AA40" s="196"/>
      <c r="AB40" s="1566"/>
      <c r="AC40" s="1566"/>
      <c r="AD40" s="1566"/>
      <c r="AI40" s="257"/>
      <c r="AJ40" s="257"/>
      <c r="AK40" s="69"/>
    </row>
    <row r="41" spans="1:37" ht="16.5">
      <c r="A41" s="952">
        <f>DATE(YEAR(B41),MONTH(B41),1)</f>
        <v>44470</v>
      </c>
      <c r="B41" s="938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66"/>
      <c r="AC41" s="1566"/>
      <c r="AD41" s="1566"/>
      <c r="AI41" s="257"/>
      <c r="AJ41" s="257"/>
      <c r="AK41" s="69"/>
    </row>
    <row r="42" spans="1:37" ht="16.5">
      <c r="A42" s="952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1" t="s">
        <v>20</v>
      </c>
      <c r="J42" s="781" t="s">
        <v>21</v>
      </c>
      <c r="K42" s="781"/>
      <c r="L42" s="781" t="s">
        <v>22</v>
      </c>
      <c r="M42" s="781" t="s">
        <v>23</v>
      </c>
      <c r="N42" s="781" t="s">
        <v>24</v>
      </c>
      <c r="O42" s="781" t="s">
        <v>25</v>
      </c>
      <c r="P42" s="781" t="s">
        <v>26</v>
      </c>
      <c r="Q42" s="781" t="s">
        <v>27</v>
      </c>
      <c r="R42" s="781" t="s">
        <v>28</v>
      </c>
      <c r="S42" s="782" t="s">
        <v>29</v>
      </c>
      <c r="T42" s="781" t="s">
        <v>30</v>
      </c>
      <c r="AA42" s="196"/>
      <c r="AB42" s="1566"/>
      <c r="AC42" s="1566"/>
      <c r="AD42" s="1566"/>
      <c r="AI42" s="257"/>
      <c r="AJ42" s="257"/>
      <c r="AK42" s="69"/>
    </row>
    <row r="43" spans="1:37" ht="16.5">
      <c r="A43" s="952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6">
        <v>2022</v>
      </c>
      <c r="J43" s="507" t="s">
        <v>533</v>
      </c>
      <c r="K43" s="507" t="s">
        <v>2324</v>
      </c>
      <c r="L43" s="507" t="s">
        <v>1239</v>
      </c>
      <c r="M43" s="507" t="s">
        <v>310</v>
      </c>
      <c r="N43" s="507">
        <v>5352</v>
      </c>
      <c r="O43" s="508">
        <v>44795</v>
      </c>
      <c r="P43" s="508">
        <v>44785</v>
      </c>
      <c r="Q43" s="508" t="s">
        <v>2342</v>
      </c>
      <c r="R43" s="508" t="s">
        <v>2343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66"/>
      <c r="AC43" s="1566"/>
      <c r="AD43" s="1566"/>
      <c r="AI43" s="257"/>
      <c r="AJ43" s="257"/>
      <c r="AK43" s="69"/>
    </row>
    <row r="44" spans="1:37" ht="16.5">
      <c r="A44" s="952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66"/>
      <c r="AC44" s="1566"/>
      <c r="AD44" s="1566"/>
      <c r="AI44" s="257"/>
      <c r="AJ44" s="257"/>
      <c r="AK44" s="69"/>
    </row>
    <row r="45" spans="1:37" ht="16.5">
      <c r="A45" s="952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2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2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2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2">
        <f t="shared" si="1"/>
        <v>44713</v>
      </c>
      <c r="B49" s="508">
        <v>44718</v>
      </c>
      <c r="C49" s="532">
        <v>416731.8222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2">
        <f t="shared" si="1"/>
        <v>44743</v>
      </c>
      <c r="B50" s="508">
        <v>44749</v>
      </c>
      <c r="C50" s="532">
        <v>63031.052799999998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2">
        <f t="shared" si="1"/>
        <v>44774</v>
      </c>
      <c r="B51" s="508">
        <v>44781</v>
      </c>
      <c r="C51" s="532">
        <v>-32.799999999999997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2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67"/>
    </row>
    <row r="53" spans="1:28" ht="16.5">
      <c r="A53" s="952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430292.78768611461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67"/>
    </row>
    <row r="54" spans="1:28" ht="16.5">
      <c r="A54" s="952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64428.01302454259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67"/>
    </row>
    <row r="55" spans="1:28" ht="16.5">
      <c r="A55" s="952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-33.183550499842063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67"/>
    </row>
    <row r="56" spans="1:28" ht="16.5">
      <c r="A56" s="952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67"/>
    </row>
    <row r="57" spans="1:28" ht="16.5">
      <c r="A57" s="952">
        <f t="shared" si="1"/>
        <v>1</v>
      </c>
      <c r="B57" s="953"/>
      <c r="C57" s="817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67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67"/>
    </row>
    <row r="59" spans="1:28" ht="16.5">
      <c r="H59" s="68" t="e">
        <f t="shared" si="2"/>
        <v>#N/A</v>
      </c>
      <c r="I59" s="954"/>
      <c r="J59" s="955"/>
      <c r="K59" s="955"/>
      <c r="L59" s="955"/>
      <c r="M59" s="955"/>
      <c r="N59" s="955"/>
      <c r="O59" s="955"/>
      <c r="P59" s="955"/>
      <c r="Q59" s="953"/>
      <c r="R59" s="953"/>
      <c r="S59" s="953"/>
      <c r="T59" s="955"/>
      <c r="U59" s="68" t="e">
        <f>VLOOKUP(T59,DescontosTE[[#All],[idsreag supridora]:[codsariSUP]],2,FALSE)</f>
        <v>#N/A</v>
      </c>
      <c r="AA59" s="196"/>
      <c r="AB59" s="1567"/>
    </row>
    <row r="60" spans="1:28">
      <c r="B60" s="948" t="s">
        <v>75</v>
      </c>
      <c r="C60" s="72"/>
      <c r="AA60" s="196"/>
      <c r="AB60" s="1567"/>
    </row>
    <row r="61" spans="1:28" ht="16.5">
      <c r="B61" s="956" t="s">
        <v>697</v>
      </c>
      <c r="C61" s="818">
        <v>0</v>
      </c>
      <c r="D61" s="68">
        <v>0</v>
      </c>
      <c r="AA61" s="196"/>
      <c r="AB61" s="1567"/>
    </row>
    <row r="62" spans="1:28" ht="16.5">
      <c r="B62" s="689" t="s">
        <v>699</v>
      </c>
      <c r="C62" s="532">
        <v>0</v>
      </c>
      <c r="D62" s="69">
        <v>0</v>
      </c>
      <c r="AA62" s="196"/>
      <c r="AB62" s="1567"/>
    </row>
    <row r="63" spans="1:28" ht="16.5">
      <c r="B63" s="689" t="s">
        <v>701</v>
      </c>
      <c r="C63" s="532">
        <v>0</v>
      </c>
      <c r="D63" s="69">
        <v>0</v>
      </c>
      <c r="AA63" s="196"/>
      <c r="AB63" s="1567"/>
    </row>
    <row r="64" spans="1:28" ht="16.5">
      <c r="B64" s="689" t="s">
        <v>702</v>
      </c>
      <c r="C64" s="532">
        <v>161.91</v>
      </c>
      <c r="D64" s="69">
        <v>0</v>
      </c>
      <c r="I64" s="68" t="s">
        <v>2178</v>
      </c>
    </row>
    <row r="65" spans="2:16" ht="16.5">
      <c r="B65" s="689" t="s">
        <v>705</v>
      </c>
      <c r="C65" s="532">
        <v>124892.83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57" t="s">
        <v>707</v>
      </c>
      <c r="C66" s="817">
        <v>0</v>
      </c>
      <c r="D66" s="69">
        <v>0</v>
      </c>
      <c r="I66" s="68" t="s">
        <v>2599</v>
      </c>
      <c r="J66" s="68">
        <v>5697</v>
      </c>
      <c r="K66" s="1565">
        <v>44469</v>
      </c>
      <c r="L66" s="68" t="s">
        <v>2036</v>
      </c>
      <c r="M66" s="68">
        <v>0.41699999999999998</v>
      </c>
    </row>
    <row r="67" spans="2:16">
      <c r="K67" s="1565"/>
    </row>
    <row r="68" spans="2:16">
      <c r="K68" s="1565"/>
    </row>
    <row r="69" spans="2:16">
      <c r="K69" s="1565"/>
    </row>
    <row r="70" spans="2:16">
      <c r="B70" s="898" t="s">
        <v>72</v>
      </c>
      <c r="C70" s="898" t="s">
        <v>37</v>
      </c>
      <c r="D70" s="898" t="s">
        <v>73</v>
      </c>
      <c r="K70" s="1565"/>
    </row>
    <row r="71" spans="2:16">
      <c r="B71" s="845" t="s">
        <v>49</v>
      </c>
      <c r="C71" s="1452"/>
      <c r="D71" s="846"/>
      <c r="K71" s="1565"/>
    </row>
    <row r="72" spans="2:16">
      <c r="B72" s="845" t="s">
        <v>768</v>
      </c>
      <c r="C72" s="1452"/>
      <c r="D72" s="846"/>
      <c r="K72" s="1565"/>
    </row>
    <row r="73" spans="2:16">
      <c r="B73" s="845" t="s">
        <v>2318</v>
      </c>
      <c r="C73" s="1452"/>
      <c r="D73" s="846"/>
      <c r="K73" s="1565"/>
    </row>
    <row r="74" spans="2:16">
      <c r="B74" s="845" t="s">
        <v>2071</v>
      </c>
      <c r="C74" s="1452"/>
      <c r="D74" s="846"/>
      <c r="K74" s="1565"/>
    </row>
    <row r="75" spans="2:16">
      <c r="B75" s="845" t="s">
        <v>2319</v>
      </c>
      <c r="C75" s="1452"/>
      <c r="D75" s="846"/>
      <c r="K75" s="1565"/>
    </row>
    <row r="76" spans="2:16">
      <c r="B76" s="845" t="s">
        <v>2320</v>
      </c>
      <c r="C76" s="1452">
        <v>0</v>
      </c>
      <c r="D76" s="846"/>
    </row>
    <row r="77" spans="2:16">
      <c r="B77" s="845" t="s">
        <v>2321</v>
      </c>
      <c r="C77" s="1452">
        <v>0</v>
      </c>
      <c r="D77" s="846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2599</v>
      </c>
      <c r="J80" s="68">
        <v>5697</v>
      </c>
      <c r="K80" s="1565">
        <v>44469</v>
      </c>
      <c r="L80" s="68" t="s">
        <v>2036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2599</v>
      </c>
      <c r="J81" s="68">
        <v>5697</v>
      </c>
      <c r="K81" s="1565">
        <v>44469</v>
      </c>
      <c r="L81" s="68" t="s">
        <v>2036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898" t="s">
        <v>695</v>
      </c>
      <c r="C82" s="898" t="s">
        <v>2172</v>
      </c>
      <c r="D82" s="898" t="s">
        <v>37</v>
      </c>
      <c r="I82" s="68" t="s">
        <v>2599</v>
      </c>
      <c r="J82" s="68">
        <v>5697</v>
      </c>
      <c r="K82" s="1565">
        <v>44469</v>
      </c>
      <c r="L82" s="68" t="s">
        <v>2036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5" t="s">
        <v>1436</v>
      </c>
      <c r="C83" s="1452" t="s">
        <v>2600</v>
      </c>
      <c r="D83" s="846">
        <v>179.71759157293499</v>
      </c>
      <c r="I83" s="68" t="s">
        <v>2599</v>
      </c>
      <c r="J83" s="68">
        <v>5697</v>
      </c>
      <c r="K83" s="1565">
        <v>44469</v>
      </c>
      <c r="L83" s="68" t="s">
        <v>2036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5" t="s">
        <v>2601</v>
      </c>
      <c r="C84" s="1452" t="s">
        <v>2602</v>
      </c>
      <c r="D84" s="846">
        <v>0</v>
      </c>
      <c r="K84" s="1565"/>
    </row>
    <row r="85" spans="2:16">
      <c r="B85" s="845" t="s">
        <v>1429</v>
      </c>
      <c r="C85" s="1452" t="s">
        <v>2602</v>
      </c>
      <c r="D85" s="846">
        <v>0</v>
      </c>
      <c r="K85" s="1565"/>
    </row>
    <row r="86" spans="2:16">
      <c r="B86" s="845" t="s">
        <v>1428</v>
      </c>
      <c r="C86" s="1452" t="s">
        <v>2602</v>
      </c>
      <c r="D86" s="846">
        <v>0.13904635417038499</v>
      </c>
      <c r="K86" s="1565"/>
    </row>
    <row r="87" spans="2:16">
      <c r="K87" s="1565"/>
    </row>
    <row r="88" spans="2:16">
      <c r="K88" s="1565"/>
    </row>
    <row r="89" spans="2:16">
      <c r="K89" s="1565"/>
    </row>
    <row r="90" spans="2:16">
      <c r="K90" s="1565"/>
    </row>
    <row r="91" spans="2:16">
      <c r="K91" s="1565"/>
    </row>
    <row r="92" spans="2:16">
      <c r="K92" s="1565"/>
    </row>
    <row r="93" spans="2:16">
      <c r="K93" s="1565"/>
    </row>
    <row r="94" spans="2:16">
      <c r="K94" s="1565"/>
    </row>
    <row r="95" spans="2:16">
      <c r="K95" s="1565"/>
    </row>
    <row r="96" spans="2:16">
      <c r="K96" s="1565"/>
    </row>
    <row r="97" spans="2:11">
      <c r="K97" s="1565"/>
    </row>
    <row r="98" spans="2:11">
      <c r="K98" s="1565"/>
    </row>
    <row r="103" spans="2:11" ht="25.5" customHeight="1">
      <c r="B103" s="68" t="s">
        <v>2188</v>
      </c>
      <c r="C103" s="1568" t="s">
        <v>2190</v>
      </c>
      <c r="D103" s="68" t="s">
        <v>2189</v>
      </c>
    </row>
    <row r="104" spans="2:11">
      <c r="B104" s="69">
        <v>27692113.474028908</v>
      </c>
      <c r="C104" s="196">
        <v>44531</v>
      </c>
      <c r="D104" s="68" t="s">
        <v>2322</v>
      </c>
    </row>
    <row r="108" spans="2:11" ht="28.5">
      <c r="B108" s="1568" t="s">
        <v>2186</v>
      </c>
      <c r="C108" s="1568" t="s">
        <v>2187</v>
      </c>
      <c r="D108" s="1568" t="s">
        <v>213</v>
      </c>
      <c r="E108" s="1568" t="s">
        <v>214</v>
      </c>
      <c r="F108" s="1568" t="s">
        <v>2191</v>
      </c>
      <c r="G108" s="1568" t="s">
        <v>2192</v>
      </c>
      <c r="H108" s="1568" t="s">
        <v>2193</v>
      </c>
    </row>
    <row r="109" spans="2:11">
      <c r="B109" s="1568" t="s">
        <v>155</v>
      </c>
      <c r="C109" s="1568">
        <v>111</v>
      </c>
      <c r="D109" s="1568">
        <v>22.580552842543515</v>
      </c>
      <c r="E109" s="1568">
        <v>180.36</v>
      </c>
      <c r="F109" s="1569">
        <v>16232843.86472071</v>
      </c>
      <c r="G109" s="1570">
        <v>44430</v>
      </c>
      <c r="H109" s="1570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23" zoomScale="66" zoomScaleNormal="66" workbookViewId="0">
      <selection activeCell="G1" sqref="G1"/>
    </sheetView>
  </sheetViews>
  <sheetFormatPr defaultRowHeight="15.75"/>
  <cols>
    <col min="1" max="1" width="12.85546875" customWidth="1"/>
    <col min="2" max="2" width="19" customWidth="1"/>
    <col min="3" max="3" width="11.28515625" customWidth="1"/>
    <col min="4" max="4" width="20.85546875" customWidth="1"/>
    <col min="5" max="5" width="26.140625" bestFit="1" customWidth="1"/>
    <col min="6" max="6" width="37.7109375" customWidth="1"/>
    <col min="7" max="7" width="12.28515625" customWidth="1"/>
    <col min="8" max="8" width="12.42578125" customWidth="1"/>
    <col min="9" max="9" width="15.5703125" style="8" bestFit="1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 hidden="1">
      <c r="A2" t="s">
        <v>2345</v>
      </c>
      <c r="B2">
        <v>5352</v>
      </c>
      <c r="C2" t="s">
        <v>2625</v>
      </c>
      <c r="D2">
        <v>5697</v>
      </c>
      <c r="E2" t="s">
        <v>2344</v>
      </c>
      <c r="F2" t="s">
        <v>2036</v>
      </c>
      <c r="G2">
        <v>2021</v>
      </c>
      <c r="H2">
        <v>9</v>
      </c>
      <c r="I2" s="8">
        <v>44440</v>
      </c>
      <c r="J2">
        <v>450</v>
      </c>
      <c r="K2">
        <v>450</v>
      </c>
      <c r="L2">
        <v>125980</v>
      </c>
      <c r="M2">
        <v>18185</v>
      </c>
      <c r="N2">
        <v>125980</v>
      </c>
      <c r="O2">
        <v>18185</v>
      </c>
      <c r="P2">
        <v>0</v>
      </c>
      <c r="Q2">
        <v>12.33</v>
      </c>
      <c r="R2">
        <v>23.94</v>
      </c>
      <c r="S2">
        <v>10.17</v>
      </c>
      <c r="T2">
        <v>99.17</v>
      </c>
      <c r="U2">
        <v>128.84</v>
      </c>
      <c r="V2">
        <v>0</v>
      </c>
      <c r="W2">
        <v>0</v>
      </c>
      <c r="X2">
        <v>32213.32</v>
      </c>
      <c r="AA2" s="232">
        <f>J2*Q2+K2*R2+((L2+M2)/1000)*S2</f>
        <v>17787.658049999998</v>
      </c>
      <c r="AB2" s="232">
        <f>((N2+O2)/1000)*T2</f>
        <v>14296.843049999999</v>
      </c>
    </row>
    <row r="3" spans="1:28" hidden="1">
      <c r="A3" t="s">
        <v>2346</v>
      </c>
      <c r="B3">
        <v>5352</v>
      </c>
      <c r="C3" t="s">
        <v>2625</v>
      </c>
      <c r="D3">
        <v>5697</v>
      </c>
      <c r="E3" t="s">
        <v>2344</v>
      </c>
      <c r="F3" t="s">
        <v>2036</v>
      </c>
      <c r="G3">
        <v>2021</v>
      </c>
      <c r="H3">
        <v>8</v>
      </c>
      <c r="I3" s="8">
        <v>44409</v>
      </c>
      <c r="J3">
        <v>735</v>
      </c>
      <c r="K3">
        <v>650</v>
      </c>
      <c r="L3">
        <v>175218</v>
      </c>
      <c r="M3">
        <v>27527</v>
      </c>
      <c r="N3">
        <v>175218</v>
      </c>
      <c r="O3">
        <v>27527</v>
      </c>
      <c r="P3">
        <v>0</v>
      </c>
      <c r="Q3">
        <v>12.33</v>
      </c>
      <c r="R3">
        <v>23.94</v>
      </c>
      <c r="S3">
        <v>10.17</v>
      </c>
      <c r="T3">
        <v>99.17</v>
      </c>
      <c r="U3">
        <v>84.37</v>
      </c>
      <c r="V3">
        <v>0</v>
      </c>
      <c r="W3">
        <v>0</v>
      </c>
      <c r="X3">
        <v>39873.199999999997</v>
      </c>
      <c r="AA3" s="232">
        <f t="shared" ref="AA3:AA66" si="0">J3*Q3+K3*R3+((L3+M3)/1000)*S3</f>
        <v>26685.466649999998</v>
      </c>
      <c r="AB3" s="232">
        <f t="shared" ref="AB3:AB66" si="1">((N3+O3)/1000)*T3</f>
        <v>20106.221649999999</v>
      </c>
    </row>
    <row r="4" spans="1:28" hidden="1">
      <c r="A4" t="s">
        <v>2347</v>
      </c>
      <c r="B4">
        <v>5352</v>
      </c>
      <c r="C4" t="s">
        <v>2625</v>
      </c>
      <c r="D4">
        <v>5697</v>
      </c>
      <c r="E4" t="s">
        <v>2344</v>
      </c>
      <c r="F4" t="s">
        <v>2036</v>
      </c>
      <c r="G4">
        <v>2021</v>
      </c>
      <c r="H4">
        <v>6</v>
      </c>
      <c r="I4" s="8">
        <v>44348</v>
      </c>
      <c r="J4">
        <v>470</v>
      </c>
      <c r="K4">
        <v>530</v>
      </c>
      <c r="L4">
        <v>147353</v>
      </c>
      <c r="M4">
        <v>21413</v>
      </c>
      <c r="N4">
        <v>147353</v>
      </c>
      <c r="O4">
        <v>21413</v>
      </c>
      <c r="P4">
        <v>0</v>
      </c>
      <c r="Q4">
        <v>12.33</v>
      </c>
      <c r="R4">
        <v>23.94</v>
      </c>
      <c r="S4">
        <v>10.17</v>
      </c>
      <c r="T4">
        <v>99.17</v>
      </c>
      <c r="U4">
        <v>2445.6</v>
      </c>
      <c r="V4">
        <v>0</v>
      </c>
      <c r="W4">
        <v>-1154.17</v>
      </c>
      <c r="X4">
        <v>38227.589999999997</v>
      </c>
      <c r="AA4" s="232">
        <f t="shared" si="0"/>
        <v>20199.650220000003</v>
      </c>
      <c r="AB4" s="232">
        <f t="shared" si="1"/>
        <v>16736.524219999999</v>
      </c>
    </row>
    <row r="5" spans="1:28" hidden="1">
      <c r="A5" t="s">
        <v>2348</v>
      </c>
      <c r="B5">
        <v>5352</v>
      </c>
      <c r="C5" t="s">
        <v>2625</v>
      </c>
      <c r="D5">
        <v>5697</v>
      </c>
      <c r="E5" t="s">
        <v>2344</v>
      </c>
      <c r="F5" t="s">
        <v>2036</v>
      </c>
      <c r="G5">
        <v>2021</v>
      </c>
      <c r="H5">
        <v>6</v>
      </c>
      <c r="I5" s="8">
        <v>44348</v>
      </c>
      <c r="J5">
        <v>573</v>
      </c>
      <c r="K5">
        <v>560</v>
      </c>
      <c r="L5">
        <v>187881</v>
      </c>
      <c r="M5">
        <v>25796</v>
      </c>
      <c r="N5">
        <v>187881</v>
      </c>
      <c r="O5">
        <v>25796</v>
      </c>
      <c r="P5">
        <v>0</v>
      </c>
      <c r="Q5">
        <v>12.33</v>
      </c>
      <c r="R5">
        <v>23.94</v>
      </c>
      <c r="S5">
        <v>10.17</v>
      </c>
      <c r="T5">
        <v>99.17</v>
      </c>
      <c r="U5">
        <v>2902.01</v>
      </c>
      <c r="V5">
        <v>0</v>
      </c>
      <c r="W5">
        <v>-18.77</v>
      </c>
      <c r="X5">
        <v>46712.46</v>
      </c>
      <c r="AA5" s="232">
        <f t="shared" si="0"/>
        <v>22644.58509</v>
      </c>
      <c r="AB5" s="232">
        <f t="shared" si="1"/>
        <v>21190.34809</v>
      </c>
    </row>
    <row r="6" spans="1:28" hidden="1">
      <c r="A6" t="s">
        <v>2349</v>
      </c>
      <c r="B6">
        <v>5352</v>
      </c>
      <c r="C6" t="s">
        <v>2625</v>
      </c>
      <c r="D6">
        <v>5697</v>
      </c>
      <c r="E6" t="s">
        <v>2344</v>
      </c>
      <c r="F6" t="s">
        <v>2036</v>
      </c>
      <c r="G6">
        <v>2021</v>
      </c>
      <c r="H6">
        <v>6</v>
      </c>
      <c r="I6" s="8">
        <v>44348</v>
      </c>
      <c r="J6">
        <v>1360</v>
      </c>
      <c r="K6">
        <v>1250</v>
      </c>
      <c r="L6">
        <v>660104</v>
      </c>
      <c r="M6">
        <v>32722</v>
      </c>
      <c r="N6">
        <v>660104</v>
      </c>
      <c r="O6">
        <v>32722</v>
      </c>
      <c r="P6">
        <v>0</v>
      </c>
      <c r="Q6">
        <v>12.33</v>
      </c>
      <c r="R6">
        <v>23.94</v>
      </c>
      <c r="S6">
        <v>10.17</v>
      </c>
      <c r="T6">
        <v>99.17</v>
      </c>
      <c r="U6">
        <v>8107.44</v>
      </c>
      <c r="V6">
        <v>0</v>
      </c>
      <c r="W6">
        <v>-4324.99</v>
      </c>
      <c r="X6">
        <v>126299.83</v>
      </c>
      <c r="AA6" s="232">
        <f t="shared" si="0"/>
        <v>53739.84042</v>
      </c>
      <c r="AB6" s="232">
        <f t="shared" si="1"/>
        <v>68707.55442</v>
      </c>
    </row>
    <row r="7" spans="1:28" hidden="1">
      <c r="A7" t="s">
        <v>2350</v>
      </c>
      <c r="B7">
        <v>5352</v>
      </c>
      <c r="C7" t="s">
        <v>2625</v>
      </c>
      <c r="D7">
        <v>5697</v>
      </c>
      <c r="E7" t="s">
        <v>2344</v>
      </c>
      <c r="F7" t="s">
        <v>2036</v>
      </c>
      <c r="G7">
        <v>2021</v>
      </c>
      <c r="H7">
        <v>6</v>
      </c>
      <c r="I7" s="8">
        <v>44348</v>
      </c>
      <c r="J7">
        <v>2400</v>
      </c>
      <c r="K7">
        <v>2400</v>
      </c>
      <c r="L7">
        <v>842703</v>
      </c>
      <c r="M7">
        <v>121005</v>
      </c>
      <c r="N7">
        <v>761035</v>
      </c>
      <c r="O7">
        <v>121005</v>
      </c>
      <c r="P7">
        <v>81668</v>
      </c>
      <c r="Q7">
        <v>12.33</v>
      </c>
      <c r="R7">
        <v>23.94</v>
      </c>
      <c r="S7">
        <v>10.17</v>
      </c>
      <c r="T7">
        <v>99.17</v>
      </c>
      <c r="U7">
        <v>12204.2</v>
      </c>
      <c r="V7">
        <v>0</v>
      </c>
      <c r="W7">
        <v>-38944.22</v>
      </c>
      <c r="X7">
        <v>157580.78</v>
      </c>
      <c r="AA7" s="232">
        <f t="shared" si="0"/>
        <v>96848.910359999994</v>
      </c>
      <c r="AB7" s="232">
        <f t="shared" si="1"/>
        <v>87471.906799999997</v>
      </c>
    </row>
    <row r="8" spans="1:28" hidden="1">
      <c r="A8" t="s">
        <v>2351</v>
      </c>
      <c r="B8">
        <v>5352</v>
      </c>
      <c r="C8" t="s">
        <v>2625</v>
      </c>
      <c r="D8">
        <v>5697</v>
      </c>
      <c r="E8" t="s">
        <v>2344</v>
      </c>
      <c r="F8" t="s">
        <v>2036</v>
      </c>
      <c r="G8">
        <v>2021</v>
      </c>
      <c r="H8">
        <v>6</v>
      </c>
      <c r="I8" s="8">
        <v>44348</v>
      </c>
      <c r="J8">
        <v>1351</v>
      </c>
      <c r="K8">
        <v>1270</v>
      </c>
      <c r="L8">
        <v>480650</v>
      </c>
      <c r="M8">
        <v>67688</v>
      </c>
      <c r="N8">
        <v>480650</v>
      </c>
      <c r="O8">
        <v>67688</v>
      </c>
      <c r="P8">
        <v>0</v>
      </c>
      <c r="Q8">
        <v>12.33</v>
      </c>
      <c r="R8">
        <v>23.94</v>
      </c>
      <c r="S8">
        <v>10.17</v>
      </c>
      <c r="T8">
        <v>99.17</v>
      </c>
      <c r="U8">
        <v>7331.75</v>
      </c>
      <c r="V8">
        <v>0</v>
      </c>
      <c r="W8">
        <v>0</v>
      </c>
      <c r="X8">
        <v>118063.84</v>
      </c>
      <c r="AA8" s="232">
        <f t="shared" si="0"/>
        <v>52638.227460000002</v>
      </c>
      <c r="AB8" s="232">
        <f t="shared" si="1"/>
        <v>54378.679459999999</v>
      </c>
    </row>
    <row r="9" spans="1:28" hidden="1">
      <c r="A9" t="s">
        <v>2352</v>
      </c>
      <c r="B9">
        <v>5352</v>
      </c>
      <c r="C9" t="s">
        <v>2625</v>
      </c>
      <c r="D9">
        <v>5697</v>
      </c>
      <c r="E9" t="s">
        <v>2344</v>
      </c>
      <c r="F9" t="s">
        <v>2036</v>
      </c>
      <c r="G9">
        <v>2021</v>
      </c>
      <c r="H9">
        <v>6</v>
      </c>
      <c r="I9" s="8">
        <v>44348</v>
      </c>
      <c r="J9">
        <v>350</v>
      </c>
      <c r="K9">
        <v>350</v>
      </c>
      <c r="L9">
        <v>104535</v>
      </c>
      <c r="M9">
        <v>14646</v>
      </c>
      <c r="N9">
        <v>104535</v>
      </c>
      <c r="O9">
        <v>14646</v>
      </c>
      <c r="P9">
        <v>0</v>
      </c>
      <c r="Q9">
        <v>12.33</v>
      </c>
      <c r="R9">
        <v>23.94</v>
      </c>
      <c r="S9">
        <v>10.17</v>
      </c>
      <c r="T9">
        <v>99.17</v>
      </c>
      <c r="U9">
        <v>1703.33</v>
      </c>
      <c r="V9">
        <v>0</v>
      </c>
      <c r="W9">
        <v>-473.03</v>
      </c>
      <c r="X9">
        <v>26956.03</v>
      </c>
      <c r="AA9" s="232">
        <f t="shared" si="0"/>
        <v>13906.57077</v>
      </c>
      <c r="AB9" s="232">
        <f t="shared" si="1"/>
        <v>11819.179770000001</v>
      </c>
    </row>
    <row r="10" spans="1:28" hidden="1">
      <c r="A10" t="s">
        <v>2353</v>
      </c>
      <c r="B10">
        <v>5352</v>
      </c>
      <c r="C10" t="s">
        <v>2625</v>
      </c>
      <c r="D10">
        <v>5697</v>
      </c>
      <c r="E10" t="s">
        <v>2344</v>
      </c>
      <c r="F10" t="s">
        <v>2036</v>
      </c>
      <c r="G10">
        <v>2021</v>
      </c>
      <c r="H10">
        <v>6</v>
      </c>
      <c r="I10" s="8">
        <v>44348</v>
      </c>
      <c r="J10">
        <v>103</v>
      </c>
      <c r="K10">
        <v>96</v>
      </c>
      <c r="L10">
        <v>27634</v>
      </c>
      <c r="M10">
        <v>4014</v>
      </c>
      <c r="N10">
        <v>27634</v>
      </c>
      <c r="O10">
        <v>4014</v>
      </c>
      <c r="P10">
        <v>0</v>
      </c>
      <c r="Q10">
        <v>12.33</v>
      </c>
      <c r="R10">
        <v>23.94</v>
      </c>
      <c r="S10">
        <v>10.17</v>
      </c>
      <c r="T10">
        <v>99.17</v>
      </c>
      <c r="U10">
        <v>584.77</v>
      </c>
      <c r="V10">
        <v>0</v>
      </c>
      <c r="W10">
        <v>0</v>
      </c>
      <c r="X10">
        <v>9416.75</v>
      </c>
      <c r="AA10" s="232">
        <f t="shared" si="0"/>
        <v>3890.0901600000007</v>
      </c>
      <c r="AB10" s="232">
        <f t="shared" si="1"/>
        <v>3138.5321600000002</v>
      </c>
    </row>
    <row r="11" spans="1:28" hidden="1">
      <c r="A11" t="s">
        <v>2354</v>
      </c>
      <c r="B11">
        <v>5352</v>
      </c>
      <c r="C11" t="s">
        <v>2625</v>
      </c>
      <c r="D11">
        <v>5697</v>
      </c>
      <c r="E11" t="s">
        <v>2344</v>
      </c>
      <c r="F11" t="s">
        <v>2036</v>
      </c>
      <c r="G11">
        <v>2021</v>
      </c>
      <c r="H11">
        <v>6</v>
      </c>
      <c r="I11" s="8">
        <v>44348</v>
      </c>
      <c r="J11">
        <v>580</v>
      </c>
      <c r="K11">
        <v>580</v>
      </c>
      <c r="L11">
        <v>158252</v>
      </c>
      <c r="M11">
        <v>21349</v>
      </c>
      <c r="N11">
        <v>158252</v>
      </c>
      <c r="O11">
        <v>21349</v>
      </c>
      <c r="P11">
        <v>0</v>
      </c>
      <c r="Q11">
        <v>12.33</v>
      </c>
      <c r="R11">
        <v>23.94</v>
      </c>
      <c r="S11">
        <v>10.17</v>
      </c>
      <c r="T11">
        <v>99.17</v>
      </c>
      <c r="U11">
        <v>2693.12</v>
      </c>
      <c r="V11">
        <v>0</v>
      </c>
      <c r="W11">
        <v>-460.7</v>
      </c>
      <c r="X11">
        <v>42906.58</v>
      </c>
      <c r="AA11" s="232">
        <f t="shared" si="0"/>
        <v>22863.142169999999</v>
      </c>
      <c r="AB11" s="232">
        <f t="shared" si="1"/>
        <v>17811.031170000002</v>
      </c>
    </row>
    <row r="12" spans="1:28" hidden="1">
      <c r="A12" t="s">
        <v>2355</v>
      </c>
      <c r="B12">
        <v>5352</v>
      </c>
      <c r="C12" t="s">
        <v>2625</v>
      </c>
      <c r="D12">
        <v>5697</v>
      </c>
      <c r="E12" t="s">
        <v>2344</v>
      </c>
      <c r="F12" t="s">
        <v>2036</v>
      </c>
      <c r="G12">
        <v>2021</v>
      </c>
      <c r="H12">
        <v>6</v>
      </c>
      <c r="I12" s="8">
        <v>44348</v>
      </c>
      <c r="J12">
        <v>735</v>
      </c>
      <c r="K12">
        <v>650</v>
      </c>
      <c r="L12">
        <v>184736</v>
      </c>
      <c r="M12">
        <v>26067</v>
      </c>
      <c r="N12">
        <v>184736</v>
      </c>
      <c r="O12">
        <v>26067</v>
      </c>
      <c r="P12">
        <v>0</v>
      </c>
      <c r="Q12">
        <v>12.33</v>
      </c>
      <c r="R12">
        <v>23.94</v>
      </c>
      <c r="S12">
        <v>10.17</v>
      </c>
      <c r="T12">
        <v>99.17</v>
      </c>
      <c r="U12">
        <v>3156.49</v>
      </c>
      <c r="V12">
        <v>0</v>
      </c>
      <c r="W12">
        <v>-3895.7</v>
      </c>
      <c r="X12">
        <v>46933.52</v>
      </c>
      <c r="AA12" s="232">
        <f t="shared" si="0"/>
        <v>26767.416509999999</v>
      </c>
      <c r="AB12" s="232">
        <f t="shared" si="1"/>
        <v>20905.33351</v>
      </c>
    </row>
    <row r="13" spans="1:28" hidden="1">
      <c r="A13" t="s">
        <v>2356</v>
      </c>
      <c r="B13">
        <v>5352</v>
      </c>
      <c r="C13" t="s">
        <v>2625</v>
      </c>
      <c r="D13">
        <v>5697</v>
      </c>
      <c r="E13" t="s">
        <v>2344</v>
      </c>
      <c r="F13" t="s">
        <v>2036</v>
      </c>
      <c r="G13">
        <v>2021</v>
      </c>
      <c r="H13">
        <v>6</v>
      </c>
      <c r="I13" s="8">
        <v>44348</v>
      </c>
      <c r="J13">
        <v>320</v>
      </c>
      <c r="K13">
        <v>320</v>
      </c>
      <c r="L13">
        <v>93223</v>
      </c>
      <c r="M13">
        <v>12707</v>
      </c>
      <c r="N13">
        <v>93223</v>
      </c>
      <c r="O13">
        <v>12707</v>
      </c>
      <c r="P13">
        <v>0</v>
      </c>
      <c r="Q13">
        <v>12.33</v>
      </c>
      <c r="R13">
        <v>23.94</v>
      </c>
      <c r="S13">
        <v>10.17</v>
      </c>
      <c r="T13">
        <v>99.17</v>
      </c>
      <c r="U13">
        <v>1535.37</v>
      </c>
      <c r="V13">
        <v>0</v>
      </c>
      <c r="W13">
        <v>-1892.04</v>
      </c>
      <c r="X13">
        <v>22832.1</v>
      </c>
      <c r="AA13" s="232">
        <f t="shared" si="0"/>
        <v>12683.7081</v>
      </c>
      <c r="AB13" s="232">
        <f t="shared" si="1"/>
        <v>10505.078100000001</v>
      </c>
    </row>
    <row r="14" spans="1:28" hidden="1">
      <c r="A14" t="s">
        <v>2357</v>
      </c>
      <c r="B14">
        <v>5352</v>
      </c>
      <c r="C14" t="s">
        <v>2625</v>
      </c>
      <c r="D14">
        <v>5697</v>
      </c>
      <c r="E14" t="s">
        <v>2344</v>
      </c>
      <c r="F14" t="s">
        <v>2036</v>
      </c>
      <c r="G14">
        <v>2021</v>
      </c>
      <c r="H14">
        <v>6</v>
      </c>
      <c r="I14" s="8">
        <v>44348</v>
      </c>
      <c r="J14">
        <v>450</v>
      </c>
      <c r="K14">
        <v>450</v>
      </c>
      <c r="L14">
        <v>121845</v>
      </c>
      <c r="M14">
        <v>16797</v>
      </c>
      <c r="N14">
        <v>121845</v>
      </c>
      <c r="O14">
        <v>16797</v>
      </c>
      <c r="P14">
        <v>0</v>
      </c>
      <c r="Q14">
        <v>12.33</v>
      </c>
      <c r="R14">
        <v>23.94</v>
      </c>
      <c r="S14">
        <v>10.17</v>
      </c>
      <c r="T14">
        <v>99.17</v>
      </c>
      <c r="U14">
        <v>2084.39</v>
      </c>
      <c r="V14">
        <v>0</v>
      </c>
      <c r="W14">
        <v>-1772.24</v>
      </c>
      <c r="X14">
        <v>31792.74</v>
      </c>
      <c r="AA14" s="232">
        <f t="shared" si="0"/>
        <v>17731.489140000001</v>
      </c>
      <c r="AB14" s="232">
        <f t="shared" si="1"/>
        <v>13749.127140000001</v>
      </c>
    </row>
    <row r="15" spans="1:28" hidden="1">
      <c r="A15" t="s">
        <v>2358</v>
      </c>
      <c r="B15">
        <v>5352</v>
      </c>
      <c r="C15" t="s">
        <v>2625</v>
      </c>
      <c r="D15">
        <v>5697</v>
      </c>
      <c r="E15" t="s">
        <v>2344</v>
      </c>
      <c r="F15" t="s">
        <v>2036</v>
      </c>
      <c r="G15">
        <v>2021</v>
      </c>
      <c r="H15">
        <v>6</v>
      </c>
      <c r="I15" s="8">
        <v>44348</v>
      </c>
      <c r="J15">
        <v>820</v>
      </c>
      <c r="K15">
        <v>820</v>
      </c>
      <c r="L15">
        <v>280640</v>
      </c>
      <c r="M15">
        <v>36107</v>
      </c>
      <c r="N15">
        <v>280640</v>
      </c>
      <c r="O15">
        <v>36107</v>
      </c>
      <c r="P15">
        <v>0</v>
      </c>
      <c r="Q15">
        <v>12.33</v>
      </c>
      <c r="R15">
        <v>23.94</v>
      </c>
      <c r="S15">
        <v>10.17</v>
      </c>
      <c r="T15">
        <v>99.17</v>
      </c>
      <c r="U15">
        <v>4262.3599999999997</v>
      </c>
      <c r="V15">
        <v>0</v>
      </c>
      <c r="W15">
        <v>-3707.49</v>
      </c>
      <c r="X15">
        <v>64929.36</v>
      </c>
      <c r="AA15" s="232">
        <f t="shared" si="0"/>
        <v>32962.716990000001</v>
      </c>
      <c r="AB15" s="232">
        <f t="shared" si="1"/>
        <v>31411.799990000003</v>
      </c>
    </row>
    <row r="16" spans="1:28" hidden="1">
      <c r="A16" t="s">
        <v>2359</v>
      </c>
      <c r="B16">
        <v>5352</v>
      </c>
      <c r="C16" t="s">
        <v>2625</v>
      </c>
      <c r="D16">
        <v>5697</v>
      </c>
      <c r="E16" t="s">
        <v>2344</v>
      </c>
      <c r="F16" t="s">
        <v>2036</v>
      </c>
      <c r="G16">
        <v>2021</v>
      </c>
      <c r="H16">
        <v>6</v>
      </c>
      <c r="I16" s="8">
        <v>44348</v>
      </c>
      <c r="J16">
        <v>1300</v>
      </c>
      <c r="K16">
        <v>1350</v>
      </c>
      <c r="L16">
        <v>194235</v>
      </c>
      <c r="M16">
        <v>28642</v>
      </c>
      <c r="N16">
        <v>194235</v>
      </c>
      <c r="O16">
        <v>28642</v>
      </c>
      <c r="P16">
        <v>0</v>
      </c>
      <c r="Q16">
        <v>12.33</v>
      </c>
      <c r="R16">
        <v>23.94</v>
      </c>
      <c r="S16">
        <v>10.17</v>
      </c>
      <c r="T16">
        <v>99.17</v>
      </c>
      <c r="U16">
        <v>4814.74</v>
      </c>
      <c r="V16">
        <v>0</v>
      </c>
      <c r="W16">
        <v>0</v>
      </c>
      <c r="X16">
        <v>77532.08</v>
      </c>
      <c r="AA16" s="232">
        <f t="shared" si="0"/>
        <v>50614.659090000001</v>
      </c>
      <c r="AB16" s="232">
        <f t="shared" si="1"/>
        <v>22102.712090000001</v>
      </c>
    </row>
    <row r="17" spans="1:28" hidden="1">
      <c r="A17" t="s">
        <v>2360</v>
      </c>
      <c r="B17">
        <v>5352</v>
      </c>
      <c r="C17" t="s">
        <v>2625</v>
      </c>
      <c r="D17">
        <v>5697</v>
      </c>
      <c r="E17" t="s">
        <v>2344</v>
      </c>
      <c r="F17" t="s">
        <v>2036</v>
      </c>
      <c r="G17">
        <v>2021</v>
      </c>
      <c r="H17">
        <v>6</v>
      </c>
      <c r="I17" s="8">
        <v>44348</v>
      </c>
      <c r="J17">
        <v>810</v>
      </c>
      <c r="K17">
        <v>930</v>
      </c>
      <c r="L17">
        <v>185048</v>
      </c>
      <c r="M17">
        <v>27719</v>
      </c>
      <c r="N17">
        <v>185048</v>
      </c>
      <c r="O17">
        <v>27719</v>
      </c>
      <c r="P17">
        <v>0</v>
      </c>
      <c r="Q17">
        <v>12.33</v>
      </c>
      <c r="R17">
        <v>23.94</v>
      </c>
      <c r="S17">
        <v>10.17</v>
      </c>
      <c r="T17">
        <v>99.17</v>
      </c>
      <c r="U17">
        <v>3675.79</v>
      </c>
      <c r="V17">
        <v>0</v>
      </c>
      <c r="W17">
        <v>-3531.16</v>
      </c>
      <c r="X17">
        <v>55660.06</v>
      </c>
      <c r="AA17" s="232">
        <f t="shared" si="0"/>
        <v>34415.340389999998</v>
      </c>
      <c r="AB17" s="232">
        <f t="shared" si="1"/>
        <v>21100.10339</v>
      </c>
    </row>
    <row r="18" spans="1:28" hidden="1">
      <c r="A18" t="s">
        <v>2361</v>
      </c>
      <c r="B18">
        <v>5352</v>
      </c>
      <c r="C18" t="s">
        <v>2625</v>
      </c>
      <c r="D18">
        <v>5697</v>
      </c>
      <c r="E18" t="s">
        <v>2344</v>
      </c>
      <c r="F18" t="s">
        <v>2036</v>
      </c>
      <c r="G18">
        <v>2021</v>
      </c>
      <c r="H18">
        <v>6</v>
      </c>
      <c r="I18" s="8">
        <v>44348</v>
      </c>
      <c r="J18">
        <v>250</v>
      </c>
      <c r="K18">
        <v>250</v>
      </c>
      <c r="L18">
        <v>57656</v>
      </c>
      <c r="M18">
        <v>7473</v>
      </c>
      <c r="N18">
        <v>57656</v>
      </c>
      <c r="O18">
        <v>7473</v>
      </c>
      <c r="P18">
        <v>0</v>
      </c>
      <c r="Q18">
        <v>12.33</v>
      </c>
      <c r="R18">
        <v>23.94</v>
      </c>
      <c r="S18">
        <v>10.17</v>
      </c>
      <c r="T18">
        <v>99.17</v>
      </c>
      <c r="U18">
        <v>999.87</v>
      </c>
      <c r="V18">
        <v>0</v>
      </c>
      <c r="W18">
        <v>-1134.99</v>
      </c>
      <c r="X18">
        <v>19991.060000000001</v>
      </c>
      <c r="AA18" s="232">
        <f t="shared" si="0"/>
        <v>9729.8619299999991</v>
      </c>
      <c r="AB18" s="232">
        <f t="shared" si="1"/>
        <v>6458.8429300000007</v>
      </c>
    </row>
    <row r="19" spans="1:28" hidden="1">
      <c r="A19" t="s">
        <v>2362</v>
      </c>
      <c r="B19">
        <v>5352</v>
      </c>
      <c r="C19" t="s">
        <v>2625</v>
      </c>
      <c r="D19">
        <v>5697</v>
      </c>
      <c r="E19" t="s">
        <v>2344</v>
      </c>
      <c r="F19" t="s">
        <v>2036</v>
      </c>
      <c r="G19">
        <v>2021</v>
      </c>
      <c r="H19">
        <v>6</v>
      </c>
      <c r="I19" s="8">
        <v>44348</v>
      </c>
      <c r="J19">
        <v>902</v>
      </c>
      <c r="K19">
        <v>860</v>
      </c>
      <c r="L19">
        <v>320999</v>
      </c>
      <c r="M19">
        <v>39304</v>
      </c>
      <c r="N19">
        <v>320999</v>
      </c>
      <c r="O19">
        <v>39304</v>
      </c>
      <c r="P19">
        <v>0</v>
      </c>
      <c r="Q19">
        <v>12.33</v>
      </c>
      <c r="R19">
        <v>23.94</v>
      </c>
      <c r="S19">
        <v>10.17</v>
      </c>
      <c r="T19">
        <v>99.17</v>
      </c>
      <c r="U19">
        <v>4707.79</v>
      </c>
      <c r="V19">
        <v>0</v>
      </c>
      <c r="W19">
        <v>-5034.2</v>
      </c>
      <c r="X19">
        <v>70775.53</v>
      </c>
      <c r="AA19" s="232">
        <f t="shared" si="0"/>
        <v>35374.341509999998</v>
      </c>
      <c r="AB19" s="232">
        <f t="shared" si="1"/>
        <v>35731.248509999998</v>
      </c>
    </row>
    <row r="20" spans="1:28" hidden="1">
      <c r="A20" t="s">
        <v>2363</v>
      </c>
      <c r="B20">
        <v>5352</v>
      </c>
      <c r="C20" t="s">
        <v>2625</v>
      </c>
      <c r="D20">
        <v>5697</v>
      </c>
      <c r="E20" t="s">
        <v>2344</v>
      </c>
      <c r="F20" t="s">
        <v>2036</v>
      </c>
      <c r="G20">
        <v>2021</v>
      </c>
      <c r="H20">
        <v>6</v>
      </c>
      <c r="I20" s="8">
        <v>44348</v>
      </c>
      <c r="J20">
        <v>600</v>
      </c>
      <c r="K20">
        <v>600</v>
      </c>
      <c r="L20">
        <v>154241</v>
      </c>
      <c r="M20">
        <v>21005</v>
      </c>
      <c r="N20">
        <v>154241</v>
      </c>
      <c r="O20">
        <v>21005</v>
      </c>
      <c r="P20">
        <v>0</v>
      </c>
      <c r="Q20">
        <v>12.33</v>
      </c>
      <c r="R20">
        <v>23.94</v>
      </c>
      <c r="S20">
        <v>10.17</v>
      </c>
      <c r="T20">
        <v>99.17</v>
      </c>
      <c r="U20">
        <v>2709.61</v>
      </c>
      <c r="V20">
        <v>0</v>
      </c>
      <c r="W20">
        <v>-2331</v>
      </c>
      <c r="X20">
        <v>41301.99</v>
      </c>
      <c r="AA20" s="232">
        <f t="shared" si="0"/>
        <v>23544.251820000001</v>
      </c>
      <c r="AB20" s="232">
        <f t="shared" si="1"/>
        <v>17379.145820000002</v>
      </c>
    </row>
    <row r="21" spans="1:28" hidden="1">
      <c r="A21" t="s">
        <v>2364</v>
      </c>
      <c r="B21">
        <v>5352</v>
      </c>
      <c r="C21" t="s">
        <v>2625</v>
      </c>
      <c r="D21">
        <v>5697</v>
      </c>
      <c r="E21" t="s">
        <v>2344</v>
      </c>
      <c r="F21" t="s">
        <v>2036</v>
      </c>
      <c r="G21">
        <v>2021</v>
      </c>
      <c r="H21">
        <v>7</v>
      </c>
      <c r="I21" s="8">
        <v>44378</v>
      </c>
      <c r="J21">
        <v>1300</v>
      </c>
      <c r="K21">
        <v>1350</v>
      </c>
      <c r="L21">
        <v>191664</v>
      </c>
      <c r="M21">
        <v>28139</v>
      </c>
      <c r="N21">
        <v>191664</v>
      </c>
      <c r="O21">
        <v>28139</v>
      </c>
      <c r="P21">
        <v>0</v>
      </c>
      <c r="Q21">
        <v>12.33</v>
      </c>
      <c r="R21">
        <v>23.94</v>
      </c>
      <c r="S21">
        <v>10.17</v>
      </c>
      <c r="T21">
        <v>99.17</v>
      </c>
      <c r="U21">
        <v>2431.42</v>
      </c>
      <c r="V21">
        <v>0</v>
      </c>
      <c r="W21">
        <v>0</v>
      </c>
      <c r="X21">
        <v>74812.66</v>
      </c>
      <c r="AA21" s="232">
        <f t="shared" si="0"/>
        <v>50583.396509999999</v>
      </c>
      <c r="AB21" s="232">
        <f t="shared" si="1"/>
        <v>21797.863509999999</v>
      </c>
    </row>
    <row r="22" spans="1:28" hidden="1">
      <c r="A22" t="s">
        <v>2365</v>
      </c>
      <c r="B22">
        <v>5352</v>
      </c>
      <c r="C22" t="s">
        <v>2625</v>
      </c>
      <c r="D22">
        <v>5697</v>
      </c>
      <c r="E22" t="s">
        <v>2344</v>
      </c>
      <c r="F22" t="s">
        <v>2036</v>
      </c>
      <c r="G22">
        <v>2021</v>
      </c>
      <c r="H22">
        <v>7</v>
      </c>
      <c r="I22" s="8">
        <v>44378</v>
      </c>
      <c r="J22">
        <v>810</v>
      </c>
      <c r="K22">
        <v>930</v>
      </c>
      <c r="L22">
        <v>182490</v>
      </c>
      <c r="M22">
        <v>27407</v>
      </c>
      <c r="N22">
        <v>182490</v>
      </c>
      <c r="O22">
        <v>27407</v>
      </c>
      <c r="P22">
        <v>0</v>
      </c>
      <c r="Q22">
        <v>12.33</v>
      </c>
      <c r="R22">
        <v>23.94</v>
      </c>
      <c r="S22">
        <v>10.17</v>
      </c>
      <c r="T22">
        <v>99.17</v>
      </c>
      <c r="U22">
        <v>1854.32</v>
      </c>
      <c r="V22">
        <v>0</v>
      </c>
      <c r="W22">
        <v>0</v>
      </c>
      <c r="X22">
        <v>57055.94</v>
      </c>
      <c r="AA22" s="232">
        <f t="shared" si="0"/>
        <v>34386.15249</v>
      </c>
      <c r="AB22" s="232">
        <f t="shared" si="1"/>
        <v>20815.485489999999</v>
      </c>
    </row>
    <row r="23" spans="1:28" hidden="1">
      <c r="A23" t="s">
        <v>2366</v>
      </c>
      <c r="B23">
        <v>5352</v>
      </c>
      <c r="C23" t="s">
        <v>2625</v>
      </c>
      <c r="D23">
        <v>5697</v>
      </c>
      <c r="E23" t="s">
        <v>2344</v>
      </c>
      <c r="F23" t="s">
        <v>2036</v>
      </c>
      <c r="G23">
        <v>2021</v>
      </c>
      <c r="H23">
        <v>7</v>
      </c>
      <c r="I23" s="8">
        <v>44378</v>
      </c>
      <c r="J23">
        <v>250</v>
      </c>
      <c r="K23">
        <v>250</v>
      </c>
      <c r="L23">
        <v>55458</v>
      </c>
      <c r="M23">
        <v>7486</v>
      </c>
      <c r="N23">
        <v>55458</v>
      </c>
      <c r="O23">
        <v>7486</v>
      </c>
      <c r="P23">
        <v>0</v>
      </c>
      <c r="Q23">
        <v>12.33</v>
      </c>
      <c r="R23">
        <v>23.94</v>
      </c>
      <c r="S23">
        <v>10.17</v>
      </c>
      <c r="T23">
        <v>99.17</v>
      </c>
      <c r="U23">
        <v>535.79</v>
      </c>
      <c r="V23">
        <v>0</v>
      </c>
      <c r="W23">
        <v>0</v>
      </c>
      <c r="X23">
        <v>20351.05</v>
      </c>
      <c r="AA23" s="232">
        <f t="shared" si="0"/>
        <v>9707.64048</v>
      </c>
      <c r="AB23" s="232">
        <f t="shared" si="1"/>
        <v>6242.1564800000006</v>
      </c>
    </row>
    <row r="24" spans="1:28" hidden="1">
      <c r="A24" t="s">
        <v>2367</v>
      </c>
      <c r="B24">
        <v>5352</v>
      </c>
      <c r="C24" t="s">
        <v>2625</v>
      </c>
      <c r="D24">
        <v>5697</v>
      </c>
      <c r="E24" t="s">
        <v>2344</v>
      </c>
      <c r="F24" t="s">
        <v>2036</v>
      </c>
      <c r="G24">
        <v>2021</v>
      </c>
      <c r="H24">
        <v>7</v>
      </c>
      <c r="I24" s="8">
        <v>44378</v>
      </c>
      <c r="J24">
        <v>470</v>
      </c>
      <c r="K24">
        <v>530</v>
      </c>
      <c r="L24">
        <v>144936</v>
      </c>
      <c r="M24">
        <v>21996</v>
      </c>
      <c r="N24">
        <v>144936</v>
      </c>
      <c r="O24">
        <v>21996</v>
      </c>
      <c r="P24">
        <v>0</v>
      </c>
      <c r="Q24">
        <v>12.33</v>
      </c>
      <c r="R24">
        <v>23.94</v>
      </c>
      <c r="S24">
        <v>10.17</v>
      </c>
      <c r="T24">
        <v>99.17</v>
      </c>
      <c r="U24">
        <v>1234.02</v>
      </c>
      <c r="V24">
        <v>0</v>
      </c>
      <c r="W24">
        <v>0</v>
      </c>
      <c r="X24">
        <v>37969.64</v>
      </c>
      <c r="AA24" s="232">
        <f t="shared" si="0"/>
        <v>20180.998440000003</v>
      </c>
      <c r="AB24" s="232">
        <f t="shared" si="1"/>
        <v>16554.64644</v>
      </c>
    </row>
    <row r="25" spans="1:28" hidden="1">
      <c r="A25" t="s">
        <v>2368</v>
      </c>
      <c r="B25">
        <v>5352</v>
      </c>
      <c r="C25" t="s">
        <v>2625</v>
      </c>
      <c r="D25">
        <v>5697</v>
      </c>
      <c r="E25" t="s">
        <v>2344</v>
      </c>
      <c r="F25" t="s">
        <v>2036</v>
      </c>
      <c r="G25">
        <v>2021</v>
      </c>
      <c r="H25">
        <v>7</v>
      </c>
      <c r="I25" s="8">
        <v>44378</v>
      </c>
      <c r="J25">
        <v>913</v>
      </c>
      <c r="K25">
        <v>873</v>
      </c>
      <c r="L25">
        <v>332183</v>
      </c>
      <c r="M25">
        <v>44391</v>
      </c>
      <c r="N25">
        <v>332183</v>
      </c>
      <c r="O25">
        <v>44391</v>
      </c>
      <c r="P25">
        <v>0</v>
      </c>
      <c r="Q25">
        <v>12.33</v>
      </c>
      <c r="R25">
        <v>23.94</v>
      </c>
      <c r="S25">
        <v>10.17</v>
      </c>
      <c r="T25">
        <v>99.17</v>
      </c>
      <c r="U25">
        <v>2604.88</v>
      </c>
      <c r="V25">
        <v>0</v>
      </c>
      <c r="W25">
        <v>-430.89</v>
      </c>
      <c r="X25">
        <v>79718.960000000006</v>
      </c>
      <c r="AA25" s="232">
        <f t="shared" si="0"/>
        <v>35986.667580000001</v>
      </c>
      <c r="AB25" s="232">
        <f t="shared" si="1"/>
        <v>37344.843580000001</v>
      </c>
    </row>
    <row r="26" spans="1:28" hidden="1">
      <c r="A26" t="s">
        <v>2369</v>
      </c>
      <c r="B26">
        <v>5352</v>
      </c>
      <c r="C26" t="s">
        <v>2625</v>
      </c>
      <c r="D26">
        <v>5697</v>
      </c>
      <c r="E26" t="s">
        <v>2344</v>
      </c>
      <c r="F26" t="s">
        <v>2036</v>
      </c>
      <c r="G26">
        <v>2021</v>
      </c>
      <c r="H26">
        <v>7</v>
      </c>
      <c r="I26" s="8">
        <v>44378</v>
      </c>
      <c r="J26">
        <v>1363</v>
      </c>
      <c r="K26">
        <v>1250</v>
      </c>
      <c r="L26">
        <v>638693</v>
      </c>
      <c r="M26">
        <v>44019</v>
      </c>
      <c r="N26">
        <v>638693</v>
      </c>
      <c r="O26">
        <v>44019</v>
      </c>
      <c r="P26">
        <v>0</v>
      </c>
      <c r="Q26">
        <v>12.33</v>
      </c>
      <c r="R26">
        <v>23.94</v>
      </c>
      <c r="S26">
        <v>10.17</v>
      </c>
      <c r="T26">
        <v>99.17</v>
      </c>
      <c r="U26">
        <v>4077.23</v>
      </c>
      <c r="V26">
        <v>0</v>
      </c>
      <c r="W26">
        <v>0</v>
      </c>
      <c r="X26">
        <v>125453.28</v>
      </c>
      <c r="AA26" s="232">
        <f t="shared" si="0"/>
        <v>53673.971040000004</v>
      </c>
      <c r="AB26" s="232">
        <f t="shared" si="1"/>
        <v>67704.549039999998</v>
      </c>
    </row>
    <row r="27" spans="1:28" hidden="1">
      <c r="A27" t="s">
        <v>2370</v>
      </c>
      <c r="B27">
        <v>5352</v>
      </c>
      <c r="C27" t="s">
        <v>2625</v>
      </c>
      <c r="D27">
        <v>5697</v>
      </c>
      <c r="E27" t="s">
        <v>2344</v>
      </c>
      <c r="F27" t="s">
        <v>2036</v>
      </c>
      <c r="G27">
        <v>2021</v>
      </c>
      <c r="H27">
        <v>7</v>
      </c>
      <c r="I27" s="8">
        <v>44378</v>
      </c>
      <c r="J27">
        <v>2400</v>
      </c>
      <c r="K27">
        <v>2601</v>
      </c>
      <c r="L27">
        <v>812493</v>
      </c>
      <c r="M27">
        <v>124705</v>
      </c>
      <c r="N27">
        <v>732924</v>
      </c>
      <c r="O27">
        <v>124705</v>
      </c>
      <c r="P27">
        <v>79569</v>
      </c>
      <c r="Q27">
        <v>12.33</v>
      </c>
      <c r="R27">
        <v>23.94</v>
      </c>
      <c r="S27">
        <v>10.17</v>
      </c>
      <c r="T27">
        <v>99.17</v>
      </c>
      <c r="U27">
        <v>6262.62</v>
      </c>
      <c r="V27">
        <v>0</v>
      </c>
      <c r="W27">
        <v>0</v>
      </c>
      <c r="X27">
        <v>192696.29</v>
      </c>
      <c r="AA27" s="232">
        <f t="shared" si="0"/>
        <v>101391.24366000001</v>
      </c>
      <c r="AB27" s="232">
        <f t="shared" si="1"/>
        <v>85051.067930000005</v>
      </c>
    </row>
    <row r="28" spans="1:28" hidden="1">
      <c r="A28" t="s">
        <v>2371</v>
      </c>
      <c r="B28">
        <v>5352</v>
      </c>
      <c r="C28" t="s">
        <v>2625</v>
      </c>
      <c r="D28">
        <v>5697</v>
      </c>
      <c r="E28" t="s">
        <v>2344</v>
      </c>
      <c r="F28" t="s">
        <v>2036</v>
      </c>
      <c r="G28">
        <v>2021</v>
      </c>
      <c r="H28">
        <v>7</v>
      </c>
      <c r="I28" s="8">
        <v>44378</v>
      </c>
      <c r="J28">
        <v>1356</v>
      </c>
      <c r="K28">
        <v>1270</v>
      </c>
      <c r="L28">
        <v>464714</v>
      </c>
      <c r="M28">
        <v>68247</v>
      </c>
      <c r="N28">
        <v>464714</v>
      </c>
      <c r="O28">
        <v>68247</v>
      </c>
      <c r="P28">
        <v>0</v>
      </c>
      <c r="Q28">
        <v>12.33</v>
      </c>
      <c r="R28">
        <v>23.94</v>
      </c>
      <c r="S28">
        <v>10.17</v>
      </c>
      <c r="T28">
        <v>99.17</v>
      </c>
      <c r="U28">
        <v>3669.46</v>
      </c>
      <c r="V28">
        <v>0</v>
      </c>
      <c r="W28">
        <v>0</v>
      </c>
      <c r="X28">
        <v>112906.67</v>
      </c>
      <c r="AA28" s="232">
        <f t="shared" si="0"/>
        <v>52543.493369999997</v>
      </c>
      <c r="AB28" s="232">
        <f t="shared" si="1"/>
        <v>52853.74237</v>
      </c>
    </row>
    <row r="29" spans="1:28" hidden="1">
      <c r="A29" t="s">
        <v>2372</v>
      </c>
      <c r="B29">
        <v>5352</v>
      </c>
      <c r="C29" t="s">
        <v>2625</v>
      </c>
      <c r="D29">
        <v>5697</v>
      </c>
      <c r="E29" t="s">
        <v>2344</v>
      </c>
      <c r="F29" t="s">
        <v>2036</v>
      </c>
      <c r="G29">
        <v>2021</v>
      </c>
      <c r="H29">
        <v>7</v>
      </c>
      <c r="I29" s="8">
        <v>44378</v>
      </c>
      <c r="J29">
        <v>598</v>
      </c>
      <c r="K29">
        <v>560</v>
      </c>
      <c r="L29">
        <v>180696</v>
      </c>
      <c r="M29">
        <v>25422</v>
      </c>
      <c r="N29">
        <v>180696</v>
      </c>
      <c r="O29">
        <v>25422</v>
      </c>
      <c r="P29">
        <v>0</v>
      </c>
      <c r="Q29">
        <v>12.33</v>
      </c>
      <c r="R29">
        <v>23.94</v>
      </c>
      <c r="S29">
        <v>10.17</v>
      </c>
      <c r="T29">
        <v>99.17</v>
      </c>
      <c r="U29">
        <v>1455.02</v>
      </c>
      <c r="V29">
        <v>0</v>
      </c>
      <c r="W29">
        <v>0</v>
      </c>
      <c r="X29">
        <v>44770.2</v>
      </c>
      <c r="AA29" s="232">
        <f t="shared" si="0"/>
        <v>22875.960060000001</v>
      </c>
      <c r="AB29" s="232">
        <f t="shared" si="1"/>
        <v>20440.72206</v>
      </c>
    </row>
    <row r="30" spans="1:28" hidden="1">
      <c r="A30" t="s">
        <v>2373</v>
      </c>
      <c r="B30">
        <v>5352</v>
      </c>
      <c r="C30" t="s">
        <v>2625</v>
      </c>
      <c r="D30">
        <v>5697</v>
      </c>
      <c r="E30" t="s">
        <v>2344</v>
      </c>
      <c r="F30" t="s">
        <v>2036</v>
      </c>
      <c r="G30">
        <v>2021</v>
      </c>
      <c r="H30">
        <v>7</v>
      </c>
      <c r="I30" s="8">
        <v>44378</v>
      </c>
      <c r="J30">
        <v>735</v>
      </c>
      <c r="K30">
        <v>650</v>
      </c>
      <c r="L30">
        <v>178843</v>
      </c>
      <c r="M30">
        <v>26066</v>
      </c>
      <c r="N30">
        <v>178843</v>
      </c>
      <c r="O30">
        <v>26066</v>
      </c>
      <c r="P30">
        <v>0</v>
      </c>
      <c r="Q30">
        <v>12.33</v>
      </c>
      <c r="R30">
        <v>23.94</v>
      </c>
      <c r="S30">
        <v>10.17</v>
      </c>
      <c r="T30">
        <v>99.17</v>
      </c>
      <c r="U30">
        <v>1579.77</v>
      </c>
      <c r="V30">
        <v>0</v>
      </c>
      <c r="W30">
        <v>0</v>
      </c>
      <c r="X30">
        <v>48608.06</v>
      </c>
      <c r="AA30" s="232">
        <f t="shared" si="0"/>
        <v>26707.47453</v>
      </c>
      <c r="AB30" s="232">
        <f t="shared" si="1"/>
        <v>20320.825529999998</v>
      </c>
    </row>
    <row r="31" spans="1:28" hidden="1">
      <c r="A31" t="s">
        <v>2374</v>
      </c>
      <c r="B31">
        <v>5352</v>
      </c>
      <c r="C31" t="s">
        <v>2625</v>
      </c>
      <c r="D31">
        <v>5697</v>
      </c>
      <c r="E31" t="s">
        <v>2344</v>
      </c>
      <c r="F31" t="s">
        <v>2036</v>
      </c>
      <c r="G31">
        <v>2021</v>
      </c>
      <c r="H31">
        <v>7</v>
      </c>
      <c r="I31" s="8">
        <v>44378</v>
      </c>
      <c r="J31">
        <v>320</v>
      </c>
      <c r="K31">
        <v>320</v>
      </c>
      <c r="L31">
        <v>92770</v>
      </c>
      <c r="M31">
        <v>12681</v>
      </c>
      <c r="N31">
        <v>92770</v>
      </c>
      <c r="O31">
        <v>12681</v>
      </c>
      <c r="P31">
        <v>0</v>
      </c>
      <c r="Q31">
        <v>12.33</v>
      </c>
      <c r="R31">
        <v>23.94</v>
      </c>
      <c r="S31">
        <v>10.17</v>
      </c>
      <c r="T31">
        <v>99.17</v>
      </c>
      <c r="U31">
        <v>777.19</v>
      </c>
      <c r="V31">
        <v>0</v>
      </c>
      <c r="W31">
        <v>0</v>
      </c>
      <c r="X31">
        <v>23913.58</v>
      </c>
      <c r="AA31" s="232">
        <f t="shared" si="0"/>
        <v>12678.836669999999</v>
      </c>
      <c r="AB31" s="232">
        <f t="shared" si="1"/>
        <v>10457.57567</v>
      </c>
    </row>
    <row r="32" spans="1:28" hidden="1">
      <c r="A32" t="s">
        <v>2375</v>
      </c>
      <c r="B32">
        <v>5352</v>
      </c>
      <c r="C32" t="s">
        <v>2625</v>
      </c>
      <c r="D32">
        <v>5697</v>
      </c>
      <c r="E32" t="s">
        <v>2344</v>
      </c>
      <c r="F32" t="s">
        <v>2036</v>
      </c>
      <c r="G32">
        <v>2021</v>
      </c>
      <c r="H32">
        <v>7</v>
      </c>
      <c r="I32" s="8">
        <v>44378</v>
      </c>
      <c r="J32">
        <v>600</v>
      </c>
      <c r="K32">
        <v>600</v>
      </c>
      <c r="L32">
        <v>168247</v>
      </c>
      <c r="M32">
        <v>23574</v>
      </c>
      <c r="N32">
        <v>168247</v>
      </c>
      <c r="O32">
        <v>23574</v>
      </c>
      <c r="P32">
        <v>0</v>
      </c>
      <c r="Q32">
        <v>12.33</v>
      </c>
      <c r="R32">
        <v>23.94</v>
      </c>
      <c r="S32">
        <v>10.17</v>
      </c>
      <c r="T32">
        <v>99.17</v>
      </c>
      <c r="U32">
        <v>1435.57</v>
      </c>
      <c r="V32">
        <v>0</v>
      </c>
      <c r="W32">
        <v>0</v>
      </c>
      <c r="X32">
        <v>44171.26</v>
      </c>
      <c r="AA32" s="232">
        <f t="shared" si="0"/>
        <v>23712.81957</v>
      </c>
      <c r="AB32" s="232">
        <f t="shared" si="1"/>
        <v>19022.888569999999</v>
      </c>
    </row>
    <row r="33" spans="1:28" hidden="1">
      <c r="A33" t="s">
        <v>2376</v>
      </c>
      <c r="B33">
        <v>5352</v>
      </c>
      <c r="C33" t="s">
        <v>2625</v>
      </c>
      <c r="D33">
        <v>5697</v>
      </c>
      <c r="E33" t="s">
        <v>2344</v>
      </c>
      <c r="F33" t="s">
        <v>2036</v>
      </c>
      <c r="G33">
        <v>2021</v>
      </c>
      <c r="H33">
        <v>7</v>
      </c>
      <c r="I33" s="8">
        <v>44378</v>
      </c>
      <c r="J33">
        <v>580</v>
      </c>
      <c r="K33">
        <v>580</v>
      </c>
      <c r="L33">
        <v>158946</v>
      </c>
      <c r="M33">
        <v>21393</v>
      </c>
      <c r="N33">
        <v>158946</v>
      </c>
      <c r="O33">
        <v>21393</v>
      </c>
      <c r="P33">
        <v>0</v>
      </c>
      <c r="Q33">
        <v>12.33</v>
      </c>
      <c r="R33">
        <v>23.94</v>
      </c>
      <c r="S33">
        <v>10.17</v>
      </c>
      <c r="T33">
        <v>99.17</v>
      </c>
      <c r="U33">
        <v>1369.02</v>
      </c>
      <c r="V33">
        <v>0</v>
      </c>
      <c r="W33">
        <v>0</v>
      </c>
      <c r="X33">
        <v>42123.87</v>
      </c>
      <c r="AA33" s="232">
        <f t="shared" si="0"/>
        <v>22870.647629999999</v>
      </c>
      <c r="AB33" s="232">
        <f t="shared" si="1"/>
        <v>17884.218629999999</v>
      </c>
    </row>
    <row r="34" spans="1:28" hidden="1">
      <c r="A34" t="s">
        <v>2377</v>
      </c>
      <c r="B34">
        <v>5352</v>
      </c>
      <c r="C34" t="s">
        <v>2625</v>
      </c>
      <c r="D34">
        <v>5697</v>
      </c>
      <c r="E34" t="s">
        <v>2344</v>
      </c>
      <c r="F34" t="s">
        <v>2036</v>
      </c>
      <c r="G34">
        <v>2021</v>
      </c>
      <c r="H34">
        <v>7</v>
      </c>
      <c r="I34" s="8">
        <v>44378</v>
      </c>
      <c r="J34">
        <v>450</v>
      </c>
      <c r="K34">
        <v>450</v>
      </c>
      <c r="L34">
        <v>121974</v>
      </c>
      <c r="M34">
        <v>17034</v>
      </c>
      <c r="N34">
        <v>121974</v>
      </c>
      <c r="O34">
        <v>17034</v>
      </c>
      <c r="P34">
        <v>0</v>
      </c>
      <c r="Q34">
        <v>12.33</v>
      </c>
      <c r="R34">
        <v>23.94</v>
      </c>
      <c r="S34">
        <v>10.17</v>
      </c>
      <c r="T34">
        <v>99.17</v>
      </c>
      <c r="U34">
        <v>1058.83</v>
      </c>
      <c r="V34">
        <v>0</v>
      </c>
      <c r="W34">
        <v>0</v>
      </c>
      <c r="X34">
        <v>32579.45</v>
      </c>
      <c r="AA34" s="232">
        <f t="shared" si="0"/>
        <v>17735.211360000001</v>
      </c>
      <c r="AB34" s="232">
        <f t="shared" si="1"/>
        <v>13785.423360000001</v>
      </c>
    </row>
    <row r="35" spans="1:28" hidden="1">
      <c r="A35" t="s">
        <v>2378</v>
      </c>
      <c r="B35">
        <v>5352</v>
      </c>
      <c r="C35" t="s">
        <v>2625</v>
      </c>
      <c r="D35">
        <v>5697</v>
      </c>
      <c r="E35" t="s">
        <v>2344</v>
      </c>
      <c r="F35" t="s">
        <v>2036</v>
      </c>
      <c r="G35">
        <v>2021</v>
      </c>
      <c r="H35">
        <v>7</v>
      </c>
      <c r="I35" s="8">
        <v>44378</v>
      </c>
      <c r="J35">
        <v>820</v>
      </c>
      <c r="K35">
        <v>820</v>
      </c>
      <c r="L35">
        <v>274587</v>
      </c>
      <c r="M35">
        <v>36482</v>
      </c>
      <c r="N35">
        <v>274587</v>
      </c>
      <c r="O35">
        <v>36482</v>
      </c>
      <c r="P35">
        <v>0</v>
      </c>
      <c r="Q35">
        <v>12.33</v>
      </c>
      <c r="R35">
        <v>23.94</v>
      </c>
      <c r="S35">
        <v>10.17</v>
      </c>
      <c r="T35">
        <v>99.17</v>
      </c>
      <c r="U35">
        <v>2141.59</v>
      </c>
      <c r="V35">
        <v>0</v>
      </c>
      <c r="W35">
        <v>-949.6</v>
      </c>
      <c r="X35">
        <v>64945.65</v>
      </c>
      <c r="AA35" s="232">
        <f t="shared" si="0"/>
        <v>32904.971730000005</v>
      </c>
      <c r="AB35" s="232">
        <f t="shared" si="1"/>
        <v>30848.712730000003</v>
      </c>
    </row>
    <row r="36" spans="1:28" hidden="1">
      <c r="A36" t="s">
        <v>2379</v>
      </c>
      <c r="B36">
        <v>5352</v>
      </c>
      <c r="C36" t="s">
        <v>2625</v>
      </c>
      <c r="D36">
        <v>5697</v>
      </c>
      <c r="E36" t="s">
        <v>2344</v>
      </c>
      <c r="F36" t="s">
        <v>2036</v>
      </c>
      <c r="G36">
        <v>2021</v>
      </c>
      <c r="H36">
        <v>7</v>
      </c>
      <c r="I36" s="8">
        <v>44378</v>
      </c>
      <c r="J36">
        <v>101</v>
      </c>
      <c r="K36">
        <v>103</v>
      </c>
      <c r="L36">
        <v>25944</v>
      </c>
      <c r="M36">
        <v>4126</v>
      </c>
      <c r="N36">
        <v>25944</v>
      </c>
      <c r="O36">
        <v>4126</v>
      </c>
      <c r="P36">
        <v>0</v>
      </c>
      <c r="Q36">
        <v>12.33</v>
      </c>
      <c r="R36">
        <v>23.94</v>
      </c>
      <c r="S36">
        <v>10.17</v>
      </c>
      <c r="T36">
        <v>99.17</v>
      </c>
      <c r="U36">
        <v>303.95999999999998</v>
      </c>
      <c r="V36">
        <v>0</v>
      </c>
      <c r="W36">
        <v>-73.73</v>
      </c>
      <c r="X36">
        <v>5504.37</v>
      </c>
      <c r="AA36" s="232">
        <f t="shared" si="0"/>
        <v>4016.9619000000002</v>
      </c>
      <c r="AB36" s="232">
        <f t="shared" si="1"/>
        <v>2982.0419000000002</v>
      </c>
    </row>
    <row r="37" spans="1:28" hidden="1">
      <c r="A37" t="s">
        <v>2380</v>
      </c>
      <c r="B37">
        <v>5352</v>
      </c>
      <c r="C37" t="s">
        <v>2625</v>
      </c>
      <c r="D37">
        <v>5697</v>
      </c>
      <c r="E37" t="s">
        <v>2344</v>
      </c>
      <c r="F37" t="s">
        <v>2036</v>
      </c>
      <c r="G37">
        <v>2021</v>
      </c>
      <c r="H37">
        <v>7</v>
      </c>
      <c r="I37" s="8">
        <v>44378</v>
      </c>
      <c r="J37">
        <v>350</v>
      </c>
      <c r="K37">
        <v>350</v>
      </c>
      <c r="L37">
        <v>96700</v>
      </c>
      <c r="M37">
        <v>14939</v>
      </c>
      <c r="N37">
        <v>96700</v>
      </c>
      <c r="O37">
        <v>14939</v>
      </c>
      <c r="P37">
        <v>0</v>
      </c>
      <c r="Q37">
        <v>12.33</v>
      </c>
      <c r="R37">
        <v>23.94</v>
      </c>
      <c r="S37">
        <v>10.17</v>
      </c>
      <c r="T37">
        <v>99.17</v>
      </c>
      <c r="U37">
        <v>836.46</v>
      </c>
      <c r="V37">
        <v>0</v>
      </c>
      <c r="W37">
        <v>-2273.14</v>
      </c>
      <c r="X37">
        <v>23464.400000000001</v>
      </c>
      <c r="AA37" s="232">
        <f t="shared" si="0"/>
        <v>13829.868630000001</v>
      </c>
      <c r="AB37" s="232">
        <f t="shared" si="1"/>
        <v>11071.23963</v>
      </c>
    </row>
    <row r="38" spans="1:28" hidden="1">
      <c r="A38" t="s">
        <v>2381</v>
      </c>
      <c r="B38">
        <v>5352</v>
      </c>
      <c r="C38" t="s">
        <v>2625</v>
      </c>
      <c r="D38">
        <v>5697</v>
      </c>
      <c r="E38" t="s">
        <v>2344</v>
      </c>
      <c r="F38" t="s">
        <v>2036</v>
      </c>
      <c r="G38">
        <v>2021</v>
      </c>
      <c r="H38">
        <v>8</v>
      </c>
      <c r="I38" s="8">
        <v>44409</v>
      </c>
      <c r="J38">
        <v>810</v>
      </c>
      <c r="K38">
        <v>930</v>
      </c>
      <c r="L38">
        <v>170775</v>
      </c>
      <c r="M38">
        <v>28472</v>
      </c>
      <c r="N38">
        <v>170775</v>
      </c>
      <c r="O38">
        <v>28472</v>
      </c>
      <c r="P38">
        <v>0</v>
      </c>
      <c r="Q38">
        <v>12.33</v>
      </c>
      <c r="R38">
        <v>23.94</v>
      </c>
      <c r="S38">
        <v>10.17</v>
      </c>
      <c r="T38">
        <v>99.17</v>
      </c>
      <c r="U38">
        <v>97.45</v>
      </c>
      <c r="V38">
        <v>0</v>
      </c>
      <c r="W38">
        <v>0</v>
      </c>
      <c r="X38">
        <v>54134.6</v>
      </c>
      <c r="AA38" s="232">
        <f t="shared" si="0"/>
        <v>34277.841990000001</v>
      </c>
      <c r="AB38" s="232">
        <f t="shared" si="1"/>
        <v>19759.324990000001</v>
      </c>
    </row>
    <row r="39" spans="1:28" hidden="1">
      <c r="A39" t="s">
        <v>2382</v>
      </c>
      <c r="B39">
        <v>5352</v>
      </c>
      <c r="C39" t="s">
        <v>2625</v>
      </c>
      <c r="D39">
        <v>5697</v>
      </c>
      <c r="E39" t="s">
        <v>2344</v>
      </c>
      <c r="F39" t="s">
        <v>2036</v>
      </c>
      <c r="G39">
        <v>2021</v>
      </c>
      <c r="H39">
        <v>8</v>
      </c>
      <c r="I39" s="8">
        <v>44409</v>
      </c>
      <c r="J39">
        <v>580</v>
      </c>
      <c r="K39">
        <v>580</v>
      </c>
      <c r="L39">
        <v>156530</v>
      </c>
      <c r="M39">
        <v>22766</v>
      </c>
      <c r="N39">
        <v>156530</v>
      </c>
      <c r="O39">
        <v>22766</v>
      </c>
      <c r="P39">
        <v>0</v>
      </c>
      <c r="Q39">
        <v>12.33</v>
      </c>
      <c r="R39">
        <v>23.94</v>
      </c>
      <c r="S39">
        <v>10.17</v>
      </c>
      <c r="T39">
        <v>99.17</v>
      </c>
      <c r="U39">
        <v>73.28</v>
      </c>
      <c r="V39">
        <v>0</v>
      </c>
      <c r="W39">
        <v>-1513.71</v>
      </c>
      <c r="X39">
        <v>39200.410000000003</v>
      </c>
      <c r="AA39" s="232">
        <f t="shared" si="0"/>
        <v>22860.04032</v>
      </c>
      <c r="AB39" s="232">
        <f t="shared" si="1"/>
        <v>17780.784319999999</v>
      </c>
    </row>
    <row r="40" spans="1:28" hidden="1">
      <c r="A40" t="s">
        <v>2383</v>
      </c>
      <c r="B40">
        <v>5352</v>
      </c>
      <c r="C40" t="s">
        <v>2625</v>
      </c>
      <c r="D40">
        <v>5697</v>
      </c>
      <c r="E40" t="s">
        <v>2344</v>
      </c>
      <c r="F40" t="s">
        <v>2036</v>
      </c>
      <c r="G40">
        <v>2021</v>
      </c>
      <c r="H40">
        <v>8</v>
      </c>
      <c r="I40" s="8">
        <v>44409</v>
      </c>
      <c r="J40">
        <v>115</v>
      </c>
      <c r="K40">
        <v>108</v>
      </c>
      <c r="L40">
        <v>28121</v>
      </c>
      <c r="M40">
        <v>4680</v>
      </c>
      <c r="N40">
        <v>28121</v>
      </c>
      <c r="O40">
        <v>4680</v>
      </c>
      <c r="P40">
        <v>0</v>
      </c>
      <c r="Q40">
        <v>12.33</v>
      </c>
      <c r="R40">
        <v>23.94</v>
      </c>
      <c r="S40">
        <v>10.17</v>
      </c>
      <c r="T40">
        <v>99.17</v>
      </c>
      <c r="U40">
        <v>18.55</v>
      </c>
      <c r="V40">
        <v>0</v>
      </c>
      <c r="W40">
        <v>0</v>
      </c>
      <c r="X40">
        <v>10302.89</v>
      </c>
      <c r="AA40" s="232">
        <f t="shared" si="0"/>
        <v>4337.0561699999998</v>
      </c>
      <c r="AB40" s="232">
        <f t="shared" si="1"/>
        <v>3252.8751700000003</v>
      </c>
    </row>
    <row r="41" spans="1:28" hidden="1">
      <c r="A41" t="s">
        <v>2384</v>
      </c>
      <c r="B41">
        <v>5352</v>
      </c>
      <c r="C41" t="s">
        <v>2625</v>
      </c>
      <c r="D41">
        <v>5697</v>
      </c>
      <c r="E41" t="s">
        <v>2344</v>
      </c>
      <c r="F41" t="s">
        <v>2036</v>
      </c>
      <c r="G41">
        <v>2021</v>
      </c>
      <c r="H41">
        <v>8</v>
      </c>
      <c r="I41" s="8">
        <v>44409</v>
      </c>
      <c r="J41">
        <v>320</v>
      </c>
      <c r="K41">
        <v>320</v>
      </c>
      <c r="L41">
        <v>91145</v>
      </c>
      <c r="M41">
        <v>13529</v>
      </c>
      <c r="N41">
        <v>91145</v>
      </c>
      <c r="O41">
        <v>13529</v>
      </c>
      <c r="P41">
        <v>0</v>
      </c>
      <c r="Q41">
        <v>12.33</v>
      </c>
      <c r="R41">
        <v>23.94</v>
      </c>
      <c r="S41">
        <v>10.17</v>
      </c>
      <c r="T41">
        <v>99.17</v>
      </c>
      <c r="U41">
        <v>41.57</v>
      </c>
      <c r="V41">
        <v>0</v>
      </c>
      <c r="W41">
        <v>0</v>
      </c>
      <c r="X41">
        <v>23093</v>
      </c>
      <c r="AA41" s="232">
        <f t="shared" si="0"/>
        <v>12670.934579999999</v>
      </c>
      <c r="AB41" s="232">
        <f t="shared" si="1"/>
        <v>10380.52058</v>
      </c>
    </row>
    <row r="42" spans="1:28" hidden="1">
      <c r="A42" t="s">
        <v>2385</v>
      </c>
      <c r="B42">
        <v>5352</v>
      </c>
      <c r="C42" t="s">
        <v>2625</v>
      </c>
      <c r="D42">
        <v>5697</v>
      </c>
      <c r="E42" t="s">
        <v>2344</v>
      </c>
      <c r="F42" t="s">
        <v>2036</v>
      </c>
      <c r="G42">
        <v>2021</v>
      </c>
      <c r="H42">
        <v>8</v>
      </c>
      <c r="I42" s="8">
        <v>44409</v>
      </c>
      <c r="J42">
        <v>600</v>
      </c>
      <c r="K42">
        <v>600</v>
      </c>
      <c r="L42">
        <v>181854</v>
      </c>
      <c r="M42">
        <v>26730</v>
      </c>
      <c r="N42">
        <v>181854</v>
      </c>
      <c r="O42">
        <v>26730</v>
      </c>
      <c r="P42">
        <v>0</v>
      </c>
      <c r="Q42">
        <v>12.33</v>
      </c>
      <c r="R42">
        <v>23.94</v>
      </c>
      <c r="S42">
        <v>10.17</v>
      </c>
      <c r="T42">
        <v>99.17</v>
      </c>
      <c r="U42">
        <v>80.37</v>
      </c>
      <c r="V42">
        <v>0</v>
      </c>
      <c r="W42">
        <v>0</v>
      </c>
      <c r="X42">
        <v>44648.93</v>
      </c>
      <c r="AA42" s="232">
        <f t="shared" si="0"/>
        <v>23883.299279999999</v>
      </c>
      <c r="AB42" s="232">
        <f t="shared" si="1"/>
        <v>20685.275280000002</v>
      </c>
    </row>
    <row r="43" spans="1:28" hidden="1">
      <c r="A43" t="s">
        <v>2386</v>
      </c>
      <c r="B43">
        <v>5352</v>
      </c>
      <c r="C43" t="s">
        <v>2625</v>
      </c>
      <c r="D43">
        <v>5697</v>
      </c>
      <c r="E43" t="s">
        <v>2344</v>
      </c>
      <c r="F43" t="s">
        <v>2036</v>
      </c>
      <c r="G43">
        <v>2021</v>
      </c>
      <c r="H43">
        <v>8</v>
      </c>
      <c r="I43" s="8">
        <v>44409</v>
      </c>
      <c r="J43">
        <v>1332</v>
      </c>
      <c r="K43">
        <v>1317</v>
      </c>
      <c r="L43">
        <v>473143</v>
      </c>
      <c r="M43">
        <v>72234</v>
      </c>
      <c r="N43">
        <v>473143</v>
      </c>
      <c r="O43">
        <v>72234</v>
      </c>
      <c r="P43">
        <v>0</v>
      </c>
      <c r="Q43">
        <v>12.33</v>
      </c>
      <c r="R43">
        <v>23.94</v>
      </c>
      <c r="S43">
        <v>10.17</v>
      </c>
      <c r="T43">
        <v>99.17</v>
      </c>
      <c r="U43">
        <v>199.88</v>
      </c>
      <c r="V43">
        <v>0</v>
      </c>
      <c r="W43">
        <v>0</v>
      </c>
      <c r="X43">
        <v>92484.05</v>
      </c>
      <c r="AA43" s="232">
        <f t="shared" si="0"/>
        <v>53499.024090000006</v>
      </c>
      <c r="AB43" s="232">
        <f t="shared" si="1"/>
        <v>54085.037089999998</v>
      </c>
    </row>
    <row r="44" spans="1:28" hidden="1">
      <c r="A44" t="s">
        <v>2387</v>
      </c>
      <c r="B44">
        <v>5352</v>
      </c>
      <c r="C44" t="s">
        <v>2625</v>
      </c>
      <c r="D44">
        <v>5697</v>
      </c>
      <c r="E44" t="s">
        <v>2344</v>
      </c>
      <c r="F44" t="s">
        <v>2036</v>
      </c>
      <c r="G44">
        <v>2021</v>
      </c>
      <c r="H44">
        <v>8</v>
      </c>
      <c r="I44" s="8">
        <v>44409</v>
      </c>
      <c r="J44">
        <v>2400</v>
      </c>
      <c r="K44">
        <v>2400</v>
      </c>
      <c r="L44">
        <v>802142</v>
      </c>
      <c r="M44">
        <v>121190</v>
      </c>
      <c r="N44">
        <v>720332</v>
      </c>
      <c r="O44">
        <v>121190</v>
      </c>
      <c r="P44">
        <v>81810</v>
      </c>
      <c r="Q44">
        <v>12.33</v>
      </c>
      <c r="R44">
        <v>23.94</v>
      </c>
      <c r="S44">
        <v>10.17</v>
      </c>
      <c r="T44">
        <v>99.17</v>
      </c>
      <c r="U44">
        <v>324.39</v>
      </c>
      <c r="V44">
        <v>0</v>
      </c>
      <c r="W44">
        <v>-27070.09</v>
      </c>
      <c r="X44">
        <v>153146.31</v>
      </c>
      <c r="AA44" s="232">
        <f t="shared" si="0"/>
        <v>96438.286439999996</v>
      </c>
      <c r="AB44" s="232">
        <f t="shared" si="1"/>
        <v>83453.736740000008</v>
      </c>
    </row>
    <row r="45" spans="1:28" hidden="1">
      <c r="A45" t="s">
        <v>2388</v>
      </c>
      <c r="B45">
        <v>5352</v>
      </c>
      <c r="C45" t="s">
        <v>2625</v>
      </c>
      <c r="D45">
        <v>5697</v>
      </c>
      <c r="E45" t="s">
        <v>2344</v>
      </c>
      <c r="F45" t="s">
        <v>2036</v>
      </c>
      <c r="G45">
        <v>2021</v>
      </c>
      <c r="H45">
        <v>8</v>
      </c>
      <c r="I45" s="8">
        <v>44409</v>
      </c>
      <c r="J45">
        <v>470</v>
      </c>
      <c r="K45">
        <v>554</v>
      </c>
      <c r="L45">
        <v>137907</v>
      </c>
      <c r="M45">
        <v>21701</v>
      </c>
      <c r="N45">
        <v>137907</v>
      </c>
      <c r="O45">
        <v>21701</v>
      </c>
      <c r="P45">
        <v>0</v>
      </c>
      <c r="Q45">
        <v>12.33</v>
      </c>
      <c r="R45">
        <v>23.94</v>
      </c>
      <c r="S45">
        <v>10.17</v>
      </c>
      <c r="T45">
        <v>99.17</v>
      </c>
      <c r="U45">
        <v>65.819999999999993</v>
      </c>
      <c r="V45">
        <v>0</v>
      </c>
      <c r="W45">
        <v>0</v>
      </c>
      <c r="X45">
        <v>36568.480000000003</v>
      </c>
      <c r="AA45" s="232">
        <f t="shared" si="0"/>
        <v>20681.073360000002</v>
      </c>
      <c r="AB45" s="232">
        <f t="shared" si="1"/>
        <v>15828.325360000001</v>
      </c>
    </row>
    <row r="46" spans="1:28" hidden="1">
      <c r="A46" t="s">
        <v>2389</v>
      </c>
      <c r="B46">
        <v>5352</v>
      </c>
      <c r="C46" t="s">
        <v>2625</v>
      </c>
      <c r="D46">
        <v>5697</v>
      </c>
      <c r="E46" t="s">
        <v>2344</v>
      </c>
      <c r="F46" t="s">
        <v>2036</v>
      </c>
      <c r="G46">
        <v>2021</v>
      </c>
      <c r="H46">
        <v>8</v>
      </c>
      <c r="I46" s="8">
        <v>44409</v>
      </c>
      <c r="J46">
        <v>350</v>
      </c>
      <c r="K46">
        <v>350</v>
      </c>
      <c r="L46">
        <v>87405</v>
      </c>
      <c r="M46">
        <v>14336</v>
      </c>
      <c r="N46">
        <v>87405</v>
      </c>
      <c r="O46">
        <v>14336</v>
      </c>
      <c r="P46">
        <v>0</v>
      </c>
      <c r="Q46">
        <v>12.33</v>
      </c>
      <c r="R46">
        <v>23.94</v>
      </c>
      <c r="S46">
        <v>10.17</v>
      </c>
      <c r="T46">
        <v>99.17</v>
      </c>
      <c r="U46">
        <v>42.97</v>
      </c>
      <c r="V46">
        <v>0</v>
      </c>
      <c r="W46">
        <v>-2025.31</v>
      </c>
      <c r="X46">
        <v>21836.5</v>
      </c>
      <c r="AA46" s="232">
        <f t="shared" si="0"/>
        <v>13729.205969999999</v>
      </c>
      <c r="AB46" s="232">
        <f t="shared" si="1"/>
        <v>10089.65497</v>
      </c>
    </row>
    <row r="47" spans="1:28" hidden="1">
      <c r="A47" t="s">
        <v>2390</v>
      </c>
      <c r="B47">
        <v>5352</v>
      </c>
      <c r="C47" t="s">
        <v>2625</v>
      </c>
      <c r="D47">
        <v>5697</v>
      </c>
      <c r="E47" t="s">
        <v>2344</v>
      </c>
      <c r="F47" t="s">
        <v>2036</v>
      </c>
      <c r="G47">
        <v>2021</v>
      </c>
      <c r="H47">
        <v>8</v>
      </c>
      <c r="I47" s="8">
        <v>44409</v>
      </c>
      <c r="J47">
        <v>706</v>
      </c>
      <c r="K47">
        <v>560</v>
      </c>
      <c r="L47">
        <v>175944</v>
      </c>
      <c r="M47">
        <v>26424</v>
      </c>
      <c r="N47">
        <v>175944</v>
      </c>
      <c r="O47">
        <v>26424</v>
      </c>
      <c r="P47">
        <v>0</v>
      </c>
      <c r="Q47">
        <v>12.33</v>
      </c>
      <c r="R47">
        <v>23.94</v>
      </c>
      <c r="S47">
        <v>10.17</v>
      </c>
      <c r="T47">
        <v>99.17</v>
      </c>
      <c r="U47">
        <v>86.24</v>
      </c>
      <c r="V47">
        <v>0</v>
      </c>
      <c r="W47">
        <v>0</v>
      </c>
      <c r="X47">
        <v>47910.07</v>
      </c>
      <c r="AA47" s="232">
        <f t="shared" si="0"/>
        <v>24169.46256</v>
      </c>
      <c r="AB47" s="232">
        <f t="shared" si="1"/>
        <v>20068.834559999999</v>
      </c>
    </row>
    <row r="48" spans="1:28" hidden="1">
      <c r="A48" t="s">
        <v>2391</v>
      </c>
      <c r="B48">
        <v>5352</v>
      </c>
      <c r="C48" t="s">
        <v>2625</v>
      </c>
      <c r="D48">
        <v>5697</v>
      </c>
      <c r="E48" t="s">
        <v>2344</v>
      </c>
      <c r="F48" t="s">
        <v>2036</v>
      </c>
      <c r="G48">
        <v>2021</v>
      </c>
      <c r="H48">
        <v>8</v>
      </c>
      <c r="I48" s="8">
        <v>44409</v>
      </c>
      <c r="J48">
        <v>250</v>
      </c>
      <c r="K48">
        <v>250</v>
      </c>
      <c r="L48">
        <v>54330</v>
      </c>
      <c r="M48">
        <v>8848</v>
      </c>
      <c r="N48">
        <v>54330</v>
      </c>
      <c r="O48">
        <v>8848</v>
      </c>
      <c r="P48">
        <v>0</v>
      </c>
      <c r="Q48">
        <v>12.33</v>
      </c>
      <c r="R48">
        <v>23.94</v>
      </c>
      <c r="S48">
        <v>10.17</v>
      </c>
      <c r="T48">
        <v>99.17</v>
      </c>
      <c r="U48">
        <v>28.82</v>
      </c>
      <c r="V48">
        <v>0</v>
      </c>
      <c r="W48">
        <v>0</v>
      </c>
      <c r="X48">
        <v>19869.669999999998</v>
      </c>
      <c r="AA48" s="232">
        <f t="shared" si="0"/>
        <v>9710.0202599999993</v>
      </c>
      <c r="AB48" s="232">
        <f t="shared" si="1"/>
        <v>6265.3622599999999</v>
      </c>
    </row>
    <row r="49" spans="1:28" hidden="1">
      <c r="A49" t="s">
        <v>2392</v>
      </c>
      <c r="B49">
        <v>5352</v>
      </c>
      <c r="C49" t="s">
        <v>2625</v>
      </c>
      <c r="D49">
        <v>5697</v>
      </c>
      <c r="E49" t="s">
        <v>2344</v>
      </c>
      <c r="F49" t="s">
        <v>2036</v>
      </c>
      <c r="G49">
        <v>2021</v>
      </c>
      <c r="H49">
        <v>8</v>
      </c>
      <c r="I49" s="8">
        <v>44409</v>
      </c>
      <c r="J49">
        <v>896</v>
      </c>
      <c r="K49">
        <v>926</v>
      </c>
      <c r="L49">
        <v>316431</v>
      </c>
      <c r="M49">
        <v>44445</v>
      </c>
      <c r="N49">
        <v>316431</v>
      </c>
      <c r="O49">
        <v>44445</v>
      </c>
      <c r="P49">
        <v>0</v>
      </c>
      <c r="Q49">
        <v>12.33</v>
      </c>
      <c r="R49">
        <v>23.94</v>
      </c>
      <c r="S49">
        <v>10.17</v>
      </c>
      <c r="T49">
        <v>99.17</v>
      </c>
      <c r="U49">
        <v>143.16999999999999</v>
      </c>
      <c r="V49">
        <v>0</v>
      </c>
      <c r="W49">
        <v>0</v>
      </c>
      <c r="X49">
        <v>79536.929999999993</v>
      </c>
      <c r="AA49" s="232">
        <f t="shared" si="0"/>
        <v>36886.228920000001</v>
      </c>
      <c r="AB49" s="232">
        <f t="shared" si="1"/>
        <v>35788.072919999999</v>
      </c>
    </row>
    <row r="50" spans="1:28" hidden="1">
      <c r="A50" t="s">
        <v>2393</v>
      </c>
      <c r="B50">
        <v>5352</v>
      </c>
      <c r="C50" t="s">
        <v>2625</v>
      </c>
      <c r="D50">
        <v>5697</v>
      </c>
      <c r="E50" t="s">
        <v>2344</v>
      </c>
      <c r="F50" t="s">
        <v>2036</v>
      </c>
      <c r="G50">
        <v>2021</v>
      </c>
      <c r="H50">
        <v>9</v>
      </c>
      <c r="I50" s="8">
        <v>44440</v>
      </c>
      <c r="J50">
        <v>1374</v>
      </c>
      <c r="K50">
        <v>1377</v>
      </c>
      <c r="L50">
        <v>650166</v>
      </c>
      <c r="M50">
        <v>48888</v>
      </c>
      <c r="N50">
        <v>650166</v>
      </c>
      <c r="O50">
        <v>48888</v>
      </c>
      <c r="P50">
        <v>0</v>
      </c>
      <c r="Q50">
        <v>12.33</v>
      </c>
      <c r="R50">
        <v>23.94</v>
      </c>
      <c r="S50">
        <v>10.17</v>
      </c>
      <c r="T50">
        <v>99.17</v>
      </c>
      <c r="U50">
        <v>531.73</v>
      </c>
      <c r="V50">
        <v>0</v>
      </c>
      <c r="W50">
        <v>0</v>
      </c>
      <c r="X50">
        <v>132932.04</v>
      </c>
      <c r="AA50" s="232">
        <f t="shared" si="0"/>
        <v>57016.179180000006</v>
      </c>
      <c r="AB50" s="232">
        <f t="shared" si="1"/>
        <v>69325.18518</v>
      </c>
    </row>
    <row r="51" spans="1:28" hidden="1">
      <c r="A51" t="s">
        <v>2394</v>
      </c>
      <c r="B51">
        <v>5352</v>
      </c>
      <c r="C51" t="s">
        <v>2625</v>
      </c>
      <c r="D51">
        <v>5697</v>
      </c>
      <c r="E51" t="s">
        <v>2344</v>
      </c>
      <c r="F51" t="s">
        <v>2036</v>
      </c>
      <c r="G51">
        <v>2021</v>
      </c>
      <c r="H51">
        <v>9</v>
      </c>
      <c r="I51" s="8">
        <v>44440</v>
      </c>
      <c r="J51">
        <v>470</v>
      </c>
      <c r="K51">
        <v>530</v>
      </c>
      <c r="L51">
        <v>141712</v>
      </c>
      <c r="M51">
        <v>22874</v>
      </c>
      <c r="N51">
        <v>141712</v>
      </c>
      <c r="O51">
        <v>22874</v>
      </c>
      <c r="P51">
        <v>0</v>
      </c>
      <c r="Q51">
        <v>12.33</v>
      </c>
      <c r="R51">
        <v>23.94</v>
      </c>
      <c r="S51">
        <v>10.17</v>
      </c>
      <c r="T51">
        <v>99.17</v>
      </c>
      <c r="U51">
        <v>146.5</v>
      </c>
      <c r="V51">
        <v>0</v>
      </c>
      <c r="W51">
        <v>0</v>
      </c>
      <c r="X51">
        <v>36625.61</v>
      </c>
      <c r="AA51" s="232">
        <f t="shared" si="0"/>
        <v>20157.139620000002</v>
      </c>
      <c r="AB51" s="232">
        <f t="shared" si="1"/>
        <v>16321.993620000001</v>
      </c>
    </row>
    <row r="52" spans="1:28" hidden="1">
      <c r="A52" t="s">
        <v>2395</v>
      </c>
      <c r="B52">
        <v>5352</v>
      </c>
      <c r="C52" t="s">
        <v>2625</v>
      </c>
      <c r="D52">
        <v>5697</v>
      </c>
      <c r="E52" t="s">
        <v>2344</v>
      </c>
      <c r="F52" t="s">
        <v>2036</v>
      </c>
      <c r="G52">
        <v>2021</v>
      </c>
      <c r="H52">
        <v>9</v>
      </c>
      <c r="I52" s="8">
        <v>44440</v>
      </c>
      <c r="J52">
        <v>937</v>
      </c>
      <c r="K52">
        <v>898</v>
      </c>
      <c r="L52">
        <v>334918</v>
      </c>
      <c r="M52">
        <v>46378</v>
      </c>
      <c r="N52">
        <v>334918</v>
      </c>
      <c r="O52">
        <v>46378</v>
      </c>
      <c r="P52">
        <v>0</v>
      </c>
      <c r="Q52">
        <v>12.33</v>
      </c>
      <c r="R52">
        <v>23.94</v>
      </c>
      <c r="S52">
        <v>10.17</v>
      </c>
      <c r="T52">
        <v>99.17</v>
      </c>
      <c r="U52">
        <v>321.86</v>
      </c>
      <c r="V52">
        <v>0</v>
      </c>
      <c r="W52">
        <v>0</v>
      </c>
      <c r="X52">
        <v>80464.84</v>
      </c>
      <c r="AA52" s="232">
        <f t="shared" si="0"/>
        <v>36929.11032</v>
      </c>
      <c r="AB52" s="232">
        <f t="shared" si="1"/>
        <v>37813.124320000003</v>
      </c>
    </row>
    <row r="53" spans="1:28" hidden="1">
      <c r="A53" t="s">
        <v>2396</v>
      </c>
      <c r="B53">
        <v>5352</v>
      </c>
      <c r="C53" t="s">
        <v>2625</v>
      </c>
      <c r="D53">
        <v>5697</v>
      </c>
      <c r="E53" t="s">
        <v>2344</v>
      </c>
      <c r="F53" t="s">
        <v>2036</v>
      </c>
      <c r="G53">
        <v>2021</v>
      </c>
      <c r="H53">
        <v>9</v>
      </c>
      <c r="I53" s="8">
        <v>44440</v>
      </c>
      <c r="J53">
        <v>2400</v>
      </c>
      <c r="K53">
        <v>2400</v>
      </c>
      <c r="L53">
        <v>859326</v>
      </c>
      <c r="M53">
        <v>133616</v>
      </c>
      <c r="N53">
        <v>774183</v>
      </c>
      <c r="O53">
        <v>133616</v>
      </c>
      <c r="P53">
        <v>85143</v>
      </c>
      <c r="Q53">
        <v>12.33</v>
      </c>
      <c r="R53">
        <v>23.94</v>
      </c>
      <c r="S53">
        <v>10.17</v>
      </c>
      <c r="T53">
        <v>99.17</v>
      </c>
      <c r="U53">
        <v>751.17</v>
      </c>
      <c r="V53">
        <v>0</v>
      </c>
      <c r="W53">
        <v>-31723.040000000001</v>
      </c>
      <c r="X53">
        <v>156201.29</v>
      </c>
      <c r="AA53" s="232">
        <f t="shared" si="0"/>
        <v>97146.220140000005</v>
      </c>
      <c r="AB53" s="232">
        <f t="shared" si="1"/>
        <v>90026.426829999997</v>
      </c>
    </row>
    <row r="54" spans="1:28" hidden="1">
      <c r="A54" t="s">
        <v>2397</v>
      </c>
      <c r="B54">
        <v>5352</v>
      </c>
      <c r="C54" t="s">
        <v>2625</v>
      </c>
      <c r="D54">
        <v>5697</v>
      </c>
      <c r="E54" t="s">
        <v>2344</v>
      </c>
      <c r="F54" t="s">
        <v>2036</v>
      </c>
      <c r="G54">
        <v>2021</v>
      </c>
      <c r="H54">
        <v>9</v>
      </c>
      <c r="I54" s="8">
        <v>44440</v>
      </c>
      <c r="J54">
        <v>1357</v>
      </c>
      <c r="K54">
        <v>1361</v>
      </c>
      <c r="L54">
        <v>485506</v>
      </c>
      <c r="M54">
        <v>74234</v>
      </c>
      <c r="N54">
        <v>485506</v>
      </c>
      <c r="O54">
        <v>74234</v>
      </c>
      <c r="P54">
        <v>0</v>
      </c>
      <c r="Q54">
        <v>12.33</v>
      </c>
      <c r="R54">
        <v>23.94</v>
      </c>
      <c r="S54">
        <v>10.17</v>
      </c>
      <c r="T54">
        <v>99.17</v>
      </c>
      <c r="U54">
        <v>490.35</v>
      </c>
      <c r="V54">
        <v>0</v>
      </c>
      <c r="W54">
        <v>0</v>
      </c>
      <c r="X54">
        <v>122588.65</v>
      </c>
      <c r="AA54" s="232">
        <f t="shared" si="0"/>
        <v>55006.705800000003</v>
      </c>
      <c r="AB54" s="232">
        <f t="shared" si="1"/>
        <v>55509.415800000002</v>
      </c>
    </row>
    <row r="55" spans="1:28" hidden="1">
      <c r="A55" t="s">
        <v>2398</v>
      </c>
      <c r="B55">
        <v>5352</v>
      </c>
      <c r="C55" t="s">
        <v>2625</v>
      </c>
      <c r="D55">
        <v>5697</v>
      </c>
      <c r="E55" t="s">
        <v>2344</v>
      </c>
      <c r="F55" t="s">
        <v>2036</v>
      </c>
      <c r="G55">
        <v>2021</v>
      </c>
      <c r="H55">
        <v>9</v>
      </c>
      <c r="I55" s="8">
        <v>44440</v>
      </c>
      <c r="J55">
        <v>350</v>
      </c>
      <c r="K55">
        <v>350</v>
      </c>
      <c r="L55">
        <v>83708</v>
      </c>
      <c r="M55">
        <v>13632</v>
      </c>
      <c r="N55">
        <v>83708</v>
      </c>
      <c r="O55">
        <v>13632</v>
      </c>
      <c r="P55">
        <v>0</v>
      </c>
      <c r="Q55">
        <v>12.33</v>
      </c>
      <c r="R55">
        <v>23.94</v>
      </c>
      <c r="S55">
        <v>10.17</v>
      </c>
      <c r="T55">
        <v>99.17</v>
      </c>
      <c r="U55">
        <v>93.72</v>
      </c>
      <c r="V55">
        <v>0</v>
      </c>
      <c r="W55">
        <v>0</v>
      </c>
      <c r="X55">
        <v>23431.360000000001</v>
      </c>
      <c r="AA55" s="232">
        <f t="shared" si="0"/>
        <v>13684.4478</v>
      </c>
      <c r="AB55" s="232">
        <f t="shared" si="1"/>
        <v>9653.2078000000001</v>
      </c>
    </row>
    <row r="56" spans="1:28" hidden="1">
      <c r="A56" t="s">
        <v>2399</v>
      </c>
      <c r="B56">
        <v>5352</v>
      </c>
      <c r="C56" t="s">
        <v>2625</v>
      </c>
      <c r="D56">
        <v>5697</v>
      </c>
      <c r="E56" t="s">
        <v>2344</v>
      </c>
      <c r="F56" t="s">
        <v>2036</v>
      </c>
      <c r="G56">
        <v>2021</v>
      </c>
      <c r="H56">
        <v>9</v>
      </c>
      <c r="I56" s="8">
        <v>44440</v>
      </c>
      <c r="J56">
        <v>600</v>
      </c>
      <c r="K56">
        <v>593</v>
      </c>
      <c r="L56">
        <v>175415</v>
      </c>
      <c r="M56">
        <v>27447</v>
      </c>
      <c r="N56">
        <v>175415</v>
      </c>
      <c r="O56">
        <v>27447</v>
      </c>
      <c r="P56">
        <v>0</v>
      </c>
      <c r="Q56">
        <v>12.33</v>
      </c>
      <c r="R56">
        <v>23.94</v>
      </c>
      <c r="S56">
        <v>10.17</v>
      </c>
      <c r="T56">
        <v>99.17</v>
      </c>
      <c r="U56">
        <v>175.84</v>
      </c>
      <c r="V56">
        <v>0</v>
      </c>
      <c r="W56">
        <v>-3629.52</v>
      </c>
      <c r="X56">
        <v>40330.69</v>
      </c>
      <c r="AA56" s="232">
        <f t="shared" si="0"/>
        <v>23657.526539999999</v>
      </c>
      <c r="AB56" s="232">
        <f t="shared" si="1"/>
        <v>20117.824540000001</v>
      </c>
    </row>
    <row r="57" spans="1:28" hidden="1">
      <c r="A57" t="s">
        <v>2400</v>
      </c>
      <c r="B57">
        <v>5352</v>
      </c>
      <c r="C57" t="s">
        <v>2625</v>
      </c>
      <c r="D57">
        <v>5697</v>
      </c>
      <c r="E57" t="s">
        <v>2344</v>
      </c>
      <c r="F57" t="s">
        <v>2036</v>
      </c>
      <c r="G57">
        <v>2021</v>
      </c>
      <c r="H57">
        <v>9</v>
      </c>
      <c r="I57" s="8">
        <v>44440</v>
      </c>
      <c r="J57">
        <v>113</v>
      </c>
      <c r="K57">
        <v>97</v>
      </c>
      <c r="L57">
        <v>28339</v>
      </c>
      <c r="M57">
        <v>4554</v>
      </c>
      <c r="N57">
        <v>28339</v>
      </c>
      <c r="O57">
        <v>4554</v>
      </c>
      <c r="P57">
        <v>0</v>
      </c>
      <c r="Q57">
        <v>12.33</v>
      </c>
      <c r="R57">
        <v>23.94</v>
      </c>
      <c r="S57">
        <v>10.17</v>
      </c>
      <c r="T57">
        <v>99.17</v>
      </c>
      <c r="U57">
        <v>37.93</v>
      </c>
      <c r="V57">
        <v>0</v>
      </c>
      <c r="W57">
        <v>0</v>
      </c>
      <c r="X57">
        <v>9482.31</v>
      </c>
      <c r="AA57" s="232">
        <f t="shared" si="0"/>
        <v>4049.9918100000004</v>
      </c>
      <c r="AB57" s="232">
        <f t="shared" si="1"/>
        <v>3261.99881</v>
      </c>
    </row>
    <row r="58" spans="1:28" hidden="1">
      <c r="A58" t="s">
        <v>2401</v>
      </c>
      <c r="B58">
        <v>5352</v>
      </c>
      <c r="C58" t="s">
        <v>2625</v>
      </c>
      <c r="D58">
        <v>5697</v>
      </c>
      <c r="E58" t="s">
        <v>2344</v>
      </c>
      <c r="F58" t="s">
        <v>2036</v>
      </c>
      <c r="G58">
        <v>2021</v>
      </c>
      <c r="H58">
        <v>9</v>
      </c>
      <c r="I58" s="8">
        <v>44440</v>
      </c>
      <c r="J58">
        <v>580</v>
      </c>
      <c r="K58">
        <v>580</v>
      </c>
      <c r="L58">
        <v>159542</v>
      </c>
      <c r="M58">
        <v>23077</v>
      </c>
      <c r="N58">
        <v>159542</v>
      </c>
      <c r="O58">
        <v>23077</v>
      </c>
      <c r="P58">
        <v>0</v>
      </c>
      <c r="Q58">
        <v>12.33</v>
      </c>
      <c r="R58">
        <v>23.94</v>
      </c>
      <c r="S58">
        <v>10.17</v>
      </c>
      <c r="T58">
        <v>99.17</v>
      </c>
      <c r="U58">
        <v>164.68</v>
      </c>
      <c r="V58">
        <v>0</v>
      </c>
      <c r="W58">
        <v>0</v>
      </c>
      <c r="X58">
        <v>41168.83</v>
      </c>
      <c r="AA58" s="232">
        <f t="shared" si="0"/>
        <v>22893.835229999997</v>
      </c>
      <c r="AB58" s="232">
        <f t="shared" si="1"/>
        <v>18110.326229999999</v>
      </c>
    </row>
    <row r="59" spans="1:28" hidden="1">
      <c r="A59" t="s">
        <v>2402</v>
      </c>
      <c r="B59">
        <v>5352</v>
      </c>
      <c r="C59" t="s">
        <v>2625</v>
      </c>
      <c r="D59">
        <v>5697</v>
      </c>
      <c r="E59" t="s">
        <v>2344</v>
      </c>
      <c r="F59" t="s">
        <v>2036</v>
      </c>
      <c r="G59">
        <v>2021</v>
      </c>
      <c r="H59">
        <v>9</v>
      </c>
      <c r="I59" s="8">
        <v>44440</v>
      </c>
      <c r="J59">
        <v>735</v>
      </c>
      <c r="K59">
        <v>650</v>
      </c>
      <c r="L59">
        <v>176948</v>
      </c>
      <c r="M59">
        <v>28227</v>
      </c>
      <c r="N59">
        <v>176948</v>
      </c>
      <c r="O59">
        <v>28227</v>
      </c>
      <c r="P59">
        <v>0</v>
      </c>
      <c r="Q59">
        <v>12.33</v>
      </c>
      <c r="R59">
        <v>23.94</v>
      </c>
      <c r="S59">
        <v>10.17</v>
      </c>
      <c r="T59">
        <v>99.17</v>
      </c>
      <c r="U59">
        <v>188.98</v>
      </c>
      <c r="V59">
        <v>0</v>
      </c>
      <c r="W59">
        <v>-790.25</v>
      </c>
      <c r="X59">
        <v>46456.1</v>
      </c>
      <c r="AA59" s="232">
        <f t="shared" si="0"/>
        <v>26710.179749999999</v>
      </c>
      <c r="AB59" s="232">
        <f t="shared" si="1"/>
        <v>20347.204750000001</v>
      </c>
    </row>
    <row r="60" spans="1:28" hidden="1">
      <c r="A60" t="s">
        <v>2403</v>
      </c>
      <c r="B60">
        <v>5352</v>
      </c>
      <c r="C60" t="s">
        <v>2625</v>
      </c>
      <c r="D60">
        <v>5697</v>
      </c>
      <c r="E60" t="s">
        <v>2344</v>
      </c>
      <c r="F60" t="s">
        <v>2036</v>
      </c>
      <c r="G60">
        <v>2021</v>
      </c>
      <c r="H60">
        <v>9</v>
      </c>
      <c r="I60" s="8">
        <v>44440</v>
      </c>
      <c r="J60">
        <v>320</v>
      </c>
      <c r="K60">
        <v>320</v>
      </c>
      <c r="L60">
        <v>99126</v>
      </c>
      <c r="M60">
        <v>14482</v>
      </c>
      <c r="N60">
        <v>99126</v>
      </c>
      <c r="O60">
        <v>14482</v>
      </c>
      <c r="P60">
        <v>0</v>
      </c>
      <c r="Q60">
        <v>12.33</v>
      </c>
      <c r="R60">
        <v>23.94</v>
      </c>
      <c r="S60">
        <v>10.17</v>
      </c>
      <c r="T60">
        <v>99.17</v>
      </c>
      <c r="U60">
        <v>96.49</v>
      </c>
      <c r="V60">
        <v>0</v>
      </c>
      <c r="W60">
        <v>0</v>
      </c>
      <c r="X60">
        <v>24124.77</v>
      </c>
      <c r="AA60" s="232">
        <f t="shared" si="0"/>
        <v>12761.79336</v>
      </c>
      <c r="AB60" s="232">
        <f t="shared" si="1"/>
        <v>11266.505360000001</v>
      </c>
    </row>
    <row r="61" spans="1:28" hidden="1">
      <c r="A61" t="s">
        <v>2404</v>
      </c>
      <c r="B61">
        <v>5352</v>
      </c>
      <c r="C61" t="s">
        <v>2625</v>
      </c>
      <c r="D61">
        <v>5697</v>
      </c>
      <c r="E61" t="s">
        <v>2344</v>
      </c>
      <c r="F61" t="s">
        <v>2036</v>
      </c>
      <c r="G61">
        <v>2021</v>
      </c>
      <c r="H61">
        <v>9</v>
      </c>
      <c r="I61" s="8">
        <v>44440</v>
      </c>
      <c r="J61">
        <v>600</v>
      </c>
      <c r="K61">
        <v>600</v>
      </c>
      <c r="L61">
        <v>157054</v>
      </c>
      <c r="M61">
        <v>22874</v>
      </c>
      <c r="N61">
        <v>157054</v>
      </c>
      <c r="O61">
        <v>22874</v>
      </c>
      <c r="P61">
        <v>0</v>
      </c>
      <c r="Q61">
        <v>12.33</v>
      </c>
      <c r="R61">
        <v>23.94</v>
      </c>
      <c r="S61">
        <v>10.17</v>
      </c>
      <c r="T61">
        <v>99.17</v>
      </c>
      <c r="U61">
        <v>166.4</v>
      </c>
      <c r="V61">
        <v>0</v>
      </c>
      <c r="W61">
        <v>0</v>
      </c>
      <c r="X61">
        <v>41601.699999999997</v>
      </c>
      <c r="AA61" s="232">
        <f t="shared" si="0"/>
        <v>23591.867760000001</v>
      </c>
      <c r="AB61" s="232">
        <f t="shared" si="1"/>
        <v>17843.459760000002</v>
      </c>
    </row>
    <row r="62" spans="1:28" hidden="1">
      <c r="A62" t="s">
        <v>2405</v>
      </c>
      <c r="B62">
        <v>5352</v>
      </c>
      <c r="C62" t="s">
        <v>2625</v>
      </c>
      <c r="D62">
        <v>5697</v>
      </c>
      <c r="E62" t="s">
        <v>2344</v>
      </c>
      <c r="F62" t="s">
        <v>2036</v>
      </c>
      <c r="G62">
        <v>2021</v>
      </c>
      <c r="H62">
        <v>9</v>
      </c>
      <c r="I62" s="8">
        <v>44440</v>
      </c>
      <c r="J62">
        <v>820</v>
      </c>
      <c r="K62">
        <v>820</v>
      </c>
      <c r="L62">
        <v>283091</v>
      </c>
      <c r="M62">
        <v>39084</v>
      </c>
      <c r="N62">
        <v>283091</v>
      </c>
      <c r="O62">
        <v>39084</v>
      </c>
      <c r="P62">
        <v>0</v>
      </c>
      <c r="Q62">
        <v>12.33</v>
      </c>
      <c r="R62">
        <v>23.94</v>
      </c>
      <c r="S62">
        <v>10.17</v>
      </c>
      <c r="T62">
        <v>99.17</v>
      </c>
      <c r="U62">
        <v>260.92</v>
      </c>
      <c r="V62">
        <v>0</v>
      </c>
      <c r="W62">
        <v>0</v>
      </c>
      <c r="X62">
        <v>65228.92</v>
      </c>
      <c r="AA62" s="232">
        <f t="shared" si="0"/>
        <v>33017.919750000001</v>
      </c>
      <c r="AB62" s="232">
        <f t="shared" si="1"/>
        <v>31950.09475</v>
      </c>
    </row>
    <row r="63" spans="1:28" hidden="1">
      <c r="A63" t="s">
        <v>2406</v>
      </c>
      <c r="B63">
        <v>5352</v>
      </c>
      <c r="C63" t="s">
        <v>2625</v>
      </c>
      <c r="D63">
        <v>5697</v>
      </c>
      <c r="E63" t="s">
        <v>2344</v>
      </c>
      <c r="F63" t="s">
        <v>2036</v>
      </c>
      <c r="G63">
        <v>2021</v>
      </c>
      <c r="H63">
        <v>9</v>
      </c>
      <c r="I63" s="8">
        <v>44440</v>
      </c>
      <c r="J63">
        <v>1300</v>
      </c>
      <c r="K63">
        <v>1350</v>
      </c>
      <c r="L63">
        <v>175464</v>
      </c>
      <c r="M63">
        <v>30937</v>
      </c>
      <c r="N63">
        <v>175464</v>
      </c>
      <c r="O63">
        <v>30937</v>
      </c>
      <c r="P63">
        <v>0</v>
      </c>
      <c r="Q63">
        <v>12.33</v>
      </c>
      <c r="R63">
        <v>23.94</v>
      </c>
      <c r="S63">
        <v>10.17</v>
      </c>
      <c r="T63">
        <v>99.17</v>
      </c>
      <c r="U63">
        <v>284.8</v>
      </c>
      <c r="V63">
        <v>0</v>
      </c>
      <c r="W63">
        <v>0</v>
      </c>
      <c r="X63">
        <v>71200.66</v>
      </c>
      <c r="AA63" s="232">
        <f t="shared" si="0"/>
        <v>50447.098169999997</v>
      </c>
      <c r="AB63" s="232">
        <f t="shared" si="1"/>
        <v>20468.78717</v>
      </c>
    </row>
    <row r="64" spans="1:28" hidden="1">
      <c r="A64" t="s">
        <v>2407</v>
      </c>
      <c r="B64">
        <v>5352</v>
      </c>
      <c r="C64" t="s">
        <v>2625</v>
      </c>
      <c r="D64">
        <v>5697</v>
      </c>
      <c r="E64" t="s">
        <v>2344</v>
      </c>
      <c r="F64" t="s">
        <v>2036</v>
      </c>
      <c r="G64">
        <v>2021</v>
      </c>
      <c r="H64">
        <v>9</v>
      </c>
      <c r="I64" s="8">
        <v>44440</v>
      </c>
      <c r="J64">
        <v>810</v>
      </c>
      <c r="K64">
        <v>930</v>
      </c>
      <c r="L64">
        <v>174010</v>
      </c>
      <c r="M64">
        <v>30989</v>
      </c>
      <c r="N64">
        <v>174010</v>
      </c>
      <c r="O64">
        <v>30989</v>
      </c>
      <c r="P64">
        <v>0</v>
      </c>
      <c r="Q64">
        <v>12.33</v>
      </c>
      <c r="R64">
        <v>23.94</v>
      </c>
      <c r="S64">
        <v>10.17</v>
      </c>
      <c r="T64">
        <v>99.17</v>
      </c>
      <c r="U64">
        <v>219.54</v>
      </c>
      <c r="V64">
        <v>0</v>
      </c>
      <c r="W64">
        <v>0</v>
      </c>
      <c r="X64">
        <v>54885.61</v>
      </c>
      <c r="AA64" s="232">
        <f t="shared" si="0"/>
        <v>34336.339829999997</v>
      </c>
      <c r="AB64" s="232">
        <f t="shared" si="1"/>
        <v>20329.750830000001</v>
      </c>
    </row>
    <row r="65" spans="1:28" hidden="1">
      <c r="A65" t="s">
        <v>2408</v>
      </c>
      <c r="B65">
        <v>5352</v>
      </c>
      <c r="C65" t="s">
        <v>2625</v>
      </c>
      <c r="D65">
        <v>5697</v>
      </c>
      <c r="E65" t="s">
        <v>2344</v>
      </c>
      <c r="F65" t="s">
        <v>2036</v>
      </c>
      <c r="G65">
        <v>2021</v>
      </c>
      <c r="H65">
        <v>9</v>
      </c>
      <c r="I65" s="8">
        <v>44440</v>
      </c>
      <c r="J65">
        <v>250</v>
      </c>
      <c r="K65">
        <v>250</v>
      </c>
      <c r="L65">
        <v>54891</v>
      </c>
      <c r="M65">
        <v>8448</v>
      </c>
      <c r="N65">
        <v>54891</v>
      </c>
      <c r="O65">
        <v>8448</v>
      </c>
      <c r="P65">
        <v>0</v>
      </c>
      <c r="Q65">
        <v>12.33</v>
      </c>
      <c r="R65">
        <v>23.94</v>
      </c>
      <c r="S65">
        <v>10.17</v>
      </c>
      <c r="T65">
        <v>99.17</v>
      </c>
      <c r="U65">
        <v>64.239999999999995</v>
      </c>
      <c r="V65">
        <v>0</v>
      </c>
      <c r="W65">
        <v>0</v>
      </c>
      <c r="X65">
        <v>19922.7</v>
      </c>
      <c r="AA65" s="232">
        <f t="shared" si="0"/>
        <v>9711.6576299999997</v>
      </c>
      <c r="AB65" s="232">
        <f t="shared" si="1"/>
        <v>6281.32863</v>
      </c>
    </row>
    <row r="66" spans="1:28" hidden="1">
      <c r="A66" t="s">
        <v>2409</v>
      </c>
      <c r="B66">
        <v>5352</v>
      </c>
      <c r="C66" t="s">
        <v>2625</v>
      </c>
      <c r="D66">
        <v>5697</v>
      </c>
      <c r="E66" t="s">
        <v>2344</v>
      </c>
      <c r="F66" t="s">
        <v>2036</v>
      </c>
      <c r="G66">
        <v>2021</v>
      </c>
      <c r="H66">
        <v>10</v>
      </c>
      <c r="I66" s="8">
        <v>44470</v>
      </c>
      <c r="J66">
        <v>470</v>
      </c>
      <c r="K66">
        <v>530</v>
      </c>
      <c r="L66">
        <v>137565</v>
      </c>
      <c r="M66">
        <v>21138</v>
      </c>
      <c r="N66">
        <v>137565</v>
      </c>
      <c r="O66">
        <v>21138</v>
      </c>
      <c r="Q66">
        <v>12.33</v>
      </c>
      <c r="R66">
        <v>23.94</v>
      </c>
      <c r="S66">
        <v>10.17</v>
      </c>
      <c r="T66">
        <v>99.17</v>
      </c>
      <c r="U66">
        <v>975.12</v>
      </c>
      <c r="V66">
        <v>0</v>
      </c>
      <c r="W66">
        <v>0</v>
      </c>
      <c r="X66">
        <v>37218.92</v>
      </c>
      <c r="AA66" s="232">
        <f t="shared" si="0"/>
        <v>20097.309510000003</v>
      </c>
      <c r="AB66" s="232">
        <f t="shared" si="1"/>
        <v>15738.576510000001</v>
      </c>
    </row>
    <row r="67" spans="1:28" hidden="1">
      <c r="A67" t="s">
        <v>2410</v>
      </c>
      <c r="B67">
        <v>5352</v>
      </c>
      <c r="C67" t="s">
        <v>2625</v>
      </c>
      <c r="D67">
        <v>5697</v>
      </c>
      <c r="E67" t="s">
        <v>2344</v>
      </c>
      <c r="F67" t="s">
        <v>2036</v>
      </c>
      <c r="G67">
        <v>2021</v>
      </c>
      <c r="H67">
        <v>10</v>
      </c>
      <c r="I67" s="8">
        <v>44470</v>
      </c>
      <c r="J67">
        <v>890</v>
      </c>
      <c r="K67">
        <v>890</v>
      </c>
      <c r="L67">
        <v>325533</v>
      </c>
      <c r="M67">
        <v>47418</v>
      </c>
      <c r="N67">
        <v>325533</v>
      </c>
      <c r="O67">
        <v>47418</v>
      </c>
      <c r="P67">
        <v>0</v>
      </c>
      <c r="Q67">
        <v>12.33</v>
      </c>
      <c r="R67">
        <v>23.94</v>
      </c>
      <c r="S67">
        <v>10.17</v>
      </c>
      <c r="T67">
        <v>99.17</v>
      </c>
      <c r="U67">
        <v>2126.9499999999998</v>
      </c>
      <c r="V67">
        <v>0</v>
      </c>
      <c r="W67">
        <v>0</v>
      </c>
      <c r="X67">
        <v>58502.53</v>
      </c>
      <c r="AA67" s="232">
        <f t="shared" ref="AA67:AA130" si="2">J67*Q67+K67*R67+((L67+M67)/1000)*S67</f>
        <v>36073.211670000004</v>
      </c>
      <c r="AB67" s="232">
        <f t="shared" ref="AB67:AB130" si="3">((N67+O67)/1000)*T67</f>
        <v>36985.550670000004</v>
      </c>
    </row>
    <row r="68" spans="1:28" hidden="1">
      <c r="A68" t="s">
        <v>2411</v>
      </c>
      <c r="B68">
        <v>5352</v>
      </c>
      <c r="C68" t="s">
        <v>2625</v>
      </c>
      <c r="D68">
        <v>5697</v>
      </c>
      <c r="E68" t="s">
        <v>2344</v>
      </c>
      <c r="F68" t="s">
        <v>2036</v>
      </c>
      <c r="G68">
        <v>2021</v>
      </c>
      <c r="H68">
        <v>10</v>
      </c>
      <c r="I68" s="8">
        <v>44470</v>
      </c>
      <c r="J68">
        <v>1360</v>
      </c>
      <c r="K68">
        <v>1250</v>
      </c>
      <c r="L68">
        <v>623401</v>
      </c>
      <c r="M68">
        <v>46691</v>
      </c>
      <c r="N68">
        <v>623401</v>
      </c>
      <c r="O68">
        <v>46691</v>
      </c>
      <c r="P68">
        <v>0</v>
      </c>
      <c r="Q68">
        <v>12.33</v>
      </c>
      <c r="R68">
        <v>23.94</v>
      </c>
      <c r="S68">
        <v>10.17</v>
      </c>
      <c r="T68">
        <v>99.17</v>
      </c>
      <c r="U68">
        <v>3276.59</v>
      </c>
      <c r="V68">
        <v>0</v>
      </c>
      <c r="W68">
        <v>0</v>
      </c>
      <c r="X68">
        <v>125060.68</v>
      </c>
      <c r="AA68" s="232">
        <f t="shared" si="2"/>
        <v>53508.63564</v>
      </c>
      <c r="AB68" s="232">
        <f t="shared" si="3"/>
        <v>66453.023639999999</v>
      </c>
    </row>
    <row r="69" spans="1:28" hidden="1">
      <c r="A69" t="s">
        <v>2412</v>
      </c>
      <c r="B69">
        <v>5352</v>
      </c>
      <c r="C69" t="s">
        <v>2625</v>
      </c>
      <c r="D69">
        <v>5697</v>
      </c>
      <c r="E69" t="s">
        <v>2344</v>
      </c>
      <c r="F69" t="s">
        <v>2036</v>
      </c>
      <c r="G69">
        <v>2021</v>
      </c>
      <c r="H69">
        <v>10</v>
      </c>
      <c r="I69" s="8">
        <v>44470</v>
      </c>
      <c r="J69">
        <v>2400</v>
      </c>
      <c r="K69">
        <v>2400</v>
      </c>
      <c r="L69">
        <v>842857</v>
      </c>
      <c r="M69">
        <v>125715</v>
      </c>
      <c r="N69">
        <v>757733</v>
      </c>
      <c r="O69">
        <v>125715</v>
      </c>
      <c r="P69">
        <v>85124</v>
      </c>
      <c r="Q69">
        <v>12.33</v>
      </c>
      <c r="R69">
        <v>23.94</v>
      </c>
      <c r="S69">
        <v>10.17</v>
      </c>
      <c r="T69">
        <v>99.17</v>
      </c>
      <c r="U69">
        <v>5027.09</v>
      </c>
      <c r="V69">
        <v>0</v>
      </c>
      <c r="W69">
        <v>0</v>
      </c>
      <c r="X69">
        <v>191873.32</v>
      </c>
      <c r="AA69" s="232">
        <f t="shared" si="2"/>
        <v>96898.377240000002</v>
      </c>
      <c r="AB69" s="232">
        <f t="shared" si="3"/>
        <v>87611.538159999996</v>
      </c>
    </row>
    <row r="70" spans="1:28" hidden="1">
      <c r="A70" t="s">
        <v>2413</v>
      </c>
      <c r="B70">
        <v>5352</v>
      </c>
      <c r="C70" t="s">
        <v>2625</v>
      </c>
      <c r="D70">
        <v>5697</v>
      </c>
      <c r="E70" t="s">
        <v>2344</v>
      </c>
      <c r="F70" t="s">
        <v>2036</v>
      </c>
      <c r="G70">
        <v>2021</v>
      </c>
      <c r="H70">
        <v>10</v>
      </c>
      <c r="I70" s="8">
        <v>44470</v>
      </c>
      <c r="J70">
        <v>1284</v>
      </c>
      <c r="K70">
        <v>1332</v>
      </c>
      <c r="L70">
        <v>486955</v>
      </c>
      <c r="M70">
        <v>70427</v>
      </c>
      <c r="N70">
        <v>486955</v>
      </c>
      <c r="O70">
        <v>70427</v>
      </c>
      <c r="P70">
        <v>0</v>
      </c>
      <c r="Q70">
        <v>12.33</v>
      </c>
      <c r="R70">
        <v>23.94</v>
      </c>
      <c r="S70">
        <v>10.17</v>
      </c>
      <c r="T70">
        <v>99.17</v>
      </c>
      <c r="U70">
        <v>3133.28</v>
      </c>
      <c r="V70">
        <v>0</v>
      </c>
      <c r="W70">
        <v>0</v>
      </c>
      <c r="X70">
        <v>119591.56</v>
      </c>
      <c r="AA70" s="232">
        <f t="shared" si="2"/>
        <v>53388.374940000002</v>
      </c>
      <c r="AB70" s="232">
        <f t="shared" si="3"/>
        <v>55275.572939999998</v>
      </c>
    </row>
    <row r="71" spans="1:28" hidden="1">
      <c r="A71" t="s">
        <v>2414</v>
      </c>
      <c r="B71">
        <v>5352</v>
      </c>
      <c r="C71" t="s">
        <v>2625</v>
      </c>
      <c r="D71">
        <v>5697</v>
      </c>
      <c r="E71" t="s">
        <v>2344</v>
      </c>
      <c r="F71" t="s">
        <v>2036</v>
      </c>
      <c r="G71">
        <v>2021</v>
      </c>
      <c r="H71">
        <v>10</v>
      </c>
      <c r="I71" s="8">
        <v>44470</v>
      </c>
      <c r="J71">
        <v>350</v>
      </c>
      <c r="K71">
        <v>350</v>
      </c>
      <c r="L71">
        <v>85061</v>
      </c>
      <c r="M71">
        <v>13460</v>
      </c>
      <c r="N71">
        <v>85061</v>
      </c>
      <c r="O71">
        <v>13460</v>
      </c>
      <c r="P71">
        <v>0</v>
      </c>
      <c r="Q71">
        <v>12.33</v>
      </c>
      <c r="R71">
        <v>23.94</v>
      </c>
      <c r="S71">
        <v>10.17</v>
      </c>
      <c r="T71">
        <v>99.17</v>
      </c>
      <c r="U71">
        <v>638.1</v>
      </c>
      <c r="V71">
        <v>0</v>
      </c>
      <c r="W71">
        <v>0</v>
      </c>
      <c r="X71">
        <v>24355.23</v>
      </c>
      <c r="AA71" s="232">
        <f t="shared" si="2"/>
        <v>13696.458570000001</v>
      </c>
      <c r="AB71" s="232">
        <f t="shared" si="3"/>
        <v>9770.3275699999995</v>
      </c>
    </row>
    <row r="72" spans="1:28" hidden="1">
      <c r="A72" t="s">
        <v>2415</v>
      </c>
      <c r="B72">
        <v>5352</v>
      </c>
      <c r="C72" t="s">
        <v>2625</v>
      </c>
      <c r="D72">
        <v>5697</v>
      </c>
      <c r="E72" t="s">
        <v>2344</v>
      </c>
      <c r="F72" t="s">
        <v>2036</v>
      </c>
      <c r="G72">
        <v>2021</v>
      </c>
      <c r="H72">
        <v>10</v>
      </c>
      <c r="I72" s="8">
        <v>44470</v>
      </c>
      <c r="J72">
        <v>579</v>
      </c>
      <c r="K72">
        <v>560</v>
      </c>
      <c r="L72">
        <v>170801</v>
      </c>
      <c r="M72">
        <v>26028</v>
      </c>
      <c r="N72">
        <v>170801</v>
      </c>
      <c r="O72">
        <v>26028</v>
      </c>
      <c r="P72">
        <v>0</v>
      </c>
      <c r="Q72">
        <v>12.33</v>
      </c>
      <c r="R72">
        <v>23.94</v>
      </c>
      <c r="S72">
        <v>10.17</v>
      </c>
      <c r="T72">
        <v>99.17</v>
      </c>
      <c r="U72">
        <v>1145.54</v>
      </c>
      <c r="V72">
        <v>0</v>
      </c>
      <c r="W72">
        <v>0</v>
      </c>
      <c r="X72">
        <v>41308.910000000003</v>
      </c>
      <c r="AA72" s="232">
        <f t="shared" si="2"/>
        <v>22547.220930000003</v>
      </c>
      <c r="AB72" s="232">
        <f t="shared" si="3"/>
        <v>19519.531930000001</v>
      </c>
    </row>
    <row r="73" spans="1:28" hidden="1">
      <c r="A73" t="s">
        <v>2416</v>
      </c>
      <c r="B73">
        <v>5352</v>
      </c>
      <c r="C73" t="s">
        <v>2625</v>
      </c>
      <c r="D73">
        <v>5697</v>
      </c>
      <c r="E73" t="s">
        <v>2344</v>
      </c>
      <c r="F73" t="s">
        <v>2036</v>
      </c>
      <c r="G73">
        <v>2021</v>
      </c>
      <c r="H73">
        <v>10</v>
      </c>
      <c r="I73" s="8">
        <v>44470</v>
      </c>
      <c r="J73">
        <v>100</v>
      </c>
      <c r="K73">
        <v>112</v>
      </c>
      <c r="L73">
        <v>26758</v>
      </c>
      <c r="M73">
        <v>4335</v>
      </c>
      <c r="N73">
        <v>26758</v>
      </c>
      <c r="O73">
        <v>4335</v>
      </c>
      <c r="P73">
        <v>0</v>
      </c>
      <c r="Q73">
        <v>12.33</v>
      </c>
      <c r="R73">
        <v>23.94</v>
      </c>
      <c r="S73">
        <v>10.17</v>
      </c>
      <c r="T73">
        <v>99.17</v>
      </c>
      <c r="U73">
        <v>265.92</v>
      </c>
      <c r="V73">
        <v>0</v>
      </c>
      <c r="W73">
        <v>0</v>
      </c>
      <c r="X73">
        <v>10149.49</v>
      </c>
      <c r="AA73" s="232">
        <f t="shared" si="2"/>
        <v>4230.4958100000003</v>
      </c>
      <c r="AB73" s="232">
        <f t="shared" si="3"/>
        <v>3083.4928100000002</v>
      </c>
    </row>
    <row r="74" spans="1:28" hidden="1">
      <c r="A74" t="s">
        <v>2417</v>
      </c>
      <c r="B74">
        <v>5352</v>
      </c>
      <c r="C74" t="s">
        <v>2625</v>
      </c>
      <c r="D74">
        <v>5697</v>
      </c>
      <c r="E74" t="s">
        <v>2344</v>
      </c>
      <c r="F74" t="s">
        <v>2036</v>
      </c>
      <c r="G74">
        <v>2021</v>
      </c>
      <c r="H74">
        <v>10</v>
      </c>
      <c r="I74" s="8">
        <v>44470</v>
      </c>
      <c r="J74">
        <v>580</v>
      </c>
      <c r="K74">
        <v>580</v>
      </c>
      <c r="L74">
        <v>154390</v>
      </c>
      <c r="M74">
        <v>22183</v>
      </c>
      <c r="N74">
        <v>154390</v>
      </c>
      <c r="O74">
        <v>22183</v>
      </c>
      <c r="P74">
        <v>0</v>
      </c>
      <c r="Q74">
        <v>12.33</v>
      </c>
      <c r="R74">
        <v>23.94</v>
      </c>
      <c r="S74">
        <v>10.17</v>
      </c>
      <c r="T74">
        <v>99.17</v>
      </c>
      <c r="U74">
        <v>1097.6300000000001</v>
      </c>
      <c r="V74">
        <v>0</v>
      </c>
      <c r="W74">
        <v>0</v>
      </c>
      <c r="X74">
        <v>41894.51</v>
      </c>
      <c r="AA74" s="232">
        <f t="shared" si="2"/>
        <v>22832.347409999998</v>
      </c>
      <c r="AB74" s="232">
        <f t="shared" si="3"/>
        <v>17510.744409999999</v>
      </c>
    </row>
    <row r="75" spans="1:28" hidden="1">
      <c r="A75" t="s">
        <v>2418</v>
      </c>
      <c r="B75">
        <v>5352</v>
      </c>
      <c r="C75" t="s">
        <v>2625</v>
      </c>
      <c r="D75">
        <v>5697</v>
      </c>
      <c r="E75" t="s">
        <v>2344</v>
      </c>
      <c r="F75" t="s">
        <v>2036</v>
      </c>
      <c r="G75">
        <v>2021</v>
      </c>
      <c r="H75">
        <v>10</v>
      </c>
      <c r="I75" s="8">
        <v>44470</v>
      </c>
      <c r="J75">
        <v>735</v>
      </c>
      <c r="K75">
        <v>650</v>
      </c>
      <c r="L75">
        <v>178858</v>
      </c>
      <c r="M75">
        <v>27159</v>
      </c>
      <c r="N75">
        <v>178858</v>
      </c>
      <c r="O75">
        <v>27159</v>
      </c>
      <c r="P75">
        <v>0</v>
      </c>
      <c r="Q75">
        <v>12.33</v>
      </c>
      <c r="R75">
        <v>23.94</v>
      </c>
      <c r="S75">
        <v>10.17</v>
      </c>
      <c r="T75">
        <v>99.17</v>
      </c>
      <c r="U75">
        <v>1282.82</v>
      </c>
      <c r="V75">
        <v>0</v>
      </c>
      <c r="W75">
        <v>0</v>
      </c>
      <c r="X75">
        <v>48963.17</v>
      </c>
      <c r="AA75" s="232">
        <f t="shared" si="2"/>
        <v>26718.742889999998</v>
      </c>
      <c r="AB75" s="232">
        <f t="shared" si="3"/>
        <v>20430.705890000001</v>
      </c>
    </row>
    <row r="76" spans="1:28" hidden="1">
      <c r="A76" t="s">
        <v>2419</v>
      </c>
      <c r="B76">
        <v>5352</v>
      </c>
      <c r="C76" t="s">
        <v>2625</v>
      </c>
      <c r="D76">
        <v>5697</v>
      </c>
      <c r="E76" t="s">
        <v>2344</v>
      </c>
      <c r="F76" t="s">
        <v>2036</v>
      </c>
      <c r="G76">
        <v>2021</v>
      </c>
      <c r="H76">
        <v>10</v>
      </c>
      <c r="I76" s="8">
        <v>44470</v>
      </c>
      <c r="J76">
        <v>320</v>
      </c>
      <c r="K76">
        <v>320</v>
      </c>
      <c r="L76">
        <v>96603</v>
      </c>
      <c r="M76">
        <v>13589</v>
      </c>
      <c r="N76">
        <v>96603</v>
      </c>
      <c r="O76">
        <v>13589</v>
      </c>
      <c r="P76">
        <v>0</v>
      </c>
      <c r="Q76">
        <v>12.33</v>
      </c>
      <c r="R76">
        <v>23.94</v>
      </c>
      <c r="S76">
        <v>10.17</v>
      </c>
      <c r="T76">
        <v>99.17</v>
      </c>
      <c r="U76">
        <v>644.17999999999995</v>
      </c>
      <c r="V76">
        <v>0</v>
      </c>
      <c r="W76">
        <v>0</v>
      </c>
      <c r="X76">
        <v>24586.65</v>
      </c>
      <c r="AA76" s="232">
        <f t="shared" si="2"/>
        <v>12727.05264</v>
      </c>
      <c r="AB76" s="232">
        <f t="shared" si="3"/>
        <v>10927.74064</v>
      </c>
    </row>
    <row r="77" spans="1:28" hidden="1">
      <c r="A77" t="s">
        <v>2420</v>
      </c>
      <c r="B77">
        <v>5352</v>
      </c>
      <c r="C77" t="s">
        <v>2625</v>
      </c>
      <c r="D77">
        <v>5697</v>
      </c>
      <c r="E77" t="s">
        <v>2344</v>
      </c>
      <c r="F77" t="s">
        <v>2036</v>
      </c>
      <c r="G77">
        <v>2021</v>
      </c>
      <c r="H77">
        <v>10</v>
      </c>
      <c r="I77" s="8">
        <v>44470</v>
      </c>
      <c r="J77">
        <v>600</v>
      </c>
      <c r="K77">
        <v>600</v>
      </c>
      <c r="L77">
        <v>136900</v>
      </c>
      <c r="M77">
        <v>19726</v>
      </c>
      <c r="N77">
        <v>136900</v>
      </c>
      <c r="O77">
        <v>19726</v>
      </c>
      <c r="Q77">
        <v>12.33</v>
      </c>
      <c r="R77">
        <v>23.94</v>
      </c>
      <c r="S77">
        <v>10.17</v>
      </c>
      <c r="T77">
        <v>99.17</v>
      </c>
      <c r="U77">
        <v>1056.8399999999999</v>
      </c>
      <c r="V77">
        <v>0</v>
      </c>
      <c r="W77">
        <v>0</v>
      </c>
      <c r="X77">
        <v>40337.660000000003</v>
      </c>
      <c r="AA77" s="232">
        <f t="shared" si="2"/>
        <v>23354.886419999999</v>
      </c>
      <c r="AB77" s="232">
        <f t="shared" si="3"/>
        <v>15532.600420000001</v>
      </c>
    </row>
    <row r="78" spans="1:28" hidden="1">
      <c r="A78" t="s">
        <v>2421</v>
      </c>
      <c r="B78">
        <v>5352</v>
      </c>
      <c r="C78" t="s">
        <v>2625</v>
      </c>
      <c r="D78">
        <v>5697</v>
      </c>
      <c r="E78" t="s">
        <v>2344</v>
      </c>
      <c r="F78" t="s">
        <v>2036</v>
      </c>
      <c r="G78">
        <v>2021</v>
      </c>
      <c r="H78">
        <v>10</v>
      </c>
      <c r="I78" s="8">
        <v>44470</v>
      </c>
      <c r="J78">
        <v>450</v>
      </c>
      <c r="K78">
        <v>450</v>
      </c>
      <c r="L78">
        <v>116357</v>
      </c>
      <c r="M78">
        <v>16659</v>
      </c>
      <c r="N78">
        <v>116357</v>
      </c>
      <c r="O78">
        <v>16659</v>
      </c>
      <c r="P78">
        <v>0</v>
      </c>
      <c r="Q78">
        <v>12.33</v>
      </c>
      <c r="R78">
        <v>23.94</v>
      </c>
      <c r="S78">
        <v>10.17</v>
      </c>
      <c r="T78">
        <v>99.17</v>
      </c>
      <c r="U78">
        <v>839.6</v>
      </c>
      <c r="V78">
        <v>0</v>
      </c>
      <c r="W78">
        <v>0</v>
      </c>
      <c r="X78">
        <v>32045.5</v>
      </c>
      <c r="AA78" s="232">
        <f t="shared" si="2"/>
        <v>17674.272720000001</v>
      </c>
      <c r="AB78" s="232">
        <f t="shared" si="3"/>
        <v>13191.19672</v>
      </c>
    </row>
    <row r="79" spans="1:28" hidden="1">
      <c r="A79" t="s">
        <v>2422</v>
      </c>
      <c r="B79">
        <v>5352</v>
      </c>
      <c r="C79" t="s">
        <v>2625</v>
      </c>
      <c r="D79">
        <v>5697</v>
      </c>
      <c r="E79" t="s">
        <v>2344</v>
      </c>
      <c r="F79" t="s">
        <v>2036</v>
      </c>
      <c r="G79">
        <v>2021</v>
      </c>
      <c r="H79">
        <v>10</v>
      </c>
      <c r="I79" s="8">
        <v>44470</v>
      </c>
      <c r="J79">
        <v>820</v>
      </c>
      <c r="K79">
        <v>820</v>
      </c>
      <c r="L79">
        <v>270742</v>
      </c>
      <c r="M79">
        <v>36587</v>
      </c>
      <c r="N79">
        <v>270742</v>
      </c>
      <c r="O79">
        <v>36587</v>
      </c>
      <c r="P79">
        <v>0</v>
      </c>
      <c r="Q79">
        <v>12.33</v>
      </c>
      <c r="R79">
        <v>23.94</v>
      </c>
      <c r="S79">
        <v>10.17</v>
      </c>
      <c r="T79">
        <v>99.17</v>
      </c>
      <c r="U79">
        <v>1726.08</v>
      </c>
      <c r="V79">
        <v>0</v>
      </c>
      <c r="W79">
        <v>0</v>
      </c>
      <c r="X79">
        <v>65881.02</v>
      </c>
      <c r="AA79" s="232">
        <f t="shared" si="2"/>
        <v>32866.93593</v>
      </c>
      <c r="AB79" s="232">
        <f t="shared" si="3"/>
        <v>30477.816930000001</v>
      </c>
    </row>
    <row r="80" spans="1:28" hidden="1">
      <c r="A80" t="s">
        <v>2423</v>
      </c>
      <c r="B80">
        <v>5352</v>
      </c>
      <c r="C80" t="s">
        <v>2625</v>
      </c>
      <c r="D80">
        <v>5697</v>
      </c>
      <c r="E80" t="s">
        <v>2344</v>
      </c>
      <c r="F80" t="s">
        <v>2036</v>
      </c>
      <c r="G80">
        <v>2021</v>
      </c>
      <c r="H80">
        <v>10</v>
      </c>
      <c r="I80" s="8">
        <v>44470</v>
      </c>
      <c r="J80">
        <v>1300</v>
      </c>
      <c r="K80">
        <v>1350</v>
      </c>
      <c r="L80">
        <v>178171</v>
      </c>
      <c r="M80">
        <v>28229</v>
      </c>
      <c r="N80">
        <v>178171</v>
      </c>
      <c r="O80">
        <v>28229</v>
      </c>
      <c r="P80">
        <v>0</v>
      </c>
      <c r="Q80">
        <v>12.33</v>
      </c>
      <c r="R80">
        <v>23.94</v>
      </c>
      <c r="S80">
        <v>10.17</v>
      </c>
      <c r="T80">
        <v>99.17</v>
      </c>
      <c r="U80">
        <v>1910.34</v>
      </c>
      <c r="V80">
        <v>0</v>
      </c>
      <c r="W80">
        <v>0</v>
      </c>
      <c r="X80">
        <v>73950.33</v>
      </c>
      <c r="AA80" s="232">
        <f t="shared" si="2"/>
        <v>50447.088000000003</v>
      </c>
      <c r="AB80" s="232">
        <f t="shared" si="3"/>
        <v>20468.688000000002</v>
      </c>
    </row>
    <row r="81" spans="1:28" hidden="1">
      <c r="A81" t="s">
        <v>2424</v>
      </c>
      <c r="B81">
        <v>5352</v>
      </c>
      <c r="C81" t="s">
        <v>2625</v>
      </c>
      <c r="D81">
        <v>5697</v>
      </c>
      <c r="E81" t="s">
        <v>2344</v>
      </c>
      <c r="F81" t="s">
        <v>2036</v>
      </c>
      <c r="G81">
        <v>2021</v>
      </c>
      <c r="H81">
        <v>10</v>
      </c>
      <c r="I81" s="8">
        <v>44470</v>
      </c>
      <c r="J81">
        <v>810</v>
      </c>
      <c r="K81">
        <v>930</v>
      </c>
      <c r="L81">
        <v>180690</v>
      </c>
      <c r="M81">
        <v>28893</v>
      </c>
      <c r="N81">
        <v>180690</v>
      </c>
      <c r="O81">
        <v>28893</v>
      </c>
      <c r="P81">
        <v>0</v>
      </c>
      <c r="Q81">
        <v>12.33</v>
      </c>
      <c r="R81">
        <v>23.94</v>
      </c>
      <c r="S81">
        <v>10.17</v>
      </c>
      <c r="T81">
        <v>99.17</v>
      </c>
      <c r="U81">
        <v>1498.14</v>
      </c>
      <c r="V81">
        <v>0</v>
      </c>
      <c r="W81">
        <v>0</v>
      </c>
      <c r="X81">
        <v>57180.13</v>
      </c>
      <c r="AA81" s="232">
        <f t="shared" si="2"/>
        <v>34382.959109999996</v>
      </c>
      <c r="AB81" s="232">
        <f t="shared" si="3"/>
        <v>20784.346109999999</v>
      </c>
    </row>
    <row r="82" spans="1:28" hidden="1">
      <c r="A82" t="s">
        <v>2425</v>
      </c>
      <c r="B82">
        <v>5352</v>
      </c>
      <c r="C82" t="s">
        <v>2625</v>
      </c>
      <c r="D82">
        <v>5697</v>
      </c>
      <c r="E82" t="s">
        <v>2344</v>
      </c>
      <c r="F82" t="s">
        <v>2036</v>
      </c>
      <c r="G82">
        <v>2021</v>
      </c>
      <c r="H82">
        <v>10</v>
      </c>
      <c r="I82" s="8">
        <v>44470</v>
      </c>
      <c r="J82">
        <v>250</v>
      </c>
      <c r="K82">
        <v>250</v>
      </c>
      <c r="L82">
        <v>53419</v>
      </c>
      <c r="M82">
        <v>7891</v>
      </c>
      <c r="N82">
        <v>53419</v>
      </c>
      <c r="O82">
        <v>7891</v>
      </c>
      <c r="P82">
        <v>0</v>
      </c>
      <c r="Q82">
        <v>12.33</v>
      </c>
      <c r="R82">
        <v>23.94</v>
      </c>
      <c r="S82">
        <v>10.17</v>
      </c>
      <c r="T82">
        <v>99.17</v>
      </c>
      <c r="U82">
        <v>428.42</v>
      </c>
      <c r="V82">
        <v>0</v>
      </c>
      <c r="W82">
        <v>0</v>
      </c>
      <c r="X82">
        <v>20217.36</v>
      </c>
      <c r="AA82" s="232">
        <f t="shared" si="2"/>
        <v>9691.0226999999995</v>
      </c>
      <c r="AB82" s="232">
        <f t="shared" si="3"/>
        <v>6080.1127000000006</v>
      </c>
    </row>
    <row r="83" spans="1:28" hidden="1">
      <c r="A83" t="s">
        <v>2426</v>
      </c>
      <c r="B83">
        <v>5352</v>
      </c>
      <c r="C83" t="s">
        <v>2625</v>
      </c>
      <c r="D83">
        <v>5697</v>
      </c>
      <c r="E83" t="s">
        <v>2344</v>
      </c>
      <c r="F83" t="s">
        <v>2036</v>
      </c>
      <c r="G83">
        <v>2021</v>
      </c>
      <c r="H83">
        <v>11</v>
      </c>
      <c r="I83" s="8">
        <v>44501</v>
      </c>
      <c r="J83">
        <v>1360</v>
      </c>
      <c r="K83">
        <v>1250</v>
      </c>
      <c r="L83">
        <v>631008</v>
      </c>
      <c r="M83">
        <v>38030</v>
      </c>
      <c r="N83">
        <v>631008</v>
      </c>
      <c r="O83">
        <v>38030</v>
      </c>
      <c r="P83">
        <v>0</v>
      </c>
      <c r="Q83">
        <v>11.83</v>
      </c>
      <c r="R83">
        <v>21.22</v>
      </c>
      <c r="S83">
        <v>14.37</v>
      </c>
      <c r="T83">
        <v>182.65</v>
      </c>
      <c r="U83">
        <v>6420.08</v>
      </c>
      <c r="V83">
        <v>0</v>
      </c>
      <c r="W83">
        <v>-4448.5</v>
      </c>
      <c r="X83">
        <v>176399.23</v>
      </c>
      <c r="AA83" s="232">
        <f t="shared" si="2"/>
        <v>52227.876060000002</v>
      </c>
      <c r="AB83" s="232">
        <f t="shared" si="3"/>
        <v>122199.79070000001</v>
      </c>
    </row>
    <row r="84" spans="1:28" hidden="1">
      <c r="A84" t="s">
        <v>2427</v>
      </c>
      <c r="B84">
        <v>5352</v>
      </c>
      <c r="C84" t="s">
        <v>2625</v>
      </c>
      <c r="D84">
        <v>5697</v>
      </c>
      <c r="E84" t="s">
        <v>2344</v>
      </c>
      <c r="F84" t="s">
        <v>2036</v>
      </c>
      <c r="G84">
        <v>2021</v>
      </c>
      <c r="H84">
        <v>11</v>
      </c>
      <c r="I84" s="8">
        <v>44501</v>
      </c>
      <c r="J84">
        <v>2400</v>
      </c>
      <c r="K84">
        <v>2400</v>
      </c>
      <c r="L84">
        <v>772107</v>
      </c>
      <c r="M84">
        <v>119591</v>
      </c>
      <c r="N84">
        <v>772107</v>
      </c>
      <c r="O84">
        <v>119591</v>
      </c>
      <c r="P84">
        <v>90637</v>
      </c>
      <c r="Q84">
        <v>11.83</v>
      </c>
      <c r="R84">
        <v>21.22</v>
      </c>
      <c r="S84">
        <v>14.37</v>
      </c>
      <c r="T84">
        <v>182.65</v>
      </c>
      <c r="U84">
        <v>9406.73</v>
      </c>
      <c r="V84">
        <v>0</v>
      </c>
      <c r="W84">
        <v>-0.01</v>
      </c>
      <c r="X84">
        <v>265738.5</v>
      </c>
      <c r="AA84" s="232">
        <f t="shared" si="2"/>
        <v>92133.700259999998</v>
      </c>
      <c r="AB84" s="232">
        <f t="shared" si="3"/>
        <v>162868.6397</v>
      </c>
    </row>
    <row r="85" spans="1:28" hidden="1">
      <c r="A85" t="s">
        <v>2428</v>
      </c>
      <c r="B85">
        <v>5352</v>
      </c>
      <c r="C85" t="s">
        <v>2625</v>
      </c>
      <c r="D85">
        <v>5697</v>
      </c>
      <c r="E85" t="s">
        <v>2344</v>
      </c>
      <c r="F85" t="s">
        <v>2036</v>
      </c>
      <c r="G85">
        <v>2021</v>
      </c>
      <c r="H85">
        <v>11</v>
      </c>
      <c r="I85" s="8">
        <v>44501</v>
      </c>
      <c r="J85">
        <v>1235</v>
      </c>
      <c r="K85">
        <v>1364</v>
      </c>
      <c r="L85">
        <v>498161</v>
      </c>
      <c r="M85">
        <v>67766</v>
      </c>
      <c r="N85">
        <v>498161</v>
      </c>
      <c r="O85">
        <v>67766</v>
      </c>
      <c r="P85">
        <v>0</v>
      </c>
      <c r="Q85">
        <v>11.83</v>
      </c>
      <c r="R85">
        <v>21.22</v>
      </c>
      <c r="S85">
        <v>14.37</v>
      </c>
      <c r="T85">
        <v>182.65</v>
      </c>
      <c r="U85">
        <v>5963.44</v>
      </c>
      <c r="V85">
        <v>0</v>
      </c>
      <c r="W85">
        <v>0</v>
      </c>
      <c r="X85">
        <v>167984.45</v>
      </c>
      <c r="AA85" s="232">
        <f t="shared" si="2"/>
        <v>51686.50099</v>
      </c>
      <c r="AB85" s="232">
        <f t="shared" si="3"/>
        <v>103366.56655</v>
      </c>
    </row>
    <row r="86" spans="1:28" hidden="1">
      <c r="A86" t="s">
        <v>2429</v>
      </c>
      <c r="B86">
        <v>5352</v>
      </c>
      <c r="C86" t="s">
        <v>2625</v>
      </c>
      <c r="D86">
        <v>5697</v>
      </c>
      <c r="E86" t="s">
        <v>2344</v>
      </c>
      <c r="F86" t="s">
        <v>2036</v>
      </c>
      <c r="G86">
        <v>2021</v>
      </c>
      <c r="H86">
        <v>11</v>
      </c>
      <c r="I86" s="8">
        <v>44501</v>
      </c>
      <c r="J86">
        <v>1300</v>
      </c>
      <c r="K86">
        <v>1350</v>
      </c>
      <c r="L86">
        <v>206639</v>
      </c>
      <c r="M86">
        <v>29011</v>
      </c>
      <c r="N86">
        <v>206639</v>
      </c>
      <c r="O86">
        <v>29011</v>
      </c>
      <c r="P86">
        <v>0</v>
      </c>
      <c r="Q86">
        <v>11.83</v>
      </c>
      <c r="R86">
        <v>21.22</v>
      </c>
      <c r="S86">
        <v>14.37</v>
      </c>
      <c r="T86">
        <v>182.65</v>
      </c>
      <c r="U86">
        <v>3329.3</v>
      </c>
      <c r="V86">
        <v>0</v>
      </c>
      <c r="W86">
        <v>0</v>
      </c>
      <c r="X86">
        <v>93783.039999999994</v>
      </c>
      <c r="AA86" s="232">
        <f t="shared" si="2"/>
        <v>47412.290500000003</v>
      </c>
      <c r="AB86" s="232">
        <f t="shared" si="3"/>
        <v>43041.472500000003</v>
      </c>
    </row>
    <row r="87" spans="1:28" hidden="1">
      <c r="A87" t="s">
        <v>2430</v>
      </c>
      <c r="B87">
        <v>5352</v>
      </c>
      <c r="C87" t="s">
        <v>2625</v>
      </c>
      <c r="D87">
        <v>5697</v>
      </c>
      <c r="E87" t="s">
        <v>2344</v>
      </c>
      <c r="F87" t="s">
        <v>2036</v>
      </c>
      <c r="G87">
        <v>2021</v>
      </c>
      <c r="H87">
        <v>11</v>
      </c>
      <c r="I87" s="8">
        <v>44501</v>
      </c>
      <c r="J87">
        <v>810</v>
      </c>
      <c r="K87">
        <v>930</v>
      </c>
      <c r="L87">
        <v>182419</v>
      </c>
      <c r="M87">
        <v>27142</v>
      </c>
      <c r="N87">
        <v>182419</v>
      </c>
      <c r="O87">
        <v>27142</v>
      </c>
      <c r="P87">
        <v>0</v>
      </c>
      <c r="Q87">
        <v>11.83</v>
      </c>
      <c r="R87">
        <v>21.22</v>
      </c>
      <c r="S87">
        <v>14.37</v>
      </c>
      <c r="T87">
        <v>182.65</v>
      </c>
      <c r="U87">
        <v>2598.71</v>
      </c>
      <c r="V87">
        <v>0</v>
      </c>
      <c r="W87">
        <v>0</v>
      </c>
      <c r="X87">
        <v>74693.490000000005</v>
      </c>
      <c r="AA87" s="232">
        <f t="shared" si="2"/>
        <v>32328.291569999998</v>
      </c>
      <c r="AB87" s="232">
        <f t="shared" si="3"/>
        <v>38276.316650000001</v>
      </c>
    </row>
    <row r="88" spans="1:28" hidden="1">
      <c r="A88" t="s">
        <v>2431</v>
      </c>
      <c r="B88">
        <v>5352</v>
      </c>
      <c r="C88" t="s">
        <v>2625</v>
      </c>
      <c r="D88">
        <v>5697</v>
      </c>
      <c r="E88" t="s">
        <v>2344</v>
      </c>
      <c r="F88" t="s">
        <v>2036</v>
      </c>
      <c r="G88">
        <v>2021</v>
      </c>
      <c r="H88">
        <v>11</v>
      </c>
      <c r="I88" s="8">
        <v>44501</v>
      </c>
      <c r="J88">
        <v>250</v>
      </c>
      <c r="K88">
        <v>250</v>
      </c>
      <c r="L88">
        <v>55389</v>
      </c>
      <c r="M88">
        <v>7699</v>
      </c>
      <c r="N88">
        <v>55389</v>
      </c>
      <c r="O88">
        <v>7699</v>
      </c>
      <c r="P88">
        <v>0</v>
      </c>
      <c r="Q88">
        <v>11.83</v>
      </c>
      <c r="R88">
        <v>21.22</v>
      </c>
      <c r="S88">
        <v>14.37</v>
      </c>
      <c r="T88">
        <v>182.65</v>
      </c>
      <c r="U88">
        <v>761.61</v>
      </c>
      <c r="V88">
        <v>0</v>
      </c>
      <c r="W88">
        <v>0</v>
      </c>
      <c r="X88">
        <v>25319.18</v>
      </c>
      <c r="AA88" s="232">
        <f t="shared" si="2"/>
        <v>9169.0745600000009</v>
      </c>
      <c r="AB88" s="232">
        <f t="shared" si="3"/>
        <v>11523.0232</v>
      </c>
    </row>
    <row r="89" spans="1:28" hidden="1">
      <c r="A89" t="s">
        <v>2432</v>
      </c>
      <c r="B89">
        <v>5352</v>
      </c>
      <c r="C89" t="s">
        <v>2625</v>
      </c>
      <c r="D89">
        <v>5697</v>
      </c>
      <c r="E89" t="s">
        <v>2344</v>
      </c>
      <c r="F89" t="s">
        <v>2036</v>
      </c>
      <c r="G89">
        <v>2021</v>
      </c>
      <c r="H89">
        <v>11</v>
      </c>
      <c r="I89" s="8">
        <v>44501</v>
      </c>
      <c r="J89">
        <v>350</v>
      </c>
      <c r="K89">
        <v>350</v>
      </c>
      <c r="L89">
        <v>89920</v>
      </c>
      <c r="M89">
        <v>12891</v>
      </c>
      <c r="N89">
        <v>89920</v>
      </c>
      <c r="O89">
        <v>12891</v>
      </c>
      <c r="P89">
        <v>0</v>
      </c>
      <c r="Q89">
        <v>11.83</v>
      </c>
      <c r="R89">
        <v>21.22</v>
      </c>
      <c r="S89">
        <v>14.37</v>
      </c>
      <c r="T89">
        <v>182.65</v>
      </c>
      <c r="U89">
        <v>1171.31</v>
      </c>
      <c r="V89">
        <v>0</v>
      </c>
      <c r="W89">
        <v>0</v>
      </c>
      <c r="X89">
        <v>32994.620000000003</v>
      </c>
      <c r="AA89" s="232">
        <f t="shared" si="2"/>
        <v>13044.89407</v>
      </c>
      <c r="AB89" s="232">
        <f t="shared" si="3"/>
        <v>18778.429150000004</v>
      </c>
    </row>
    <row r="90" spans="1:28" hidden="1">
      <c r="A90" t="s">
        <v>2433</v>
      </c>
      <c r="B90">
        <v>5352</v>
      </c>
      <c r="C90" t="s">
        <v>2625</v>
      </c>
      <c r="D90">
        <v>5697</v>
      </c>
      <c r="E90" t="s">
        <v>2344</v>
      </c>
      <c r="F90" t="s">
        <v>2036</v>
      </c>
      <c r="G90">
        <v>2021</v>
      </c>
      <c r="H90">
        <v>11</v>
      </c>
      <c r="I90" s="8">
        <v>44501</v>
      </c>
      <c r="J90">
        <v>889</v>
      </c>
      <c r="K90">
        <v>898</v>
      </c>
      <c r="L90">
        <v>329707</v>
      </c>
      <c r="M90">
        <v>45355</v>
      </c>
      <c r="N90">
        <v>329707</v>
      </c>
      <c r="O90">
        <v>45355</v>
      </c>
      <c r="P90">
        <v>0</v>
      </c>
      <c r="Q90">
        <v>11.83</v>
      </c>
      <c r="R90">
        <v>21.22</v>
      </c>
      <c r="S90">
        <v>14.37</v>
      </c>
      <c r="T90">
        <v>182.65</v>
      </c>
      <c r="U90">
        <v>3985.29</v>
      </c>
      <c r="V90">
        <v>0</v>
      </c>
      <c r="W90">
        <v>0</v>
      </c>
      <c r="X90">
        <v>112261.39</v>
      </c>
      <c r="AA90" s="232">
        <f t="shared" si="2"/>
        <v>34962.070939999998</v>
      </c>
      <c r="AB90" s="232">
        <f t="shared" si="3"/>
        <v>68505.074300000007</v>
      </c>
    </row>
    <row r="91" spans="1:28" hidden="1">
      <c r="A91" t="s">
        <v>2434</v>
      </c>
      <c r="B91">
        <v>5352</v>
      </c>
      <c r="C91" t="s">
        <v>2625</v>
      </c>
      <c r="D91">
        <v>5697</v>
      </c>
      <c r="E91" t="s">
        <v>2344</v>
      </c>
      <c r="F91" t="s">
        <v>2036</v>
      </c>
      <c r="G91">
        <v>2021</v>
      </c>
      <c r="H91">
        <v>11</v>
      </c>
      <c r="I91" s="8">
        <v>44501</v>
      </c>
      <c r="J91">
        <v>470</v>
      </c>
      <c r="K91">
        <v>530</v>
      </c>
      <c r="L91">
        <v>144467</v>
      </c>
      <c r="M91">
        <v>20297</v>
      </c>
      <c r="N91">
        <v>144467</v>
      </c>
      <c r="O91">
        <v>20297</v>
      </c>
      <c r="P91">
        <v>0</v>
      </c>
      <c r="Q91">
        <v>11.83</v>
      </c>
      <c r="R91">
        <v>21.22</v>
      </c>
      <c r="S91">
        <v>14.37</v>
      </c>
      <c r="T91">
        <v>182.65</v>
      </c>
      <c r="U91">
        <v>1813.43</v>
      </c>
      <c r="V91">
        <v>0</v>
      </c>
      <c r="W91">
        <v>0</v>
      </c>
      <c r="X91">
        <v>51081.91</v>
      </c>
      <c r="AA91" s="232">
        <f t="shared" si="2"/>
        <v>19174.358679999998</v>
      </c>
      <c r="AB91" s="232">
        <f t="shared" si="3"/>
        <v>30094.144600000003</v>
      </c>
    </row>
    <row r="92" spans="1:28" hidden="1">
      <c r="A92" t="s">
        <v>2435</v>
      </c>
      <c r="B92">
        <v>5352</v>
      </c>
      <c r="C92" t="s">
        <v>2625</v>
      </c>
      <c r="D92">
        <v>5697</v>
      </c>
      <c r="E92" t="s">
        <v>2344</v>
      </c>
      <c r="F92" t="s">
        <v>2036</v>
      </c>
      <c r="G92">
        <v>2021</v>
      </c>
      <c r="H92">
        <v>11</v>
      </c>
      <c r="I92" s="8">
        <v>44501</v>
      </c>
      <c r="J92">
        <v>560</v>
      </c>
      <c r="K92">
        <v>560</v>
      </c>
      <c r="L92">
        <v>183642</v>
      </c>
      <c r="M92">
        <v>25921</v>
      </c>
      <c r="N92">
        <v>183642</v>
      </c>
      <c r="O92">
        <v>25921</v>
      </c>
      <c r="P92">
        <v>0</v>
      </c>
      <c r="Q92">
        <v>11.83</v>
      </c>
      <c r="R92">
        <v>21.22</v>
      </c>
      <c r="S92">
        <v>14.37</v>
      </c>
      <c r="T92">
        <v>182.65</v>
      </c>
      <c r="U92">
        <v>2200.87</v>
      </c>
      <c r="V92">
        <v>0</v>
      </c>
      <c r="W92">
        <v>-9455.67</v>
      </c>
      <c r="X92">
        <v>52541.29</v>
      </c>
      <c r="AA92" s="232">
        <f t="shared" si="2"/>
        <v>21519.420310000001</v>
      </c>
      <c r="AB92" s="232">
        <f t="shared" si="3"/>
        <v>38276.681949999998</v>
      </c>
    </row>
    <row r="93" spans="1:28" hidden="1">
      <c r="A93" t="s">
        <v>2436</v>
      </c>
      <c r="B93">
        <v>5352</v>
      </c>
      <c r="C93" t="s">
        <v>2625</v>
      </c>
      <c r="D93">
        <v>5697</v>
      </c>
      <c r="E93" t="s">
        <v>2344</v>
      </c>
      <c r="F93" t="s">
        <v>2036</v>
      </c>
      <c r="G93">
        <v>2021</v>
      </c>
      <c r="H93">
        <v>11</v>
      </c>
      <c r="I93" s="8">
        <v>44501</v>
      </c>
      <c r="J93">
        <v>580</v>
      </c>
      <c r="K93">
        <v>580</v>
      </c>
      <c r="L93">
        <v>162394</v>
      </c>
      <c r="M93">
        <v>21043</v>
      </c>
      <c r="N93">
        <v>162394</v>
      </c>
      <c r="O93">
        <v>21043</v>
      </c>
      <c r="P93">
        <v>0</v>
      </c>
      <c r="Q93">
        <v>11.83</v>
      </c>
      <c r="R93">
        <v>21.22</v>
      </c>
      <c r="S93">
        <v>14.37</v>
      </c>
      <c r="T93">
        <v>182.65</v>
      </c>
      <c r="U93">
        <v>2035.77</v>
      </c>
      <c r="V93">
        <v>0</v>
      </c>
      <c r="W93">
        <v>-346.88</v>
      </c>
      <c r="X93">
        <v>56998.63</v>
      </c>
      <c r="AA93" s="232">
        <f t="shared" si="2"/>
        <v>21804.989689999999</v>
      </c>
      <c r="AB93" s="232">
        <f t="shared" si="3"/>
        <v>33504.768050000006</v>
      </c>
    </row>
    <row r="94" spans="1:28" hidden="1">
      <c r="A94" t="s">
        <v>2437</v>
      </c>
      <c r="B94">
        <v>5352</v>
      </c>
      <c r="C94" t="s">
        <v>2625</v>
      </c>
      <c r="D94">
        <v>5697</v>
      </c>
      <c r="E94" t="s">
        <v>2344</v>
      </c>
      <c r="F94" t="s">
        <v>2036</v>
      </c>
      <c r="G94">
        <v>2021</v>
      </c>
      <c r="H94">
        <v>11</v>
      </c>
      <c r="I94" s="8">
        <v>44501</v>
      </c>
      <c r="J94">
        <v>96</v>
      </c>
      <c r="K94">
        <v>107</v>
      </c>
      <c r="L94">
        <v>27437</v>
      </c>
      <c r="M94">
        <v>4078</v>
      </c>
      <c r="N94">
        <v>27437</v>
      </c>
      <c r="O94">
        <v>4078</v>
      </c>
      <c r="P94">
        <v>0</v>
      </c>
      <c r="Q94">
        <v>11.83</v>
      </c>
      <c r="R94">
        <v>21.22</v>
      </c>
      <c r="S94">
        <v>14.37</v>
      </c>
      <c r="T94">
        <v>182.65</v>
      </c>
      <c r="U94">
        <v>425.51</v>
      </c>
      <c r="V94">
        <v>0</v>
      </c>
      <c r="W94">
        <v>-539.66</v>
      </c>
      <c r="X94">
        <v>11446.5</v>
      </c>
      <c r="AA94" s="232">
        <f t="shared" si="2"/>
        <v>3859.0905500000003</v>
      </c>
      <c r="AB94" s="232">
        <f t="shared" si="3"/>
        <v>5756.2147500000001</v>
      </c>
    </row>
    <row r="95" spans="1:28" hidden="1">
      <c r="A95" t="s">
        <v>2438</v>
      </c>
      <c r="B95">
        <v>5352</v>
      </c>
      <c r="C95" t="s">
        <v>2625</v>
      </c>
      <c r="D95">
        <v>5697</v>
      </c>
      <c r="E95" t="s">
        <v>2344</v>
      </c>
      <c r="F95" t="s">
        <v>2036</v>
      </c>
      <c r="G95">
        <v>2021</v>
      </c>
      <c r="H95">
        <v>11</v>
      </c>
      <c r="I95" s="8">
        <v>44501</v>
      </c>
      <c r="J95">
        <v>450</v>
      </c>
      <c r="K95">
        <v>450</v>
      </c>
      <c r="L95">
        <v>127641</v>
      </c>
      <c r="M95">
        <v>16022</v>
      </c>
      <c r="N95">
        <v>127641</v>
      </c>
      <c r="O95">
        <v>16022</v>
      </c>
      <c r="P95">
        <v>0</v>
      </c>
      <c r="Q95">
        <v>11.83</v>
      </c>
      <c r="R95">
        <v>21.22</v>
      </c>
      <c r="S95">
        <v>14.37</v>
      </c>
      <c r="T95">
        <v>182.65</v>
      </c>
      <c r="U95">
        <v>1589.18</v>
      </c>
      <c r="V95">
        <v>0</v>
      </c>
      <c r="W95">
        <v>0</v>
      </c>
      <c r="X95">
        <v>44766.14</v>
      </c>
      <c r="AA95" s="232">
        <f t="shared" si="2"/>
        <v>16936.937310000001</v>
      </c>
      <c r="AB95" s="232">
        <f t="shared" si="3"/>
        <v>26240.046950000004</v>
      </c>
    </row>
    <row r="96" spans="1:28" hidden="1">
      <c r="A96" t="s">
        <v>2439</v>
      </c>
      <c r="B96">
        <v>5352</v>
      </c>
      <c r="C96" t="s">
        <v>2625</v>
      </c>
      <c r="D96">
        <v>5697</v>
      </c>
      <c r="E96" t="s">
        <v>2344</v>
      </c>
      <c r="F96" t="s">
        <v>2036</v>
      </c>
      <c r="G96">
        <v>2021</v>
      </c>
      <c r="H96">
        <v>11</v>
      </c>
      <c r="I96" s="8">
        <v>44501</v>
      </c>
      <c r="J96">
        <v>320</v>
      </c>
      <c r="K96">
        <v>320</v>
      </c>
      <c r="L96">
        <v>102457</v>
      </c>
      <c r="M96">
        <v>13227</v>
      </c>
      <c r="N96">
        <v>102457</v>
      </c>
      <c r="O96">
        <v>13227</v>
      </c>
      <c r="P96">
        <v>0</v>
      </c>
      <c r="Q96">
        <v>11.83</v>
      </c>
      <c r="R96">
        <v>21.22</v>
      </c>
      <c r="S96">
        <v>14.37</v>
      </c>
      <c r="T96">
        <v>182.65</v>
      </c>
      <c r="U96">
        <v>1228.1600000000001</v>
      </c>
      <c r="V96">
        <v>0</v>
      </c>
      <c r="W96">
        <v>0</v>
      </c>
      <c r="X96">
        <v>34596.21</v>
      </c>
      <c r="AA96" s="232">
        <f t="shared" si="2"/>
        <v>12238.379080000001</v>
      </c>
      <c r="AB96" s="232">
        <f t="shared" si="3"/>
        <v>21129.6826</v>
      </c>
    </row>
    <row r="97" spans="1:28" hidden="1">
      <c r="A97" t="s">
        <v>2440</v>
      </c>
      <c r="B97">
        <v>5352</v>
      </c>
      <c r="C97" t="s">
        <v>2625</v>
      </c>
      <c r="D97">
        <v>5697</v>
      </c>
      <c r="E97" t="s">
        <v>2344</v>
      </c>
      <c r="F97" t="s">
        <v>2036</v>
      </c>
      <c r="G97">
        <v>2021</v>
      </c>
      <c r="H97">
        <v>11</v>
      </c>
      <c r="I97" s="8">
        <v>44501</v>
      </c>
      <c r="J97">
        <v>820</v>
      </c>
      <c r="K97">
        <v>820</v>
      </c>
      <c r="L97">
        <v>280690</v>
      </c>
      <c r="M97">
        <v>35017</v>
      </c>
      <c r="N97">
        <v>280690</v>
      </c>
      <c r="O97">
        <v>35017</v>
      </c>
      <c r="P97">
        <v>0</v>
      </c>
      <c r="Q97">
        <v>11.83</v>
      </c>
      <c r="R97">
        <v>21.22</v>
      </c>
      <c r="S97">
        <v>14.37</v>
      </c>
      <c r="T97">
        <v>182.65</v>
      </c>
      <c r="U97">
        <v>3286.89</v>
      </c>
      <c r="V97">
        <v>0</v>
      </c>
      <c r="W97">
        <v>0</v>
      </c>
      <c r="X97">
        <v>92588.46</v>
      </c>
      <c r="AA97" s="232">
        <f t="shared" si="2"/>
        <v>31637.709589999999</v>
      </c>
      <c r="AB97" s="232">
        <f t="shared" si="3"/>
        <v>57663.883549999999</v>
      </c>
    </row>
    <row r="98" spans="1:28" hidden="1">
      <c r="A98" t="s">
        <v>2441</v>
      </c>
      <c r="B98">
        <v>5352</v>
      </c>
      <c r="C98" t="s">
        <v>2625</v>
      </c>
      <c r="D98">
        <v>5697</v>
      </c>
      <c r="E98" t="s">
        <v>2344</v>
      </c>
      <c r="F98" t="s">
        <v>2036</v>
      </c>
      <c r="G98">
        <v>2021</v>
      </c>
      <c r="H98">
        <v>11</v>
      </c>
      <c r="I98" s="8">
        <v>44501</v>
      </c>
      <c r="J98">
        <v>600</v>
      </c>
      <c r="K98">
        <v>600</v>
      </c>
      <c r="L98">
        <v>141800</v>
      </c>
      <c r="M98">
        <v>18664</v>
      </c>
      <c r="N98">
        <v>141800</v>
      </c>
      <c r="O98">
        <v>18664</v>
      </c>
      <c r="P98">
        <v>0</v>
      </c>
      <c r="Q98">
        <v>11.83</v>
      </c>
      <c r="R98">
        <v>21.22</v>
      </c>
      <c r="S98">
        <v>14.37</v>
      </c>
      <c r="T98">
        <v>182.65</v>
      </c>
      <c r="U98">
        <v>1893.5</v>
      </c>
      <c r="V98">
        <v>0</v>
      </c>
      <c r="W98">
        <v>0</v>
      </c>
      <c r="X98">
        <v>53338.1</v>
      </c>
      <c r="AA98" s="232">
        <f t="shared" si="2"/>
        <v>22135.867679999999</v>
      </c>
      <c r="AB98" s="232">
        <f t="shared" si="3"/>
        <v>29308.749599999999</v>
      </c>
    </row>
    <row r="99" spans="1:28" hidden="1">
      <c r="A99" t="s">
        <v>2442</v>
      </c>
      <c r="B99">
        <v>5352</v>
      </c>
      <c r="C99" t="s">
        <v>2625</v>
      </c>
      <c r="D99">
        <v>5697</v>
      </c>
      <c r="E99" t="s">
        <v>2344</v>
      </c>
      <c r="F99" t="s">
        <v>2036</v>
      </c>
      <c r="G99">
        <v>2021</v>
      </c>
      <c r="H99">
        <v>11</v>
      </c>
      <c r="I99" s="8">
        <v>44501</v>
      </c>
      <c r="J99">
        <v>735</v>
      </c>
      <c r="K99">
        <v>699</v>
      </c>
      <c r="L99">
        <v>256958</v>
      </c>
      <c r="M99">
        <v>32241</v>
      </c>
      <c r="N99">
        <v>256958</v>
      </c>
      <c r="O99">
        <v>32241</v>
      </c>
      <c r="P99">
        <v>0</v>
      </c>
      <c r="Q99">
        <v>11.83</v>
      </c>
      <c r="R99">
        <v>21.22</v>
      </c>
      <c r="S99">
        <v>14.37</v>
      </c>
      <c r="T99">
        <v>182.65</v>
      </c>
      <c r="U99">
        <v>2963.47</v>
      </c>
      <c r="V99">
        <v>0</v>
      </c>
      <c r="W99">
        <v>-458.82</v>
      </c>
      <c r="X99">
        <v>83018.92</v>
      </c>
      <c r="AA99" s="232">
        <f t="shared" si="2"/>
        <v>27683.619629999997</v>
      </c>
      <c r="AB99" s="232">
        <f t="shared" si="3"/>
        <v>52822.197350000002</v>
      </c>
    </row>
    <row r="100" spans="1:28" hidden="1">
      <c r="A100" t="s">
        <v>2443</v>
      </c>
      <c r="B100">
        <v>5352</v>
      </c>
      <c r="C100" t="s">
        <v>2625</v>
      </c>
      <c r="D100">
        <v>5697</v>
      </c>
      <c r="E100" t="s">
        <v>2344</v>
      </c>
      <c r="F100" t="s">
        <v>2036</v>
      </c>
      <c r="G100">
        <v>2021</v>
      </c>
      <c r="H100">
        <v>12</v>
      </c>
      <c r="I100" s="8">
        <v>44531</v>
      </c>
      <c r="J100">
        <v>530</v>
      </c>
      <c r="K100">
        <v>470</v>
      </c>
      <c r="L100">
        <v>143099</v>
      </c>
      <c r="M100">
        <v>19614</v>
      </c>
      <c r="N100">
        <v>143099</v>
      </c>
      <c r="O100">
        <v>19614</v>
      </c>
      <c r="P100">
        <v>0</v>
      </c>
      <c r="Q100">
        <v>11.83</v>
      </c>
      <c r="R100">
        <v>21.22</v>
      </c>
      <c r="S100">
        <v>14.37</v>
      </c>
      <c r="T100">
        <v>182.65</v>
      </c>
      <c r="U100">
        <v>1898.54</v>
      </c>
      <c r="V100">
        <v>0</v>
      </c>
      <c r="W100">
        <v>-697.55</v>
      </c>
      <c r="X100">
        <v>50065.39</v>
      </c>
      <c r="AA100" s="232">
        <f t="shared" si="2"/>
        <v>18581.485809999998</v>
      </c>
      <c r="AB100" s="232">
        <f t="shared" si="3"/>
        <v>29719.529449999998</v>
      </c>
    </row>
    <row r="101" spans="1:28" hidden="1">
      <c r="A101" t="s">
        <v>2444</v>
      </c>
      <c r="B101">
        <v>5352</v>
      </c>
      <c r="C101" t="s">
        <v>2625</v>
      </c>
      <c r="D101">
        <v>5697</v>
      </c>
      <c r="E101" t="s">
        <v>2344</v>
      </c>
      <c r="F101" t="s">
        <v>2036</v>
      </c>
      <c r="G101">
        <v>2021</v>
      </c>
      <c r="H101">
        <v>12</v>
      </c>
      <c r="I101" s="8">
        <v>44531</v>
      </c>
      <c r="J101">
        <v>1342</v>
      </c>
      <c r="K101">
        <v>1457</v>
      </c>
      <c r="L101">
        <v>516613</v>
      </c>
      <c r="M101">
        <v>70651</v>
      </c>
      <c r="N101">
        <v>516613</v>
      </c>
      <c r="O101">
        <v>70651</v>
      </c>
      <c r="P101">
        <v>0</v>
      </c>
      <c r="Q101">
        <v>11.83</v>
      </c>
      <c r="R101">
        <v>21.22</v>
      </c>
      <c r="S101">
        <v>14.37</v>
      </c>
      <c r="T101">
        <v>182.65</v>
      </c>
      <c r="U101">
        <v>6867.15</v>
      </c>
      <c r="V101">
        <v>0</v>
      </c>
      <c r="W101">
        <v>0</v>
      </c>
      <c r="X101">
        <v>183613.41</v>
      </c>
      <c r="AA101" s="232">
        <f t="shared" si="2"/>
        <v>55232.383679999992</v>
      </c>
      <c r="AB101" s="232">
        <f t="shared" si="3"/>
        <v>107263.7696</v>
      </c>
    </row>
    <row r="102" spans="1:28" hidden="1">
      <c r="A102" t="s">
        <v>2445</v>
      </c>
      <c r="B102">
        <v>5352</v>
      </c>
      <c r="C102" t="s">
        <v>2625</v>
      </c>
      <c r="D102">
        <v>5697</v>
      </c>
      <c r="E102" t="s">
        <v>2344</v>
      </c>
      <c r="F102" t="s">
        <v>2036</v>
      </c>
      <c r="G102">
        <v>2021</v>
      </c>
      <c r="H102">
        <v>12</v>
      </c>
      <c r="I102" s="8">
        <v>44531</v>
      </c>
      <c r="J102">
        <v>450</v>
      </c>
      <c r="K102">
        <v>450</v>
      </c>
      <c r="L102">
        <v>124381</v>
      </c>
      <c r="M102">
        <v>16221</v>
      </c>
      <c r="N102">
        <v>124381</v>
      </c>
      <c r="O102">
        <v>16221</v>
      </c>
      <c r="P102">
        <v>0</v>
      </c>
      <c r="Q102">
        <v>11.83</v>
      </c>
      <c r="R102">
        <v>21.22</v>
      </c>
      <c r="S102">
        <v>14.37</v>
      </c>
      <c r="T102">
        <v>182.65</v>
      </c>
      <c r="U102">
        <v>1654.11</v>
      </c>
      <c r="V102">
        <v>0</v>
      </c>
      <c r="W102">
        <v>-398.09</v>
      </c>
      <c r="X102">
        <v>43829.9</v>
      </c>
      <c r="AA102" s="232">
        <f t="shared" si="2"/>
        <v>16892.95074</v>
      </c>
      <c r="AB102" s="232">
        <f t="shared" si="3"/>
        <v>25680.955300000001</v>
      </c>
    </row>
    <row r="103" spans="1:28" hidden="1">
      <c r="A103" t="s">
        <v>2446</v>
      </c>
      <c r="B103">
        <v>5352</v>
      </c>
      <c r="C103" t="s">
        <v>2625</v>
      </c>
      <c r="D103">
        <v>5697</v>
      </c>
      <c r="E103" t="s">
        <v>2344</v>
      </c>
      <c r="F103" t="s">
        <v>2036</v>
      </c>
      <c r="G103">
        <v>2021</v>
      </c>
      <c r="H103">
        <v>12</v>
      </c>
      <c r="I103" s="8">
        <v>44531</v>
      </c>
      <c r="J103">
        <v>820</v>
      </c>
      <c r="K103">
        <v>820</v>
      </c>
      <c r="L103">
        <v>271354</v>
      </c>
      <c r="M103">
        <v>34069</v>
      </c>
      <c r="N103">
        <v>271354</v>
      </c>
      <c r="O103">
        <v>34069</v>
      </c>
      <c r="P103">
        <v>0</v>
      </c>
      <c r="Q103">
        <v>11.83</v>
      </c>
      <c r="R103">
        <v>21.22</v>
      </c>
      <c r="S103">
        <v>14.37</v>
      </c>
      <c r="T103">
        <v>182.65</v>
      </c>
      <c r="U103">
        <v>3390.92</v>
      </c>
      <c r="V103">
        <v>0</v>
      </c>
      <c r="W103">
        <v>-740.52</v>
      </c>
      <c r="X103">
        <v>89925.82</v>
      </c>
      <c r="AA103" s="232">
        <f t="shared" si="2"/>
        <v>31489.928509999998</v>
      </c>
      <c r="AB103" s="232">
        <f t="shared" si="3"/>
        <v>55785.510950000004</v>
      </c>
    </row>
    <row r="104" spans="1:28" hidden="1">
      <c r="A104" t="s">
        <v>2447</v>
      </c>
      <c r="B104">
        <v>5352</v>
      </c>
      <c r="C104" t="s">
        <v>2625</v>
      </c>
      <c r="D104">
        <v>5697</v>
      </c>
      <c r="E104" t="s">
        <v>2344</v>
      </c>
      <c r="F104" t="s">
        <v>2036</v>
      </c>
      <c r="G104">
        <v>2021</v>
      </c>
      <c r="H104">
        <v>12</v>
      </c>
      <c r="I104" s="8">
        <v>44531</v>
      </c>
      <c r="J104">
        <v>1300</v>
      </c>
      <c r="K104">
        <v>1350</v>
      </c>
      <c r="L104">
        <v>382391</v>
      </c>
      <c r="M104">
        <v>47768</v>
      </c>
      <c r="N104">
        <v>382391</v>
      </c>
      <c r="O104">
        <v>47768</v>
      </c>
      <c r="P104">
        <v>0</v>
      </c>
      <c r="Q104">
        <v>11.83</v>
      </c>
      <c r="R104">
        <v>21.22</v>
      </c>
      <c r="S104">
        <v>14.37</v>
      </c>
      <c r="T104">
        <v>182.65</v>
      </c>
      <c r="U104">
        <v>5003.34</v>
      </c>
      <c r="V104">
        <v>0</v>
      </c>
      <c r="W104">
        <v>0</v>
      </c>
      <c r="X104">
        <v>133779.24</v>
      </c>
      <c r="AA104" s="232">
        <f t="shared" si="2"/>
        <v>50207.384830000003</v>
      </c>
      <c r="AB104" s="232">
        <f t="shared" si="3"/>
        <v>78568.54135</v>
      </c>
    </row>
    <row r="105" spans="1:28" hidden="1">
      <c r="A105" t="s">
        <v>2448</v>
      </c>
      <c r="B105">
        <v>5352</v>
      </c>
      <c r="C105" t="s">
        <v>2625</v>
      </c>
      <c r="D105">
        <v>5697</v>
      </c>
      <c r="E105" t="s">
        <v>2344</v>
      </c>
      <c r="F105" t="s">
        <v>2036</v>
      </c>
      <c r="G105">
        <v>2021</v>
      </c>
      <c r="H105">
        <v>12</v>
      </c>
      <c r="I105" s="8">
        <v>44531</v>
      </c>
      <c r="J105">
        <v>810</v>
      </c>
      <c r="K105">
        <v>930</v>
      </c>
      <c r="L105">
        <v>191926</v>
      </c>
      <c r="M105">
        <v>29417</v>
      </c>
      <c r="N105">
        <v>191926</v>
      </c>
      <c r="O105">
        <v>29417</v>
      </c>
      <c r="P105">
        <v>0</v>
      </c>
      <c r="Q105">
        <v>11.83</v>
      </c>
      <c r="R105">
        <v>21.22</v>
      </c>
      <c r="S105">
        <v>14.37</v>
      </c>
      <c r="T105">
        <v>182.65</v>
      </c>
      <c r="U105">
        <v>2883.41</v>
      </c>
      <c r="V105">
        <v>0</v>
      </c>
      <c r="W105">
        <v>0</v>
      </c>
      <c r="X105">
        <v>75759.289999999994</v>
      </c>
      <c r="AA105" s="232">
        <f t="shared" si="2"/>
        <v>32497.598909999997</v>
      </c>
      <c r="AB105" s="232">
        <f t="shared" si="3"/>
        <v>40428.298949999997</v>
      </c>
    </row>
    <row r="106" spans="1:28" hidden="1">
      <c r="A106" t="s">
        <v>2449</v>
      </c>
      <c r="B106">
        <v>5352</v>
      </c>
      <c r="C106" t="s">
        <v>2625</v>
      </c>
      <c r="D106">
        <v>5697</v>
      </c>
      <c r="E106" t="s">
        <v>2344</v>
      </c>
      <c r="F106" t="s">
        <v>2036</v>
      </c>
      <c r="G106">
        <v>2021</v>
      </c>
      <c r="H106">
        <v>12</v>
      </c>
      <c r="I106" s="8">
        <v>44531</v>
      </c>
      <c r="J106">
        <v>250</v>
      </c>
      <c r="K106">
        <v>250</v>
      </c>
      <c r="L106">
        <v>55648</v>
      </c>
      <c r="M106">
        <v>8363</v>
      </c>
      <c r="N106">
        <v>55648</v>
      </c>
      <c r="O106">
        <v>8363</v>
      </c>
      <c r="P106">
        <v>0</v>
      </c>
      <c r="Q106">
        <v>11.83</v>
      </c>
      <c r="R106">
        <v>21.22</v>
      </c>
      <c r="S106">
        <v>14.37</v>
      </c>
      <c r="T106">
        <v>182.65</v>
      </c>
      <c r="U106">
        <v>811.02</v>
      </c>
      <c r="V106">
        <v>0</v>
      </c>
      <c r="W106">
        <v>0</v>
      </c>
      <c r="X106">
        <v>25550.44</v>
      </c>
      <c r="AA106" s="232">
        <f t="shared" si="2"/>
        <v>9182.3380699999998</v>
      </c>
      <c r="AB106" s="232">
        <f t="shared" si="3"/>
        <v>11691.60915</v>
      </c>
    </row>
    <row r="107" spans="1:28" hidden="1">
      <c r="A107" t="s">
        <v>2450</v>
      </c>
      <c r="B107">
        <v>5352</v>
      </c>
      <c r="C107" t="s">
        <v>2625</v>
      </c>
      <c r="D107">
        <v>5697</v>
      </c>
      <c r="E107" t="s">
        <v>2344</v>
      </c>
      <c r="F107" t="s">
        <v>2036</v>
      </c>
      <c r="G107">
        <v>2021</v>
      </c>
      <c r="H107">
        <v>12</v>
      </c>
      <c r="I107" s="8">
        <v>44531</v>
      </c>
      <c r="J107">
        <v>1419</v>
      </c>
      <c r="K107">
        <v>1250</v>
      </c>
      <c r="L107">
        <v>658224</v>
      </c>
      <c r="M107">
        <v>45690</v>
      </c>
      <c r="N107">
        <v>658224</v>
      </c>
      <c r="O107">
        <v>45690</v>
      </c>
      <c r="P107">
        <v>0</v>
      </c>
      <c r="Q107">
        <v>11.83</v>
      </c>
      <c r="R107">
        <v>21.22</v>
      </c>
      <c r="S107">
        <v>14.37</v>
      </c>
      <c r="T107">
        <v>182.65</v>
      </c>
      <c r="U107">
        <v>7071.26</v>
      </c>
      <c r="V107">
        <v>0</v>
      </c>
      <c r="W107">
        <v>-12393.34</v>
      </c>
      <c r="X107">
        <v>176513.28</v>
      </c>
      <c r="AA107" s="232">
        <f t="shared" si="2"/>
        <v>53427.014180000006</v>
      </c>
      <c r="AB107" s="232">
        <f t="shared" si="3"/>
        <v>128569.8921</v>
      </c>
    </row>
    <row r="108" spans="1:28" hidden="1">
      <c r="A108" t="s">
        <v>2451</v>
      </c>
      <c r="B108">
        <v>5352</v>
      </c>
      <c r="C108" t="s">
        <v>2625</v>
      </c>
      <c r="D108">
        <v>5697</v>
      </c>
      <c r="E108" t="s">
        <v>2344</v>
      </c>
      <c r="F108" t="s">
        <v>2036</v>
      </c>
      <c r="G108">
        <v>2021</v>
      </c>
      <c r="H108">
        <v>12</v>
      </c>
      <c r="I108" s="8">
        <v>44531</v>
      </c>
      <c r="J108">
        <v>580</v>
      </c>
      <c r="K108">
        <v>580</v>
      </c>
      <c r="L108">
        <v>165376</v>
      </c>
      <c r="M108">
        <v>21682</v>
      </c>
      <c r="N108">
        <v>165376</v>
      </c>
      <c r="O108">
        <v>21682</v>
      </c>
      <c r="P108">
        <v>0</v>
      </c>
      <c r="Q108">
        <v>11.83</v>
      </c>
      <c r="R108">
        <v>21.22</v>
      </c>
      <c r="S108">
        <v>14.37</v>
      </c>
      <c r="T108">
        <v>182.65</v>
      </c>
      <c r="U108">
        <v>2176.66</v>
      </c>
      <c r="V108">
        <v>0</v>
      </c>
      <c r="W108">
        <v>-1400.54</v>
      </c>
      <c r="X108">
        <v>56778.8</v>
      </c>
      <c r="AA108" s="232">
        <f t="shared" si="2"/>
        <v>21857.02346</v>
      </c>
      <c r="AB108" s="232">
        <f t="shared" si="3"/>
        <v>34166.143700000001</v>
      </c>
    </row>
    <row r="109" spans="1:28" hidden="1">
      <c r="A109" t="s">
        <v>2452</v>
      </c>
      <c r="B109">
        <v>5352</v>
      </c>
      <c r="C109" t="s">
        <v>2625</v>
      </c>
      <c r="D109">
        <v>5697</v>
      </c>
      <c r="E109" t="s">
        <v>2344</v>
      </c>
      <c r="F109" t="s">
        <v>2036</v>
      </c>
      <c r="G109">
        <v>2021</v>
      </c>
      <c r="H109">
        <v>12</v>
      </c>
      <c r="I109" s="8">
        <v>44531</v>
      </c>
      <c r="J109">
        <v>600</v>
      </c>
      <c r="K109">
        <v>600</v>
      </c>
      <c r="L109">
        <v>128614</v>
      </c>
      <c r="M109">
        <v>17011</v>
      </c>
      <c r="N109">
        <v>128614</v>
      </c>
      <c r="O109">
        <v>17011</v>
      </c>
      <c r="P109">
        <v>0</v>
      </c>
      <c r="Q109">
        <v>11.83</v>
      </c>
      <c r="R109">
        <v>21.22</v>
      </c>
      <c r="S109">
        <v>14.37</v>
      </c>
      <c r="T109">
        <v>182.65</v>
      </c>
      <c r="U109">
        <v>1885.18</v>
      </c>
      <c r="V109">
        <v>0</v>
      </c>
      <c r="W109">
        <v>-1129.53</v>
      </c>
      <c r="X109">
        <v>47836.31</v>
      </c>
      <c r="AA109" s="232">
        <f t="shared" si="2"/>
        <v>21922.631249999999</v>
      </c>
      <c r="AB109" s="232">
        <f t="shared" si="3"/>
        <v>26598.40625</v>
      </c>
    </row>
    <row r="110" spans="1:28" hidden="1">
      <c r="A110" t="s">
        <v>2453</v>
      </c>
      <c r="B110">
        <v>5352</v>
      </c>
      <c r="C110" t="s">
        <v>2625</v>
      </c>
      <c r="D110">
        <v>5697</v>
      </c>
      <c r="E110" t="s">
        <v>2344</v>
      </c>
      <c r="F110" t="s">
        <v>2036</v>
      </c>
      <c r="G110">
        <v>2021</v>
      </c>
      <c r="H110">
        <v>12</v>
      </c>
      <c r="I110" s="8">
        <v>44531</v>
      </c>
      <c r="J110">
        <v>879</v>
      </c>
      <c r="K110">
        <v>865</v>
      </c>
      <c r="L110">
        <v>331879</v>
      </c>
      <c r="M110">
        <v>45550</v>
      </c>
      <c r="N110">
        <v>331879</v>
      </c>
      <c r="O110">
        <v>45550</v>
      </c>
      <c r="P110">
        <v>0</v>
      </c>
      <c r="Q110">
        <v>11.83</v>
      </c>
      <c r="R110">
        <v>21.22</v>
      </c>
      <c r="S110">
        <v>14.37</v>
      </c>
      <c r="T110">
        <v>182.65</v>
      </c>
      <c r="U110">
        <v>4138</v>
      </c>
      <c r="V110">
        <v>0</v>
      </c>
      <c r="W110">
        <v>-6197.06</v>
      </c>
      <c r="X110">
        <v>104329.52</v>
      </c>
      <c r="AA110" s="232">
        <f t="shared" si="2"/>
        <v>34177.524729999997</v>
      </c>
      <c r="AB110" s="232">
        <f t="shared" si="3"/>
        <v>68937.406849999999</v>
      </c>
    </row>
    <row r="111" spans="1:28" hidden="1">
      <c r="A111" t="s">
        <v>2454</v>
      </c>
      <c r="B111">
        <v>5352</v>
      </c>
      <c r="C111" t="s">
        <v>2625</v>
      </c>
      <c r="D111">
        <v>5697</v>
      </c>
      <c r="E111" t="s">
        <v>2344</v>
      </c>
      <c r="F111" t="s">
        <v>2036</v>
      </c>
      <c r="G111">
        <v>2021</v>
      </c>
      <c r="H111">
        <v>12</v>
      </c>
      <c r="I111" s="8">
        <v>44531</v>
      </c>
      <c r="J111">
        <v>350</v>
      </c>
      <c r="K111">
        <v>350</v>
      </c>
      <c r="L111">
        <v>92952</v>
      </c>
      <c r="M111">
        <v>12997</v>
      </c>
      <c r="N111">
        <v>92952</v>
      </c>
      <c r="O111">
        <v>12997</v>
      </c>
      <c r="P111">
        <v>0</v>
      </c>
      <c r="Q111">
        <v>11.83</v>
      </c>
      <c r="R111">
        <v>21.22</v>
      </c>
      <c r="S111">
        <v>14.37</v>
      </c>
      <c r="T111">
        <v>182.65</v>
      </c>
      <c r="U111">
        <v>1260.46</v>
      </c>
      <c r="V111">
        <v>0</v>
      </c>
      <c r="W111">
        <v>-1332.77</v>
      </c>
      <c r="X111">
        <v>32369.18</v>
      </c>
      <c r="AA111" s="232">
        <f t="shared" si="2"/>
        <v>13089.98713</v>
      </c>
      <c r="AB111" s="232">
        <f t="shared" si="3"/>
        <v>19351.584849999999</v>
      </c>
    </row>
    <row r="112" spans="1:28" hidden="1">
      <c r="A112" t="s">
        <v>2455</v>
      </c>
      <c r="B112">
        <v>5352</v>
      </c>
      <c r="C112" t="s">
        <v>2625</v>
      </c>
      <c r="D112">
        <v>5697</v>
      </c>
      <c r="E112" t="s">
        <v>2344</v>
      </c>
      <c r="F112" t="s">
        <v>2036</v>
      </c>
      <c r="G112">
        <v>2021</v>
      </c>
      <c r="H112">
        <v>12</v>
      </c>
      <c r="I112" s="8">
        <v>44531</v>
      </c>
      <c r="J112">
        <v>80</v>
      </c>
      <c r="K112">
        <v>95</v>
      </c>
      <c r="L112">
        <v>14936</v>
      </c>
      <c r="M112">
        <v>2178</v>
      </c>
      <c r="N112">
        <v>14936</v>
      </c>
      <c r="O112">
        <v>2178</v>
      </c>
      <c r="P112">
        <v>0</v>
      </c>
      <c r="Q112">
        <v>11.83</v>
      </c>
      <c r="R112">
        <v>21.22</v>
      </c>
      <c r="S112">
        <v>14.37</v>
      </c>
      <c r="T112">
        <v>182.65</v>
      </c>
      <c r="U112">
        <v>286.7</v>
      </c>
      <c r="V112">
        <v>0</v>
      </c>
      <c r="W112">
        <v>-607</v>
      </c>
      <c r="X112">
        <v>7058.87</v>
      </c>
      <c r="AA112" s="232">
        <f t="shared" si="2"/>
        <v>3208.2281799999996</v>
      </c>
      <c r="AB112" s="232">
        <f t="shared" si="3"/>
        <v>3125.8721</v>
      </c>
    </row>
    <row r="113" spans="1:28" hidden="1">
      <c r="A113" t="s">
        <v>2456</v>
      </c>
      <c r="B113">
        <v>5352</v>
      </c>
      <c r="C113" t="s">
        <v>2625</v>
      </c>
      <c r="D113">
        <v>5697</v>
      </c>
      <c r="E113" t="s">
        <v>2344</v>
      </c>
      <c r="F113" t="s">
        <v>2036</v>
      </c>
      <c r="G113">
        <v>2021</v>
      </c>
      <c r="H113">
        <v>12</v>
      </c>
      <c r="I113" s="8">
        <v>44531</v>
      </c>
      <c r="J113">
        <v>805</v>
      </c>
      <c r="K113">
        <v>798</v>
      </c>
      <c r="L113">
        <v>322816</v>
      </c>
      <c r="M113">
        <v>38837</v>
      </c>
      <c r="N113">
        <v>322816</v>
      </c>
      <c r="O113">
        <v>38837</v>
      </c>
      <c r="P113">
        <v>0</v>
      </c>
      <c r="Q113">
        <v>11.83</v>
      </c>
      <c r="R113">
        <v>21.22</v>
      </c>
      <c r="S113">
        <v>14.37</v>
      </c>
      <c r="T113">
        <v>182.65</v>
      </c>
      <c r="U113">
        <v>4041.28</v>
      </c>
      <c r="V113">
        <v>0</v>
      </c>
      <c r="W113">
        <v>0</v>
      </c>
      <c r="X113">
        <v>106781.82</v>
      </c>
      <c r="AA113" s="232">
        <f t="shared" si="2"/>
        <v>31653.66361</v>
      </c>
      <c r="AB113" s="232">
        <f t="shared" si="3"/>
        <v>66055.920450000005</v>
      </c>
    </row>
    <row r="114" spans="1:28" hidden="1">
      <c r="A114" t="s">
        <v>2457</v>
      </c>
      <c r="B114">
        <v>5352</v>
      </c>
      <c r="C114" t="s">
        <v>2625</v>
      </c>
      <c r="D114">
        <v>5697</v>
      </c>
      <c r="E114" t="s">
        <v>2344</v>
      </c>
      <c r="F114" t="s">
        <v>2036</v>
      </c>
      <c r="G114">
        <v>2021</v>
      </c>
      <c r="H114">
        <v>12</v>
      </c>
      <c r="I114" s="8">
        <v>44531</v>
      </c>
      <c r="J114">
        <v>320</v>
      </c>
      <c r="K114">
        <v>320</v>
      </c>
      <c r="L114">
        <v>99546</v>
      </c>
      <c r="M114">
        <v>13524</v>
      </c>
      <c r="N114">
        <v>99546</v>
      </c>
      <c r="O114">
        <v>13524</v>
      </c>
      <c r="P114">
        <v>0</v>
      </c>
      <c r="Q114">
        <v>11.83</v>
      </c>
      <c r="R114">
        <v>21.22</v>
      </c>
      <c r="S114">
        <v>14.37</v>
      </c>
      <c r="T114">
        <v>182.65</v>
      </c>
      <c r="U114">
        <v>1276.43</v>
      </c>
      <c r="V114">
        <v>0</v>
      </c>
      <c r="W114">
        <v>-1516.44</v>
      </c>
      <c r="X114">
        <v>32595.51</v>
      </c>
      <c r="AA114" s="232">
        <f t="shared" si="2"/>
        <v>12200.8159</v>
      </c>
      <c r="AB114" s="232">
        <f t="shared" si="3"/>
        <v>20652.235499999999</v>
      </c>
    </row>
    <row r="115" spans="1:28" hidden="1">
      <c r="A115" t="s">
        <v>2458</v>
      </c>
      <c r="B115">
        <v>5352</v>
      </c>
      <c r="C115" t="s">
        <v>2625</v>
      </c>
      <c r="D115">
        <v>5697</v>
      </c>
      <c r="E115" t="s">
        <v>2344</v>
      </c>
      <c r="F115" t="s">
        <v>2036</v>
      </c>
      <c r="G115">
        <v>2021</v>
      </c>
      <c r="H115">
        <v>12</v>
      </c>
      <c r="I115" s="8">
        <v>44531</v>
      </c>
      <c r="J115">
        <v>2400</v>
      </c>
      <c r="K115">
        <v>2462</v>
      </c>
      <c r="L115">
        <v>868673</v>
      </c>
      <c r="M115">
        <v>119165</v>
      </c>
      <c r="N115">
        <v>778183</v>
      </c>
      <c r="O115">
        <v>119165</v>
      </c>
      <c r="P115">
        <v>90490</v>
      </c>
      <c r="Q115">
        <v>11.83</v>
      </c>
      <c r="R115">
        <v>21.22</v>
      </c>
      <c r="S115">
        <v>14.37</v>
      </c>
      <c r="T115">
        <v>182.65</v>
      </c>
      <c r="U115">
        <v>10052.32</v>
      </c>
      <c r="V115">
        <v>0</v>
      </c>
      <c r="W115">
        <v>-5813.67</v>
      </c>
      <c r="X115">
        <v>262852.07</v>
      </c>
      <c r="AA115" s="232">
        <f t="shared" si="2"/>
        <v>94830.872059999994</v>
      </c>
      <c r="AB115" s="232">
        <f t="shared" si="3"/>
        <v>163900.6122</v>
      </c>
    </row>
    <row r="116" spans="1:28" hidden="1">
      <c r="A116" t="s">
        <v>2459</v>
      </c>
      <c r="B116">
        <v>5352</v>
      </c>
      <c r="C116" t="s">
        <v>2625</v>
      </c>
      <c r="D116">
        <v>5697</v>
      </c>
      <c r="E116" t="s">
        <v>2344</v>
      </c>
      <c r="F116" t="s">
        <v>2036</v>
      </c>
      <c r="G116">
        <v>2021</v>
      </c>
      <c r="H116">
        <v>12</v>
      </c>
      <c r="I116" s="8">
        <v>44531</v>
      </c>
      <c r="J116">
        <v>560</v>
      </c>
      <c r="K116">
        <v>560</v>
      </c>
      <c r="L116">
        <v>188890</v>
      </c>
      <c r="M116">
        <v>25862</v>
      </c>
      <c r="N116">
        <v>188890</v>
      </c>
      <c r="O116">
        <v>25862</v>
      </c>
      <c r="P116">
        <v>0</v>
      </c>
      <c r="Q116">
        <v>11.83</v>
      </c>
      <c r="R116">
        <v>21.22</v>
      </c>
      <c r="S116">
        <v>14.37</v>
      </c>
      <c r="T116">
        <v>182.65</v>
      </c>
      <c r="U116">
        <v>2362.9899999999998</v>
      </c>
      <c r="V116">
        <v>0</v>
      </c>
      <c r="W116">
        <v>-9564.64</v>
      </c>
      <c r="X116">
        <v>53608.74</v>
      </c>
      <c r="AA116" s="232">
        <f t="shared" si="2"/>
        <v>21593.986239999998</v>
      </c>
      <c r="AB116" s="232">
        <f t="shared" si="3"/>
        <v>39224.452800000006</v>
      </c>
    </row>
    <row r="117" spans="1:28" hidden="1">
      <c r="A117" t="s">
        <v>2460</v>
      </c>
      <c r="B117">
        <v>5352</v>
      </c>
      <c r="C117" t="s">
        <v>2625</v>
      </c>
      <c r="D117">
        <v>5697</v>
      </c>
      <c r="E117" t="s">
        <v>2344</v>
      </c>
      <c r="F117" t="s">
        <v>2036</v>
      </c>
      <c r="G117">
        <v>2022</v>
      </c>
      <c r="H117">
        <v>1</v>
      </c>
      <c r="I117" s="8">
        <v>44562</v>
      </c>
      <c r="J117">
        <v>470</v>
      </c>
      <c r="K117">
        <v>572</v>
      </c>
      <c r="L117">
        <v>162927</v>
      </c>
      <c r="M117">
        <v>24445</v>
      </c>
      <c r="N117">
        <v>162927</v>
      </c>
      <c r="O117">
        <v>24445</v>
      </c>
      <c r="P117">
        <v>0</v>
      </c>
      <c r="Q117">
        <v>11.83</v>
      </c>
      <c r="R117">
        <v>21.22</v>
      </c>
      <c r="S117">
        <v>14.37</v>
      </c>
      <c r="T117">
        <v>182.65</v>
      </c>
      <c r="U117">
        <v>2121.63</v>
      </c>
      <c r="V117">
        <v>0</v>
      </c>
      <c r="W117">
        <v>0</v>
      </c>
      <c r="X117">
        <v>56727.94</v>
      </c>
      <c r="AA117" s="232">
        <f t="shared" si="2"/>
        <v>20390.475640000004</v>
      </c>
      <c r="AB117" s="232">
        <f t="shared" si="3"/>
        <v>34223.495800000004</v>
      </c>
    </row>
    <row r="118" spans="1:28" hidden="1">
      <c r="A118" t="s">
        <v>2461</v>
      </c>
      <c r="B118">
        <v>5352</v>
      </c>
      <c r="C118" t="s">
        <v>2625</v>
      </c>
      <c r="D118">
        <v>5697</v>
      </c>
      <c r="E118" t="s">
        <v>2344</v>
      </c>
      <c r="F118" t="s">
        <v>2036</v>
      </c>
      <c r="G118">
        <v>2022</v>
      </c>
      <c r="H118">
        <v>1</v>
      </c>
      <c r="I118" s="8">
        <v>44562</v>
      </c>
      <c r="J118">
        <v>871</v>
      </c>
      <c r="K118">
        <v>884</v>
      </c>
      <c r="L118">
        <v>353556</v>
      </c>
      <c r="M118">
        <v>50662</v>
      </c>
      <c r="N118">
        <v>353556</v>
      </c>
      <c r="O118">
        <v>50662</v>
      </c>
      <c r="P118">
        <v>0</v>
      </c>
      <c r="Q118">
        <v>11.83</v>
      </c>
      <c r="R118">
        <v>21.22</v>
      </c>
      <c r="S118">
        <v>14.37</v>
      </c>
      <c r="T118">
        <v>182.65</v>
      </c>
      <c r="U118">
        <v>4385.38</v>
      </c>
      <c r="V118">
        <v>0</v>
      </c>
      <c r="W118">
        <v>-2327.8200000000002</v>
      </c>
      <c r="X118">
        <v>114928.47</v>
      </c>
      <c r="AA118" s="232">
        <f t="shared" si="2"/>
        <v>34871.022660000002</v>
      </c>
      <c r="AB118" s="232">
        <f t="shared" si="3"/>
        <v>73830.417700000005</v>
      </c>
    </row>
    <row r="119" spans="1:28" hidden="1">
      <c r="A119" t="s">
        <v>2462</v>
      </c>
      <c r="B119">
        <v>5352</v>
      </c>
      <c r="C119" t="s">
        <v>2625</v>
      </c>
      <c r="D119">
        <v>5697</v>
      </c>
      <c r="E119" t="s">
        <v>2344</v>
      </c>
      <c r="F119" t="s">
        <v>2036</v>
      </c>
      <c r="G119">
        <v>2022</v>
      </c>
      <c r="H119">
        <v>1</v>
      </c>
      <c r="I119" s="8">
        <v>44562</v>
      </c>
      <c r="J119">
        <v>1360</v>
      </c>
      <c r="K119">
        <v>1250</v>
      </c>
      <c r="L119">
        <v>661197</v>
      </c>
      <c r="M119">
        <v>45254</v>
      </c>
      <c r="N119">
        <v>661197</v>
      </c>
      <c r="O119">
        <v>45254</v>
      </c>
      <c r="P119">
        <v>0</v>
      </c>
      <c r="Q119">
        <v>11.83</v>
      </c>
      <c r="R119">
        <v>21.22</v>
      </c>
      <c r="S119">
        <v>14.37</v>
      </c>
      <c r="T119">
        <v>182.65</v>
      </c>
      <c r="U119">
        <v>7063.45</v>
      </c>
      <c r="V119">
        <v>0</v>
      </c>
      <c r="W119">
        <v>-17037.73</v>
      </c>
      <c r="X119">
        <v>171824.48</v>
      </c>
      <c r="AA119" s="232">
        <f t="shared" si="2"/>
        <v>52765.500870000003</v>
      </c>
      <c r="AB119" s="232">
        <f t="shared" si="3"/>
        <v>129033.27515</v>
      </c>
    </row>
    <row r="120" spans="1:28" hidden="1">
      <c r="A120" t="s">
        <v>2463</v>
      </c>
      <c r="B120">
        <v>5352</v>
      </c>
      <c r="C120" t="s">
        <v>2625</v>
      </c>
      <c r="D120">
        <v>5697</v>
      </c>
      <c r="E120" t="s">
        <v>2344</v>
      </c>
      <c r="F120" t="s">
        <v>2036</v>
      </c>
      <c r="G120">
        <v>2022</v>
      </c>
      <c r="H120">
        <v>1</v>
      </c>
      <c r="I120" s="8">
        <v>44562</v>
      </c>
      <c r="J120">
        <v>2400</v>
      </c>
      <c r="K120">
        <v>2442</v>
      </c>
      <c r="L120">
        <v>947211</v>
      </c>
      <c r="M120">
        <v>137674</v>
      </c>
      <c r="N120">
        <v>864697</v>
      </c>
      <c r="O120">
        <v>137674</v>
      </c>
      <c r="P120">
        <v>82514</v>
      </c>
      <c r="Q120">
        <v>11.83</v>
      </c>
      <c r="R120">
        <v>21.22</v>
      </c>
      <c r="S120">
        <v>14.37</v>
      </c>
      <c r="T120">
        <v>182.65</v>
      </c>
      <c r="U120">
        <v>10835.2</v>
      </c>
      <c r="V120">
        <v>0</v>
      </c>
      <c r="W120">
        <v>0</v>
      </c>
      <c r="X120">
        <v>289710.78999999998</v>
      </c>
      <c r="AA120" s="232">
        <f t="shared" si="2"/>
        <v>95801.037449999989</v>
      </c>
      <c r="AB120" s="232">
        <f t="shared" si="3"/>
        <v>183083.06315</v>
      </c>
    </row>
    <row r="121" spans="1:28" hidden="1">
      <c r="A121" t="s">
        <v>2464</v>
      </c>
      <c r="B121">
        <v>5352</v>
      </c>
      <c r="C121" t="s">
        <v>2625</v>
      </c>
      <c r="D121">
        <v>5697</v>
      </c>
      <c r="E121" t="s">
        <v>2344</v>
      </c>
      <c r="F121" t="s">
        <v>2036</v>
      </c>
      <c r="G121">
        <v>2022</v>
      </c>
      <c r="H121">
        <v>1</v>
      </c>
      <c r="I121" s="8">
        <v>44562</v>
      </c>
      <c r="J121">
        <v>1404</v>
      </c>
      <c r="K121">
        <v>1621</v>
      </c>
      <c r="L121">
        <v>565105</v>
      </c>
      <c r="M121">
        <v>82334</v>
      </c>
      <c r="N121">
        <v>565105</v>
      </c>
      <c r="O121">
        <v>82334</v>
      </c>
      <c r="P121">
        <v>0</v>
      </c>
      <c r="Q121">
        <v>11.83</v>
      </c>
      <c r="R121">
        <v>21.22</v>
      </c>
      <c r="S121">
        <v>14.37</v>
      </c>
      <c r="T121">
        <v>182.65</v>
      </c>
      <c r="U121">
        <v>7820.7</v>
      </c>
      <c r="V121">
        <v>0</v>
      </c>
      <c r="W121">
        <v>0</v>
      </c>
      <c r="X121">
        <v>209109.66</v>
      </c>
      <c r="AA121" s="232">
        <f t="shared" si="2"/>
        <v>60310.638429999992</v>
      </c>
      <c r="AB121" s="232">
        <f t="shared" si="3"/>
        <v>118254.73334999999</v>
      </c>
    </row>
    <row r="122" spans="1:28" hidden="1">
      <c r="A122" t="s">
        <v>2465</v>
      </c>
      <c r="B122">
        <v>5352</v>
      </c>
      <c r="C122" t="s">
        <v>2625</v>
      </c>
      <c r="D122">
        <v>5697</v>
      </c>
      <c r="E122" t="s">
        <v>2344</v>
      </c>
      <c r="F122" t="s">
        <v>2036</v>
      </c>
      <c r="G122">
        <v>2022</v>
      </c>
      <c r="H122">
        <v>1</v>
      </c>
      <c r="I122" s="8">
        <v>44562</v>
      </c>
      <c r="J122">
        <v>405</v>
      </c>
      <c r="K122">
        <v>575</v>
      </c>
      <c r="L122">
        <v>113235</v>
      </c>
      <c r="M122">
        <v>17982</v>
      </c>
      <c r="N122">
        <v>113235</v>
      </c>
      <c r="O122">
        <v>17982</v>
      </c>
      <c r="P122">
        <v>0</v>
      </c>
      <c r="Q122">
        <v>11.83</v>
      </c>
      <c r="R122">
        <v>21.22</v>
      </c>
      <c r="S122">
        <v>14.37</v>
      </c>
      <c r="T122">
        <v>182.65</v>
      </c>
      <c r="U122">
        <v>2087.08</v>
      </c>
      <c r="V122">
        <v>0</v>
      </c>
      <c r="W122">
        <v>0</v>
      </c>
      <c r="X122">
        <v>55803.58</v>
      </c>
      <c r="AA122" s="232">
        <f t="shared" si="2"/>
        <v>18878.238290000001</v>
      </c>
      <c r="AB122" s="232">
        <f t="shared" si="3"/>
        <v>23966.785050000002</v>
      </c>
    </row>
    <row r="123" spans="1:28" hidden="1">
      <c r="A123" t="s">
        <v>2466</v>
      </c>
      <c r="B123">
        <v>5352</v>
      </c>
      <c r="C123" t="s">
        <v>2625</v>
      </c>
      <c r="D123">
        <v>5697</v>
      </c>
      <c r="E123" t="s">
        <v>2344</v>
      </c>
      <c r="F123" t="s">
        <v>2036</v>
      </c>
      <c r="G123">
        <v>2022</v>
      </c>
      <c r="H123">
        <v>1</v>
      </c>
      <c r="I123" s="8">
        <v>44562</v>
      </c>
      <c r="J123">
        <v>567</v>
      </c>
      <c r="K123">
        <v>585</v>
      </c>
      <c r="L123">
        <v>205966</v>
      </c>
      <c r="M123">
        <v>31770</v>
      </c>
      <c r="N123">
        <v>205966</v>
      </c>
      <c r="O123">
        <v>31770</v>
      </c>
      <c r="P123">
        <v>0</v>
      </c>
      <c r="Q123">
        <v>11.83</v>
      </c>
      <c r="R123">
        <v>21.22</v>
      </c>
      <c r="S123">
        <v>14.37</v>
      </c>
      <c r="T123">
        <v>182.65</v>
      </c>
      <c r="U123">
        <v>2562.71</v>
      </c>
      <c r="V123">
        <v>0</v>
      </c>
      <c r="W123">
        <v>0</v>
      </c>
      <c r="X123">
        <v>68521.87</v>
      </c>
      <c r="AA123" s="232">
        <f t="shared" si="2"/>
        <v>22537.576319999996</v>
      </c>
      <c r="AB123" s="232">
        <f t="shared" si="3"/>
        <v>43422.4804</v>
      </c>
    </row>
    <row r="124" spans="1:28" hidden="1">
      <c r="A124" t="s">
        <v>2467</v>
      </c>
      <c r="B124">
        <v>5352</v>
      </c>
      <c r="C124" t="s">
        <v>2625</v>
      </c>
      <c r="D124">
        <v>5697</v>
      </c>
      <c r="E124" t="s">
        <v>2344</v>
      </c>
      <c r="F124" t="s">
        <v>2036</v>
      </c>
      <c r="G124">
        <v>2022</v>
      </c>
      <c r="H124">
        <v>1</v>
      </c>
      <c r="I124" s="8">
        <v>44562</v>
      </c>
      <c r="J124">
        <v>80</v>
      </c>
      <c r="K124">
        <v>70</v>
      </c>
      <c r="L124">
        <v>15297</v>
      </c>
      <c r="M124">
        <v>2244</v>
      </c>
      <c r="N124">
        <v>15297</v>
      </c>
      <c r="O124">
        <v>2244</v>
      </c>
      <c r="P124">
        <v>0</v>
      </c>
      <c r="Q124">
        <v>11.83</v>
      </c>
      <c r="R124">
        <v>21.22</v>
      </c>
      <c r="S124">
        <v>14.37</v>
      </c>
      <c r="T124">
        <v>182.65</v>
      </c>
      <c r="U124">
        <v>228.75</v>
      </c>
      <c r="V124">
        <v>0</v>
      </c>
      <c r="W124">
        <v>0</v>
      </c>
      <c r="X124">
        <v>6116.45</v>
      </c>
      <c r="AA124" s="232">
        <f t="shared" si="2"/>
        <v>2683.8641699999998</v>
      </c>
      <c r="AB124" s="232">
        <f t="shared" si="3"/>
        <v>3203.8636500000002</v>
      </c>
    </row>
    <row r="125" spans="1:28" hidden="1">
      <c r="A125" t="s">
        <v>2468</v>
      </c>
      <c r="B125">
        <v>5352</v>
      </c>
      <c r="C125" t="s">
        <v>2625</v>
      </c>
      <c r="D125">
        <v>5697</v>
      </c>
      <c r="E125" t="s">
        <v>2344</v>
      </c>
      <c r="F125" t="s">
        <v>2036</v>
      </c>
      <c r="G125">
        <v>2022</v>
      </c>
      <c r="H125">
        <v>1</v>
      </c>
      <c r="I125" s="8">
        <v>44562</v>
      </c>
      <c r="J125">
        <v>728</v>
      </c>
      <c r="K125">
        <v>811</v>
      </c>
      <c r="L125">
        <v>185958</v>
      </c>
      <c r="M125">
        <v>28209</v>
      </c>
      <c r="N125">
        <v>185958</v>
      </c>
      <c r="O125">
        <v>28209</v>
      </c>
      <c r="P125">
        <v>0</v>
      </c>
      <c r="Q125">
        <v>11.83</v>
      </c>
      <c r="R125">
        <v>21.22</v>
      </c>
      <c r="S125">
        <v>14.37</v>
      </c>
      <c r="T125">
        <v>182.65</v>
      </c>
      <c r="U125">
        <v>3159.7</v>
      </c>
      <c r="V125">
        <v>0</v>
      </c>
      <c r="W125">
        <v>0</v>
      </c>
      <c r="X125">
        <v>84483.95</v>
      </c>
      <c r="AA125" s="232">
        <f t="shared" si="2"/>
        <v>28899.239789999996</v>
      </c>
      <c r="AB125" s="232">
        <f t="shared" si="3"/>
        <v>39117.602550000003</v>
      </c>
    </row>
    <row r="126" spans="1:28" hidden="1">
      <c r="A126" t="s">
        <v>2469</v>
      </c>
      <c r="B126">
        <v>5352</v>
      </c>
      <c r="C126" t="s">
        <v>2625</v>
      </c>
      <c r="D126">
        <v>5697</v>
      </c>
      <c r="E126" t="s">
        <v>2344</v>
      </c>
      <c r="F126" t="s">
        <v>2036</v>
      </c>
      <c r="G126">
        <v>2022</v>
      </c>
      <c r="H126">
        <v>1</v>
      </c>
      <c r="I126" s="8">
        <v>44562</v>
      </c>
      <c r="J126">
        <v>754</v>
      </c>
      <c r="K126">
        <v>774</v>
      </c>
      <c r="L126">
        <v>352704</v>
      </c>
      <c r="M126">
        <v>46424</v>
      </c>
      <c r="N126">
        <v>352704</v>
      </c>
      <c r="O126">
        <v>46424</v>
      </c>
      <c r="P126">
        <v>0</v>
      </c>
      <c r="Q126">
        <v>11.83</v>
      </c>
      <c r="R126">
        <v>21.22</v>
      </c>
      <c r="S126">
        <v>14.37</v>
      </c>
      <c r="T126">
        <v>182.65</v>
      </c>
      <c r="U126">
        <v>4244.7</v>
      </c>
      <c r="V126">
        <v>0</v>
      </c>
      <c r="W126">
        <v>0</v>
      </c>
      <c r="X126">
        <v>113494.55</v>
      </c>
      <c r="AA126" s="232">
        <f t="shared" si="2"/>
        <v>31079.569359999998</v>
      </c>
      <c r="AB126" s="232">
        <f t="shared" si="3"/>
        <v>72900.729200000002</v>
      </c>
    </row>
    <row r="127" spans="1:28" hidden="1">
      <c r="A127" t="s">
        <v>2470</v>
      </c>
      <c r="B127">
        <v>5352</v>
      </c>
      <c r="C127" t="s">
        <v>2625</v>
      </c>
      <c r="D127">
        <v>5697</v>
      </c>
      <c r="E127" t="s">
        <v>2344</v>
      </c>
      <c r="F127" t="s">
        <v>2036</v>
      </c>
      <c r="G127">
        <v>2022</v>
      </c>
      <c r="H127">
        <v>1</v>
      </c>
      <c r="I127" s="8">
        <v>44562</v>
      </c>
      <c r="J127">
        <v>320</v>
      </c>
      <c r="K127">
        <v>340</v>
      </c>
      <c r="L127">
        <v>113058</v>
      </c>
      <c r="M127">
        <v>16744</v>
      </c>
      <c r="N127">
        <v>113058</v>
      </c>
      <c r="O127">
        <v>16744</v>
      </c>
      <c r="P127">
        <v>0</v>
      </c>
      <c r="Q127">
        <v>11.83</v>
      </c>
      <c r="R127">
        <v>21.22</v>
      </c>
      <c r="S127">
        <v>14.37</v>
      </c>
      <c r="T127">
        <v>182.65</v>
      </c>
      <c r="U127">
        <v>1421.3</v>
      </c>
      <c r="V127">
        <v>0</v>
      </c>
      <c r="W127">
        <v>0</v>
      </c>
      <c r="X127">
        <v>38002.910000000003</v>
      </c>
      <c r="AA127" s="232">
        <f t="shared" si="2"/>
        <v>12865.65474</v>
      </c>
      <c r="AB127" s="232">
        <f t="shared" si="3"/>
        <v>23708.335299999999</v>
      </c>
    </row>
    <row r="128" spans="1:28" hidden="1">
      <c r="A128" t="s">
        <v>2471</v>
      </c>
      <c r="B128">
        <v>5352</v>
      </c>
      <c r="C128" t="s">
        <v>2625</v>
      </c>
      <c r="D128">
        <v>5697</v>
      </c>
      <c r="E128" t="s">
        <v>2344</v>
      </c>
      <c r="F128" t="s">
        <v>2036</v>
      </c>
      <c r="G128">
        <v>2022</v>
      </c>
      <c r="H128">
        <v>1</v>
      </c>
      <c r="I128" s="8">
        <v>44562</v>
      </c>
      <c r="J128">
        <v>600</v>
      </c>
      <c r="K128">
        <v>600</v>
      </c>
      <c r="L128">
        <v>135368</v>
      </c>
      <c r="M128">
        <v>20853</v>
      </c>
      <c r="N128">
        <v>135368</v>
      </c>
      <c r="O128">
        <v>20853</v>
      </c>
      <c r="P128">
        <v>0</v>
      </c>
      <c r="Q128">
        <v>11.83</v>
      </c>
      <c r="R128">
        <v>21.22</v>
      </c>
      <c r="S128">
        <v>14.37</v>
      </c>
      <c r="T128">
        <v>182.65</v>
      </c>
      <c r="U128">
        <v>1966.3</v>
      </c>
      <c r="V128">
        <v>0</v>
      </c>
      <c r="W128">
        <v>0</v>
      </c>
      <c r="X128">
        <v>52574.94</v>
      </c>
      <c r="AA128" s="232">
        <f t="shared" si="2"/>
        <v>22074.895769999999</v>
      </c>
      <c r="AB128" s="232">
        <f t="shared" si="3"/>
        <v>28533.765650000001</v>
      </c>
    </row>
    <row r="129" spans="1:28" hidden="1">
      <c r="A129" t="s">
        <v>2472</v>
      </c>
      <c r="B129">
        <v>5352</v>
      </c>
      <c r="C129" t="s">
        <v>2625</v>
      </c>
      <c r="D129">
        <v>5697</v>
      </c>
      <c r="E129" t="s">
        <v>2344</v>
      </c>
      <c r="F129" t="s">
        <v>2036</v>
      </c>
      <c r="G129">
        <v>2022</v>
      </c>
      <c r="H129">
        <v>1</v>
      </c>
      <c r="I129" s="8">
        <v>44562</v>
      </c>
      <c r="J129">
        <v>450</v>
      </c>
      <c r="K129">
        <v>450</v>
      </c>
      <c r="L129">
        <v>136961</v>
      </c>
      <c r="M129">
        <v>19336</v>
      </c>
      <c r="N129">
        <v>136961</v>
      </c>
      <c r="O129">
        <v>19336</v>
      </c>
      <c r="P129">
        <v>0</v>
      </c>
      <c r="Q129">
        <v>11.83</v>
      </c>
      <c r="R129">
        <v>21.22</v>
      </c>
      <c r="S129">
        <v>14.37</v>
      </c>
      <c r="T129">
        <v>182.65</v>
      </c>
      <c r="U129">
        <v>1774.26</v>
      </c>
      <c r="V129">
        <v>0</v>
      </c>
      <c r="W129">
        <v>0</v>
      </c>
      <c r="X129">
        <v>47440.37</v>
      </c>
      <c r="AA129" s="232">
        <f t="shared" si="2"/>
        <v>17118.48789</v>
      </c>
      <c r="AB129" s="232">
        <f t="shared" si="3"/>
        <v>28547.64705</v>
      </c>
    </row>
    <row r="130" spans="1:28" hidden="1">
      <c r="A130" t="s">
        <v>2473</v>
      </c>
      <c r="B130">
        <v>5352</v>
      </c>
      <c r="C130" t="s">
        <v>2625</v>
      </c>
      <c r="D130">
        <v>5697</v>
      </c>
      <c r="E130" t="s">
        <v>2344</v>
      </c>
      <c r="F130" t="s">
        <v>2036</v>
      </c>
      <c r="G130">
        <v>2022</v>
      </c>
      <c r="H130">
        <v>1</v>
      </c>
      <c r="I130" s="8">
        <v>44562</v>
      </c>
      <c r="J130">
        <v>820</v>
      </c>
      <c r="K130">
        <v>820</v>
      </c>
      <c r="L130">
        <v>290438</v>
      </c>
      <c r="M130">
        <v>40763</v>
      </c>
      <c r="N130">
        <v>290438</v>
      </c>
      <c r="O130">
        <v>40763</v>
      </c>
      <c r="P130">
        <v>0</v>
      </c>
      <c r="Q130">
        <v>11.83</v>
      </c>
      <c r="R130">
        <v>21.22</v>
      </c>
      <c r="S130">
        <v>14.37</v>
      </c>
      <c r="T130">
        <v>182.65</v>
      </c>
      <c r="U130">
        <v>3588.24</v>
      </c>
      <c r="V130">
        <v>0</v>
      </c>
      <c r="W130">
        <v>0</v>
      </c>
      <c r="X130">
        <v>95942.45</v>
      </c>
      <c r="AA130" s="232">
        <f t="shared" si="2"/>
        <v>31860.358370000002</v>
      </c>
      <c r="AB130" s="232">
        <f t="shared" si="3"/>
        <v>60493.862650000003</v>
      </c>
    </row>
    <row r="131" spans="1:28" hidden="1">
      <c r="A131" t="s">
        <v>2474</v>
      </c>
      <c r="B131">
        <v>5352</v>
      </c>
      <c r="C131" t="s">
        <v>2625</v>
      </c>
      <c r="D131">
        <v>5697</v>
      </c>
      <c r="E131" t="s">
        <v>2344</v>
      </c>
      <c r="F131" t="s">
        <v>2036</v>
      </c>
      <c r="G131">
        <v>2022</v>
      </c>
      <c r="H131">
        <v>1</v>
      </c>
      <c r="I131" s="8">
        <v>44562</v>
      </c>
      <c r="J131">
        <v>1300</v>
      </c>
      <c r="K131">
        <v>1350</v>
      </c>
      <c r="L131">
        <v>507172</v>
      </c>
      <c r="M131">
        <v>65484</v>
      </c>
      <c r="N131">
        <v>507172</v>
      </c>
      <c r="O131">
        <v>65484</v>
      </c>
      <c r="P131">
        <v>0</v>
      </c>
      <c r="Q131">
        <v>11.83</v>
      </c>
      <c r="R131">
        <v>21.22</v>
      </c>
      <c r="S131">
        <v>14.37</v>
      </c>
      <c r="T131">
        <v>182.65</v>
      </c>
      <c r="U131">
        <v>6094.14</v>
      </c>
      <c r="V131">
        <v>0</v>
      </c>
      <c r="W131">
        <v>0</v>
      </c>
      <c r="X131">
        <v>162944.81</v>
      </c>
      <c r="AA131" s="232">
        <f t="shared" ref="AA131:AA194" si="4">J131*Q131+K131*R131+((L131+M131)/1000)*S131</f>
        <v>52255.066720000003</v>
      </c>
      <c r="AB131" s="232">
        <f t="shared" ref="AB131:AB194" si="5">((N131+O131)/1000)*T131</f>
        <v>104595.61839999999</v>
      </c>
    </row>
    <row r="132" spans="1:28" hidden="1">
      <c r="A132" t="s">
        <v>2475</v>
      </c>
      <c r="B132">
        <v>5352</v>
      </c>
      <c r="C132" t="s">
        <v>2625</v>
      </c>
      <c r="D132">
        <v>5697</v>
      </c>
      <c r="E132" t="s">
        <v>2344</v>
      </c>
      <c r="F132" t="s">
        <v>2036</v>
      </c>
      <c r="G132">
        <v>2022</v>
      </c>
      <c r="H132">
        <v>1</v>
      </c>
      <c r="I132" s="8">
        <v>44562</v>
      </c>
      <c r="J132">
        <v>810</v>
      </c>
      <c r="K132">
        <v>930</v>
      </c>
      <c r="L132">
        <v>254593</v>
      </c>
      <c r="M132">
        <v>40008</v>
      </c>
      <c r="N132">
        <v>254593</v>
      </c>
      <c r="O132">
        <v>40008</v>
      </c>
      <c r="P132">
        <v>0</v>
      </c>
      <c r="Q132">
        <v>11.83</v>
      </c>
      <c r="R132">
        <v>21.22</v>
      </c>
      <c r="S132">
        <v>14.37</v>
      </c>
      <c r="T132">
        <v>182.65</v>
      </c>
      <c r="U132">
        <v>3394.18</v>
      </c>
      <c r="V132">
        <v>0</v>
      </c>
      <c r="W132">
        <v>0</v>
      </c>
      <c r="X132">
        <v>90753.36</v>
      </c>
      <c r="AA132" s="232">
        <f t="shared" si="4"/>
        <v>33550.31637</v>
      </c>
      <c r="AB132" s="232">
        <f t="shared" si="5"/>
        <v>53808.872650000005</v>
      </c>
    </row>
    <row r="133" spans="1:28" hidden="1">
      <c r="A133" t="s">
        <v>2476</v>
      </c>
      <c r="B133">
        <v>5352</v>
      </c>
      <c r="C133" t="s">
        <v>2625</v>
      </c>
      <c r="D133">
        <v>5697</v>
      </c>
      <c r="E133" t="s">
        <v>2344</v>
      </c>
      <c r="F133" t="s">
        <v>2036</v>
      </c>
      <c r="G133">
        <v>2022</v>
      </c>
      <c r="H133">
        <v>1</v>
      </c>
      <c r="I133" s="8">
        <v>44562</v>
      </c>
      <c r="J133">
        <v>250</v>
      </c>
      <c r="K133">
        <v>250</v>
      </c>
      <c r="L133">
        <v>63329</v>
      </c>
      <c r="M133">
        <v>10503</v>
      </c>
      <c r="N133">
        <v>63329</v>
      </c>
      <c r="O133">
        <v>10503</v>
      </c>
      <c r="P133">
        <v>0</v>
      </c>
      <c r="Q133">
        <v>11.83</v>
      </c>
      <c r="R133">
        <v>21.22</v>
      </c>
      <c r="S133">
        <v>14.37</v>
      </c>
      <c r="T133">
        <v>182.65</v>
      </c>
      <c r="U133">
        <v>886.18</v>
      </c>
      <c r="V133">
        <v>0</v>
      </c>
      <c r="W133">
        <v>0</v>
      </c>
      <c r="X133">
        <v>27560.53</v>
      </c>
      <c r="AA133" s="232">
        <f t="shared" si="4"/>
        <v>9323.4658400000008</v>
      </c>
      <c r="AB133" s="232">
        <f t="shared" si="5"/>
        <v>13485.414799999999</v>
      </c>
    </row>
    <row r="134" spans="1:28" hidden="1">
      <c r="A134" t="s">
        <v>2477</v>
      </c>
      <c r="B134">
        <v>5352</v>
      </c>
      <c r="C134" t="s">
        <v>2625</v>
      </c>
      <c r="D134">
        <v>5697</v>
      </c>
      <c r="E134" t="s">
        <v>2344</v>
      </c>
      <c r="F134" t="s">
        <v>2036</v>
      </c>
      <c r="G134">
        <v>2022</v>
      </c>
      <c r="H134">
        <v>2</v>
      </c>
      <c r="I134" s="8">
        <v>44593</v>
      </c>
      <c r="J134">
        <v>526</v>
      </c>
      <c r="K134">
        <v>530</v>
      </c>
      <c r="L134">
        <v>199503</v>
      </c>
      <c r="M134">
        <v>24663</v>
      </c>
      <c r="N134">
        <v>199503</v>
      </c>
      <c r="O134">
        <v>24663</v>
      </c>
      <c r="P134">
        <v>0</v>
      </c>
      <c r="Q134">
        <v>11.83</v>
      </c>
      <c r="R134">
        <v>21.22</v>
      </c>
      <c r="S134">
        <v>14.37</v>
      </c>
      <c r="T134">
        <v>182.65</v>
      </c>
      <c r="U134">
        <v>3214.94</v>
      </c>
      <c r="V134">
        <v>0</v>
      </c>
      <c r="W134">
        <v>-978.79</v>
      </c>
      <c r="X134">
        <v>65087.7</v>
      </c>
      <c r="AA134" s="232">
        <f t="shared" si="4"/>
        <v>20690.44542</v>
      </c>
      <c r="AB134" s="232">
        <f t="shared" si="5"/>
        <v>40943.919900000001</v>
      </c>
    </row>
    <row r="135" spans="1:28" hidden="1">
      <c r="A135" t="s">
        <v>2478</v>
      </c>
      <c r="B135">
        <v>5352</v>
      </c>
      <c r="C135" t="s">
        <v>2625</v>
      </c>
      <c r="D135">
        <v>5697</v>
      </c>
      <c r="E135" t="s">
        <v>2344</v>
      </c>
      <c r="F135" t="s">
        <v>2036</v>
      </c>
      <c r="G135">
        <v>2022</v>
      </c>
      <c r="H135">
        <v>2</v>
      </c>
      <c r="I135" s="8">
        <v>44593</v>
      </c>
      <c r="J135">
        <v>891</v>
      </c>
      <c r="K135">
        <v>899</v>
      </c>
      <c r="L135">
        <v>388871</v>
      </c>
      <c r="M135">
        <v>48791</v>
      </c>
      <c r="N135">
        <v>388871</v>
      </c>
      <c r="O135">
        <v>48791</v>
      </c>
      <c r="P135">
        <v>0</v>
      </c>
      <c r="Q135">
        <v>11.83</v>
      </c>
      <c r="R135">
        <v>21.22</v>
      </c>
      <c r="S135">
        <v>14.37</v>
      </c>
      <c r="T135">
        <v>182.65</v>
      </c>
      <c r="U135">
        <v>5990.89</v>
      </c>
      <c r="V135">
        <v>0</v>
      </c>
      <c r="W135">
        <v>-39621.86</v>
      </c>
      <c r="X135">
        <v>87035.68</v>
      </c>
      <c r="AA135" s="232">
        <f t="shared" si="4"/>
        <v>35906.512940000001</v>
      </c>
      <c r="AB135" s="232">
        <f t="shared" si="5"/>
        <v>79938.964299999992</v>
      </c>
    </row>
    <row r="136" spans="1:28" hidden="1">
      <c r="A136" t="s">
        <v>2479</v>
      </c>
      <c r="B136">
        <v>5352</v>
      </c>
      <c r="C136" t="s">
        <v>2625</v>
      </c>
      <c r="D136">
        <v>5697</v>
      </c>
      <c r="E136" t="s">
        <v>2344</v>
      </c>
      <c r="F136" t="s">
        <v>2036</v>
      </c>
      <c r="G136">
        <v>2022</v>
      </c>
      <c r="H136">
        <v>2</v>
      </c>
      <c r="I136" s="8">
        <v>44593</v>
      </c>
      <c r="J136">
        <v>1360</v>
      </c>
      <c r="K136">
        <v>1250</v>
      </c>
      <c r="L136">
        <v>613225</v>
      </c>
      <c r="M136">
        <v>41660</v>
      </c>
      <c r="N136">
        <v>613225</v>
      </c>
      <c r="O136">
        <v>41660</v>
      </c>
      <c r="P136">
        <v>0</v>
      </c>
      <c r="Q136">
        <v>11.83</v>
      </c>
      <c r="R136">
        <v>21.22</v>
      </c>
      <c r="S136">
        <v>14.37</v>
      </c>
      <c r="T136">
        <v>182.65</v>
      </c>
      <c r="U136">
        <v>8521.61</v>
      </c>
      <c r="V136">
        <v>0</v>
      </c>
      <c r="W136">
        <v>-38883.89</v>
      </c>
      <c r="X136">
        <v>141276.94</v>
      </c>
      <c r="AA136" s="232">
        <f t="shared" si="4"/>
        <v>52024.497450000003</v>
      </c>
      <c r="AB136" s="232">
        <f t="shared" si="5"/>
        <v>119614.74525000001</v>
      </c>
    </row>
    <row r="137" spans="1:28" hidden="1">
      <c r="A137" t="s">
        <v>2480</v>
      </c>
      <c r="B137">
        <v>5352</v>
      </c>
      <c r="C137" t="s">
        <v>2625</v>
      </c>
      <c r="D137">
        <v>5697</v>
      </c>
      <c r="E137" t="s">
        <v>2344</v>
      </c>
      <c r="F137" t="s">
        <v>2036</v>
      </c>
      <c r="G137">
        <v>2022</v>
      </c>
      <c r="H137">
        <v>2</v>
      </c>
      <c r="I137" s="8">
        <v>44593</v>
      </c>
      <c r="J137">
        <v>2751</v>
      </c>
      <c r="K137">
        <v>2780</v>
      </c>
      <c r="L137">
        <v>1098504</v>
      </c>
      <c r="M137">
        <v>136168</v>
      </c>
      <c r="N137">
        <v>1030176</v>
      </c>
      <c r="O137">
        <v>136168</v>
      </c>
      <c r="P137">
        <v>68328</v>
      </c>
      <c r="Q137">
        <v>11.83</v>
      </c>
      <c r="R137">
        <v>21.22</v>
      </c>
      <c r="S137">
        <v>14.37</v>
      </c>
      <c r="T137">
        <v>182.65</v>
      </c>
      <c r="U137">
        <v>17214.21</v>
      </c>
      <c r="V137">
        <v>0</v>
      </c>
      <c r="W137">
        <v>-42644.78</v>
      </c>
      <c r="X137">
        <v>321292.02</v>
      </c>
      <c r="AA137" s="232">
        <f t="shared" si="4"/>
        <v>109278.16664</v>
      </c>
      <c r="AB137" s="232">
        <f t="shared" si="5"/>
        <v>213032.73160000003</v>
      </c>
    </row>
    <row r="138" spans="1:28" hidden="1">
      <c r="A138" t="s">
        <v>2481</v>
      </c>
      <c r="B138">
        <v>5352</v>
      </c>
      <c r="C138" t="s">
        <v>2625</v>
      </c>
      <c r="D138">
        <v>5697</v>
      </c>
      <c r="E138" t="s">
        <v>2344</v>
      </c>
      <c r="F138" t="s">
        <v>2036</v>
      </c>
      <c r="G138">
        <v>2022</v>
      </c>
      <c r="H138">
        <v>2</v>
      </c>
      <c r="I138" s="8">
        <v>44593</v>
      </c>
      <c r="J138">
        <v>1801</v>
      </c>
      <c r="K138">
        <v>1814</v>
      </c>
      <c r="L138">
        <v>691765</v>
      </c>
      <c r="M138">
        <v>86123</v>
      </c>
      <c r="N138">
        <v>691765</v>
      </c>
      <c r="O138">
        <v>86123</v>
      </c>
      <c r="P138">
        <v>0</v>
      </c>
      <c r="Q138">
        <v>11.83</v>
      </c>
      <c r="R138">
        <v>21.22</v>
      </c>
      <c r="S138">
        <v>14.37</v>
      </c>
      <c r="T138">
        <v>182.65</v>
      </c>
      <c r="U138">
        <v>12578.93</v>
      </c>
      <c r="V138">
        <v>0</v>
      </c>
      <c r="W138">
        <v>-10022.34</v>
      </c>
      <c r="X138">
        <v>255916.81</v>
      </c>
      <c r="AA138" s="232">
        <f t="shared" si="4"/>
        <v>70977.160559999989</v>
      </c>
      <c r="AB138" s="232">
        <f t="shared" si="5"/>
        <v>142081.2432</v>
      </c>
    </row>
    <row r="139" spans="1:28" hidden="1">
      <c r="A139" t="s">
        <v>2626</v>
      </c>
      <c r="B139">
        <v>5352</v>
      </c>
      <c r="C139" t="s">
        <v>2625</v>
      </c>
      <c r="D139">
        <v>5697</v>
      </c>
      <c r="E139" t="s">
        <v>2344</v>
      </c>
      <c r="F139" t="s">
        <v>2036</v>
      </c>
      <c r="G139">
        <v>2022</v>
      </c>
      <c r="H139">
        <v>2</v>
      </c>
      <c r="I139" s="8">
        <v>44593</v>
      </c>
      <c r="J139">
        <v>504.84</v>
      </c>
      <c r="K139">
        <v>443.52</v>
      </c>
      <c r="L139">
        <v>150899</v>
      </c>
      <c r="M139">
        <v>18471</v>
      </c>
      <c r="N139">
        <v>150899</v>
      </c>
      <c r="O139">
        <v>18471</v>
      </c>
      <c r="P139">
        <v>0</v>
      </c>
      <c r="Q139">
        <v>11.83</v>
      </c>
      <c r="R139">
        <v>21.22</v>
      </c>
      <c r="S139">
        <v>14.37</v>
      </c>
      <c r="T139">
        <v>182.65</v>
      </c>
      <c r="U139">
        <v>2799.44</v>
      </c>
      <c r="V139">
        <v>0</v>
      </c>
      <c r="W139">
        <v>-5841.11</v>
      </c>
      <c r="X139">
        <v>53343.81</v>
      </c>
      <c r="AA139" s="232">
        <f t="shared" si="4"/>
        <v>17817.5985</v>
      </c>
      <c r="AB139" s="232">
        <f t="shared" si="5"/>
        <v>30935.430500000002</v>
      </c>
    </row>
    <row r="140" spans="1:28" hidden="1">
      <c r="A140" t="s">
        <v>2482</v>
      </c>
      <c r="B140">
        <v>5352</v>
      </c>
      <c r="C140" t="s">
        <v>2625</v>
      </c>
      <c r="D140">
        <v>5697</v>
      </c>
      <c r="E140" t="s">
        <v>2344</v>
      </c>
      <c r="F140" t="s">
        <v>2036</v>
      </c>
      <c r="G140">
        <v>2022</v>
      </c>
      <c r="H140">
        <v>2</v>
      </c>
      <c r="I140" s="8">
        <v>44593</v>
      </c>
      <c r="J140">
        <v>626</v>
      </c>
      <c r="K140">
        <v>619</v>
      </c>
      <c r="L140">
        <v>242892</v>
      </c>
      <c r="M140">
        <v>30874</v>
      </c>
      <c r="N140">
        <v>242892</v>
      </c>
      <c r="O140">
        <v>30874</v>
      </c>
      <c r="P140">
        <v>0</v>
      </c>
      <c r="Q140">
        <v>11.83</v>
      </c>
      <c r="R140">
        <v>21.22</v>
      </c>
      <c r="S140">
        <v>14.37</v>
      </c>
      <c r="T140">
        <v>182.65</v>
      </c>
      <c r="U140">
        <v>3899.87</v>
      </c>
      <c r="V140">
        <v>0</v>
      </c>
      <c r="W140">
        <v>-23266.92</v>
      </c>
      <c r="X140">
        <v>59182.91</v>
      </c>
      <c r="AA140" s="232">
        <f t="shared" si="4"/>
        <v>24474.777419999999</v>
      </c>
      <c r="AB140" s="232">
        <f t="shared" si="5"/>
        <v>50003.359900000003</v>
      </c>
    </row>
    <row r="141" spans="1:28" hidden="1">
      <c r="A141" t="s">
        <v>2483</v>
      </c>
      <c r="B141">
        <v>5352</v>
      </c>
      <c r="C141" t="s">
        <v>2625</v>
      </c>
      <c r="D141">
        <v>5697</v>
      </c>
      <c r="E141" t="s">
        <v>2344</v>
      </c>
      <c r="F141" t="s">
        <v>2036</v>
      </c>
      <c r="G141">
        <v>2022</v>
      </c>
      <c r="H141">
        <v>2</v>
      </c>
      <c r="I141" s="8">
        <v>44593</v>
      </c>
      <c r="J141">
        <v>80</v>
      </c>
      <c r="K141">
        <v>70</v>
      </c>
      <c r="L141">
        <v>14412</v>
      </c>
      <c r="M141">
        <v>1941</v>
      </c>
      <c r="N141">
        <v>14412</v>
      </c>
      <c r="O141">
        <v>1941</v>
      </c>
      <c r="P141">
        <v>0</v>
      </c>
      <c r="Q141">
        <v>11.83</v>
      </c>
      <c r="R141">
        <v>21.22</v>
      </c>
      <c r="S141">
        <v>14.37</v>
      </c>
      <c r="T141">
        <v>182.65</v>
      </c>
      <c r="U141">
        <v>280.70999999999998</v>
      </c>
      <c r="V141">
        <v>0</v>
      </c>
      <c r="W141">
        <v>-1556.01</v>
      </c>
      <c r="X141">
        <v>4378.3599999999997</v>
      </c>
      <c r="AA141" s="232">
        <f t="shared" si="4"/>
        <v>2666.7926099999995</v>
      </c>
      <c r="AB141" s="232">
        <f t="shared" si="5"/>
        <v>2986.8754500000005</v>
      </c>
    </row>
    <row r="142" spans="1:28" hidden="1">
      <c r="A142" t="s">
        <v>2484</v>
      </c>
      <c r="B142">
        <v>5352</v>
      </c>
      <c r="C142" t="s">
        <v>2625</v>
      </c>
      <c r="D142">
        <v>5697</v>
      </c>
      <c r="E142" t="s">
        <v>2344</v>
      </c>
      <c r="F142" t="s">
        <v>2036</v>
      </c>
      <c r="G142">
        <v>2022</v>
      </c>
      <c r="H142">
        <v>2</v>
      </c>
      <c r="I142" s="8">
        <v>44593</v>
      </c>
      <c r="J142">
        <v>580</v>
      </c>
      <c r="K142">
        <v>580</v>
      </c>
      <c r="L142">
        <v>212346</v>
      </c>
      <c r="M142">
        <v>26325</v>
      </c>
      <c r="N142">
        <v>212346</v>
      </c>
      <c r="O142">
        <v>26325</v>
      </c>
      <c r="P142">
        <v>0</v>
      </c>
      <c r="Q142">
        <v>11.83</v>
      </c>
      <c r="R142">
        <v>21.22</v>
      </c>
      <c r="S142">
        <v>14.37</v>
      </c>
      <c r="T142">
        <v>182.65</v>
      </c>
      <c r="U142">
        <v>3286.33</v>
      </c>
      <c r="V142">
        <v>0</v>
      </c>
      <c r="W142">
        <v>-15965.71</v>
      </c>
      <c r="X142">
        <v>53512.57</v>
      </c>
      <c r="AA142" s="232">
        <f t="shared" si="4"/>
        <v>22598.702270000002</v>
      </c>
      <c r="AB142" s="232">
        <f t="shared" si="5"/>
        <v>43593.258150000001</v>
      </c>
    </row>
    <row r="143" spans="1:28" hidden="1">
      <c r="A143" t="s">
        <v>2485</v>
      </c>
      <c r="B143">
        <v>5352</v>
      </c>
      <c r="C143" t="s">
        <v>2625</v>
      </c>
      <c r="D143">
        <v>5697</v>
      </c>
      <c r="E143" t="s">
        <v>2344</v>
      </c>
      <c r="F143" t="s">
        <v>2036</v>
      </c>
      <c r="G143">
        <v>2022</v>
      </c>
      <c r="H143">
        <v>2</v>
      </c>
      <c r="I143" s="8">
        <v>44593</v>
      </c>
      <c r="J143">
        <v>744</v>
      </c>
      <c r="K143">
        <v>747</v>
      </c>
      <c r="L143">
        <v>289191</v>
      </c>
      <c r="M143">
        <v>34975</v>
      </c>
      <c r="N143">
        <v>289191</v>
      </c>
      <c r="O143">
        <v>34975</v>
      </c>
      <c r="P143">
        <v>0</v>
      </c>
      <c r="Q143">
        <v>11.83</v>
      </c>
      <c r="R143">
        <v>21.22</v>
      </c>
      <c r="S143">
        <v>14.37</v>
      </c>
      <c r="T143">
        <v>182.65</v>
      </c>
      <c r="U143">
        <v>4600.58</v>
      </c>
      <c r="V143">
        <v>0</v>
      </c>
      <c r="W143">
        <v>-2709.91</v>
      </c>
      <c r="X143">
        <v>94554.18</v>
      </c>
      <c r="AA143" s="232">
        <f t="shared" si="4"/>
        <v>29311.12542</v>
      </c>
      <c r="AB143" s="232">
        <f t="shared" si="5"/>
        <v>59208.919900000001</v>
      </c>
    </row>
    <row r="144" spans="1:28" hidden="1">
      <c r="A144" t="s">
        <v>2486</v>
      </c>
      <c r="B144">
        <v>5352</v>
      </c>
      <c r="C144" t="s">
        <v>2625</v>
      </c>
      <c r="D144">
        <v>5697</v>
      </c>
      <c r="E144" t="s">
        <v>2344</v>
      </c>
      <c r="F144" t="s">
        <v>2036</v>
      </c>
      <c r="G144">
        <v>2022</v>
      </c>
      <c r="H144">
        <v>2</v>
      </c>
      <c r="I144" s="8">
        <v>44593</v>
      </c>
      <c r="J144">
        <v>320</v>
      </c>
      <c r="K144">
        <v>332</v>
      </c>
      <c r="L144">
        <v>123176</v>
      </c>
      <c r="M144">
        <v>15986</v>
      </c>
      <c r="N144">
        <v>123176</v>
      </c>
      <c r="O144">
        <v>15986</v>
      </c>
      <c r="P144">
        <v>0</v>
      </c>
      <c r="Q144">
        <v>11.83</v>
      </c>
      <c r="R144">
        <v>21.22</v>
      </c>
      <c r="S144">
        <v>14.37</v>
      </c>
      <c r="T144">
        <v>182.65</v>
      </c>
      <c r="U144">
        <v>1899.29</v>
      </c>
      <c r="V144">
        <v>0</v>
      </c>
      <c r="W144">
        <v>-3137.94</v>
      </c>
      <c r="X144">
        <v>37016.019999999997</v>
      </c>
      <c r="AA144" s="232">
        <f t="shared" si="4"/>
        <v>12830.397939999999</v>
      </c>
      <c r="AB144" s="232">
        <f t="shared" si="5"/>
        <v>25417.939300000002</v>
      </c>
    </row>
    <row r="145" spans="1:28" hidden="1">
      <c r="A145" t="s">
        <v>2581</v>
      </c>
      <c r="B145">
        <v>5352</v>
      </c>
      <c r="C145" t="s">
        <v>2625</v>
      </c>
      <c r="D145">
        <v>5697</v>
      </c>
      <c r="E145" t="s">
        <v>2344</v>
      </c>
      <c r="F145" t="s">
        <v>2036</v>
      </c>
      <c r="G145">
        <v>2022</v>
      </c>
      <c r="H145">
        <v>2</v>
      </c>
      <c r="I145" s="8">
        <v>44593</v>
      </c>
      <c r="J145">
        <v>600</v>
      </c>
      <c r="K145">
        <v>600</v>
      </c>
      <c r="L145">
        <v>143290</v>
      </c>
      <c r="M145">
        <v>19314</v>
      </c>
      <c r="N145">
        <v>143290</v>
      </c>
      <c r="O145">
        <v>19314</v>
      </c>
      <c r="P145">
        <v>0</v>
      </c>
      <c r="Q145">
        <v>11.83</v>
      </c>
      <c r="R145">
        <v>21.22</v>
      </c>
      <c r="S145">
        <v>14.37</v>
      </c>
      <c r="T145">
        <v>182.65</v>
      </c>
      <c r="U145">
        <v>2575.0500000000002</v>
      </c>
      <c r="V145">
        <v>0</v>
      </c>
      <c r="W145">
        <v>-5549.94</v>
      </c>
      <c r="X145">
        <v>48891.54</v>
      </c>
      <c r="AA145" s="232">
        <f t="shared" si="4"/>
        <v>22166.619480000001</v>
      </c>
      <c r="AB145" s="232">
        <f t="shared" si="5"/>
        <v>29699.620600000002</v>
      </c>
    </row>
    <row r="146" spans="1:28" hidden="1">
      <c r="A146" t="s">
        <v>2487</v>
      </c>
      <c r="B146">
        <v>5352</v>
      </c>
      <c r="C146" t="s">
        <v>2625</v>
      </c>
      <c r="D146">
        <v>5697</v>
      </c>
      <c r="E146" t="s">
        <v>2344</v>
      </c>
      <c r="F146" t="s">
        <v>2036</v>
      </c>
      <c r="G146">
        <v>2022</v>
      </c>
      <c r="H146">
        <v>2</v>
      </c>
      <c r="I146" s="8">
        <v>44593</v>
      </c>
      <c r="J146">
        <v>450</v>
      </c>
      <c r="K146">
        <v>450</v>
      </c>
      <c r="L146">
        <v>165640</v>
      </c>
      <c r="M146">
        <v>19477</v>
      </c>
      <c r="N146">
        <v>165640</v>
      </c>
      <c r="O146">
        <v>19477</v>
      </c>
      <c r="P146">
        <v>0</v>
      </c>
      <c r="Q146">
        <v>11.83</v>
      </c>
      <c r="R146">
        <v>21.22</v>
      </c>
      <c r="S146">
        <v>14.37</v>
      </c>
      <c r="T146">
        <v>182.65</v>
      </c>
      <c r="U146">
        <v>2549.1799999999998</v>
      </c>
      <c r="V146">
        <v>0</v>
      </c>
      <c r="W146">
        <v>-3393.14</v>
      </c>
      <c r="X146">
        <v>50500.27</v>
      </c>
      <c r="AA146" s="232">
        <f t="shared" si="4"/>
        <v>17532.631290000001</v>
      </c>
      <c r="AB146" s="232">
        <f t="shared" si="5"/>
        <v>33811.620049999998</v>
      </c>
    </row>
    <row r="147" spans="1:28" hidden="1">
      <c r="A147" t="s">
        <v>2488</v>
      </c>
      <c r="B147">
        <v>5352</v>
      </c>
      <c r="C147" t="s">
        <v>2625</v>
      </c>
      <c r="D147">
        <v>5697</v>
      </c>
      <c r="E147" t="s">
        <v>2344</v>
      </c>
      <c r="F147" t="s">
        <v>2036</v>
      </c>
      <c r="G147">
        <v>2022</v>
      </c>
      <c r="H147">
        <v>2</v>
      </c>
      <c r="I147" s="8">
        <v>44593</v>
      </c>
      <c r="J147">
        <v>820</v>
      </c>
      <c r="K147">
        <v>820</v>
      </c>
      <c r="L147">
        <v>308680</v>
      </c>
      <c r="M147">
        <v>36509</v>
      </c>
      <c r="N147">
        <v>308680</v>
      </c>
      <c r="O147">
        <v>36509</v>
      </c>
      <c r="P147">
        <v>0</v>
      </c>
      <c r="Q147">
        <v>11.83</v>
      </c>
      <c r="R147">
        <v>21.22</v>
      </c>
      <c r="S147">
        <v>14.37</v>
      </c>
      <c r="T147">
        <v>182.65</v>
      </c>
      <c r="U147">
        <v>4722.08</v>
      </c>
      <c r="V147">
        <v>0</v>
      </c>
      <c r="W147">
        <v>-7889.57</v>
      </c>
      <c r="X147">
        <v>91942.63</v>
      </c>
      <c r="AA147" s="232">
        <f t="shared" si="4"/>
        <v>32061.36593</v>
      </c>
      <c r="AB147" s="232">
        <f t="shared" si="5"/>
        <v>63048.770850000008</v>
      </c>
    </row>
    <row r="148" spans="1:28" hidden="1">
      <c r="A148" t="s">
        <v>2489</v>
      </c>
      <c r="B148">
        <v>5352</v>
      </c>
      <c r="C148" t="s">
        <v>2625</v>
      </c>
      <c r="D148">
        <v>5697</v>
      </c>
      <c r="E148" t="s">
        <v>2344</v>
      </c>
      <c r="F148" t="s">
        <v>2036</v>
      </c>
      <c r="G148">
        <v>2022</v>
      </c>
      <c r="H148">
        <v>2</v>
      </c>
      <c r="I148" s="8">
        <v>44593</v>
      </c>
      <c r="J148">
        <v>1300</v>
      </c>
      <c r="K148">
        <v>1350</v>
      </c>
      <c r="L148">
        <v>508655</v>
      </c>
      <c r="M148">
        <v>59061</v>
      </c>
      <c r="N148">
        <v>508655</v>
      </c>
      <c r="O148">
        <v>59061</v>
      </c>
      <c r="P148">
        <v>0</v>
      </c>
      <c r="Q148">
        <v>11.83</v>
      </c>
      <c r="R148">
        <v>21.22</v>
      </c>
      <c r="S148">
        <v>14.37</v>
      </c>
      <c r="T148">
        <v>182.65</v>
      </c>
      <c r="U148">
        <v>7739.04</v>
      </c>
      <c r="V148">
        <v>0</v>
      </c>
      <c r="W148">
        <v>0</v>
      </c>
      <c r="X148">
        <v>163616.43</v>
      </c>
      <c r="AA148" s="232">
        <f t="shared" si="4"/>
        <v>52184.07892</v>
      </c>
      <c r="AB148" s="232">
        <f t="shared" si="5"/>
        <v>103693.32740000001</v>
      </c>
    </row>
    <row r="149" spans="1:28" hidden="1">
      <c r="A149" t="s">
        <v>2490</v>
      </c>
      <c r="B149">
        <v>5352</v>
      </c>
      <c r="C149" t="s">
        <v>2625</v>
      </c>
      <c r="D149">
        <v>5697</v>
      </c>
      <c r="E149" t="s">
        <v>2344</v>
      </c>
      <c r="F149" t="s">
        <v>2036</v>
      </c>
      <c r="G149">
        <v>2022</v>
      </c>
      <c r="H149">
        <v>2</v>
      </c>
      <c r="I149" s="8">
        <v>44593</v>
      </c>
      <c r="J149">
        <v>810</v>
      </c>
      <c r="K149">
        <v>930</v>
      </c>
      <c r="L149">
        <v>304240</v>
      </c>
      <c r="M149">
        <v>40599</v>
      </c>
      <c r="N149">
        <v>304240</v>
      </c>
      <c r="O149">
        <v>40599</v>
      </c>
      <c r="P149">
        <v>0</v>
      </c>
      <c r="Q149">
        <v>11.83</v>
      </c>
      <c r="R149">
        <v>21.22</v>
      </c>
      <c r="S149">
        <v>14.37</v>
      </c>
      <c r="T149">
        <v>182.65</v>
      </c>
      <c r="U149">
        <v>4828.6499999999996</v>
      </c>
      <c r="V149">
        <v>0</v>
      </c>
      <c r="W149">
        <v>-5012.62</v>
      </c>
      <c r="X149">
        <v>97073.08</v>
      </c>
      <c r="AA149" s="232">
        <f t="shared" si="4"/>
        <v>34272.236429999997</v>
      </c>
      <c r="AB149" s="232">
        <f t="shared" si="5"/>
        <v>62984.843350000003</v>
      </c>
    </row>
    <row r="150" spans="1:28" hidden="1">
      <c r="A150" t="s">
        <v>2491</v>
      </c>
      <c r="B150">
        <v>5352</v>
      </c>
      <c r="C150" t="s">
        <v>2625</v>
      </c>
      <c r="D150">
        <v>5697</v>
      </c>
      <c r="E150" t="s">
        <v>2344</v>
      </c>
      <c r="F150" t="s">
        <v>2036</v>
      </c>
      <c r="G150">
        <v>2022</v>
      </c>
      <c r="H150">
        <v>2</v>
      </c>
      <c r="I150" s="8">
        <v>44593</v>
      </c>
      <c r="J150">
        <v>250</v>
      </c>
      <c r="K150">
        <v>250</v>
      </c>
      <c r="L150">
        <v>72294</v>
      </c>
      <c r="M150">
        <v>9647</v>
      </c>
      <c r="N150">
        <v>72294</v>
      </c>
      <c r="O150">
        <v>9647</v>
      </c>
      <c r="P150">
        <v>0</v>
      </c>
      <c r="Q150">
        <v>11.83</v>
      </c>
      <c r="R150">
        <v>21.22</v>
      </c>
      <c r="S150">
        <v>14.37</v>
      </c>
      <c r="T150">
        <v>182.65</v>
      </c>
      <c r="U150">
        <v>1211.75</v>
      </c>
      <c r="V150">
        <v>0</v>
      </c>
      <c r="W150">
        <v>-1416.27</v>
      </c>
      <c r="X150">
        <v>28067.46</v>
      </c>
      <c r="AA150" s="232">
        <f t="shared" si="4"/>
        <v>9439.9921699999995</v>
      </c>
      <c r="AB150" s="232">
        <f t="shared" si="5"/>
        <v>14966.523650000001</v>
      </c>
    </row>
    <row r="151" spans="1:28" hidden="1">
      <c r="A151" t="s">
        <v>2492</v>
      </c>
      <c r="B151">
        <v>5352</v>
      </c>
      <c r="C151" t="s">
        <v>2625</v>
      </c>
      <c r="D151">
        <v>5697</v>
      </c>
      <c r="E151" t="s">
        <v>2344</v>
      </c>
      <c r="F151" t="s">
        <v>2036</v>
      </c>
      <c r="G151">
        <v>2022</v>
      </c>
      <c r="H151">
        <v>3</v>
      </c>
      <c r="I151" s="8">
        <v>44621</v>
      </c>
      <c r="J151">
        <v>320</v>
      </c>
      <c r="K151">
        <v>320</v>
      </c>
      <c r="L151">
        <v>106187</v>
      </c>
      <c r="M151">
        <v>14357</v>
      </c>
      <c r="N151">
        <v>106187</v>
      </c>
      <c r="O151">
        <v>14357</v>
      </c>
      <c r="P151">
        <v>0</v>
      </c>
      <c r="Q151">
        <v>11.83</v>
      </c>
      <c r="R151">
        <v>21.22</v>
      </c>
      <c r="S151">
        <v>14.37</v>
      </c>
      <c r="T151">
        <v>182.65</v>
      </c>
      <c r="U151">
        <v>1010.72</v>
      </c>
      <c r="V151">
        <v>0</v>
      </c>
      <c r="W151">
        <v>-1995.01</v>
      </c>
      <c r="X151">
        <v>33345.51</v>
      </c>
      <c r="AA151" s="232">
        <f t="shared" si="4"/>
        <v>12308.217280000001</v>
      </c>
      <c r="AB151" s="232">
        <f t="shared" si="5"/>
        <v>22017.3616</v>
      </c>
    </row>
    <row r="152" spans="1:28" hidden="1">
      <c r="A152" t="s">
        <v>2493</v>
      </c>
      <c r="B152">
        <v>5352</v>
      </c>
      <c r="C152" t="s">
        <v>2625</v>
      </c>
      <c r="D152">
        <v>5697</v>
      </c>
      <c r="E152" t="s">
        <v>2344</v>
      </c>
      <c r="F152" t="s">
        <v>2036</v>
      </c>
      <c r="G152">
        <v>2022</v>
      </c>
      <c r="H152">
        <v>3</v>
      </c>
      <c r="I152" s="8">
        <v>44621</v>
      </c>
      <c r="J152">
        <v>600</v>
      </c>
      <c r="K152">
        <v>600</v>
      </c>
      <c r="L152">
        <v>127556</v>
      </c>
      <c r="M152">
        <v>18284</v>
      </c>
      <c r="N152">
        <v>127556</v>
      </c>
      <c r="O152">
        <v>18284</v>
      </c>
      <c r="P152">
        <v>0</v>
      </c>
      <c r="Q152">
        <v>11.83</v>
      </c>
      <c r="R152">
        <v>21.22</v>
      </c>
      <c r="S152">
        <v>14.37</v>
      </c>
      <c r="T152">
        <v>182.65</v>
      </c>
      <c r="U152">
        <v>1429.79</v>
      </c>
      <c r="V152">
        <v>0</v>
      </c>
      <c r="W152">
        <v>-3421</v>
      </c>
      <c r="X152">
        <v>46572.17</v>
      </c>
      <c r="AA152" s="232">
        <f t="shared" si="4"/>
        <v>21925.720799999999</v>
      </c>
      <c r="AB152" s="232">
        <f t="shared" si="5"/>
        <v>26637.676000000003</v>
      </c>
    </row>
    <row r="153" spans="1:28" hidden="1">
      <c r="A153" t="s">
        <v>2494</v>
      </c>
      <c r="B153">
        <v>5352</v>
      </c>
      <c r="C153" t="s">
        <v>2625</v>
      </c>
      <c r="D153">
        <v>5697</v>
      </c>
      <c r="E153" t="s">
        <v>2344</v>
      </c>
      <c r="F153" t="s">
        <v>2036</v>
      </c>
      <c r="G153">
        <v>2022</v>
      </c>
      <c r="H153">
        <v>3</v>
      </c>
      <c r="I153" s="8">
        <v>44621</v>
      </c>
      <c r="J153">
        <v>450</v>
      </c>
      <c r="K153">
        <v>450</v>
      </c>
      <c r="L153">
        <v>139928</v>
      </c>
      <c r="M153">
        <v>16506</v>
      </c>
      <c r="N153">
        <v>139928</v>
      </c>
      <c r="O153">
        <v>16506</v>
      </c>
      <c r="P153">
        <v>0</v>
      </c>
      <c r="Q153">
        <v>11.83</v>
      </c>
      <c r="R153">
        <v>21.22</v>
      </c>
      <c r="S153">
        <v>14.37</v>
      </c>
      <c r="T153">
        <v>182.65</v>
      </c>
      <c r="U153">
        <v>1345.3</v>
      </c>
      <c r="V153">
        <v>0</v>
      </c>
      <c r="W153">
        <v>-728.12</v>
      </c>
      <c r="X153">
        <v>46310.29</v>
      </c>
      <c r="AA153" s="232">
        <f t="shared" si="4"/>
        <v>17120.456579999998</v>
      </c>
      <c r="AB153" s="232">
        <f t="shared" si="5"/>
        <v>28572.670099999999</v>
      </c>
    </row>
    <row r="154" spans="1:28" hidden="1">
      <c r="A154" t="s">
        <v>2495</v>
      </c>
      <c r="B154">
        <v>5352</v>
      </c>
      <c r="C154" t="s">
        <v>2625</v>
      </c>
      <c r="D154">
        <v>5697</v>
      </c>
      <c r="E154" t="s">
        <v>2344</v>
      </c>
      <c r="F154" t="s">
        <v>2036</v>
      </c>
      <c r="G154">
        <v>2022</v>
      </c>
      <c r="H154">
        <v>3</v>
      </c>
      <c r="I154" s="8">
        <v>44621</v>
      </c>
      <c r="J154">
        <v>820</v>
      </c>
      <c r="K154">
        <v>820</v>
      </c>
      <c r="L154">
        <v>276532</v>
      </c>
      <c r="M154">
        <v>33660</v>
      </c>
      <c r="N154">
        <v>276532</v>
      </c>
      <c r="O154">
        <v>33660</v>
      </c>
      <c r="P154">
        <v>0</v>
      </c>
      <c r="Q154">
        <v>11.83</v>
      </c>
      <c r="R154">
        <v>21.22</v>
      </c>
      <c r="S154">
        <v>14.37</v>
      </c>
      <c r="T154">
        <v>182.65</v>
      </c>
      <c r="U154">
        <v>2597.23</v>
      </c>
      <c r="V154">
        <v>0</v>
      </c>
      <c r="W154">
        <v>-6752.21</v>
      </c>
      <c r="X154">
        <v>84060.02</v>
      </c>
      <c r="AA154" s="232">
        <f t="shared" si="4"/>
        <v>31558.459040000002</v>
      </c>
      <c r="AB154" s="232">
        <f t="shared" si="5"/>
        <v>56656.568800000001</v>
      </c>
    </row>
    <row r="155" spans="1:28" hidden="1">
      <c r="A155" t="s">
        <v>2496</v>
      </c>
      <c r="B155">
        <v>5352</v>
      </c>
      <c r="C155" t="s">
        <v>2625</v>
      </c>
      <c r="D155">
        <v>5697</v>
      </c>
      <c r="E155" t="s">
        <v>2344</v>
      </c>
      <c r="F155" t="s">
        <v>2036</v>
      </c>
      <c r="G155">
        <v>2022</v>
      </c>
      <c r="H155">
        <v>3</v>
      </c>
      <c r="I155" s="8">
        <v>44621</v>
      </c>
      <c r="J155">
        <v>1300</v>
      </c>
      <c r="K155">
        <v>1350</v>
      </c>
      <c r="L155">
        <v>239806</v>
      </c>
      <c r="M155">
        <v>34356</v>
      </c>
      <c r="N155">
        <v>239806</v>
      </c>
      <c r="O155">
        <v>34356</v>
      </c>
      <c r="P155">
        <v>0</v>
      </c>
      <c r="Q155">
        <v>11.83</v>
      </c>
      <c r="R155">
        <v>21.22</v>
      </c>
      <c r="S155">
        <v>14.37</v>
      </c>
      <c r="T155">
        <v>182.65</v>
      </c>
      <c r="U155">
        <v>2886.54</v>
      </c>
      <c r="V155">
        <v>0</v>
      </c>
      <c r="W155">
        <v>0</v>
      </c>
      <c r="X155">
        <v>100927.92</v>
      </c>
      <c r="AA155" s="232">
        <f t="shared" si="4"/>
        <v>47965.70794</v>
      </c>
      <c r="AB155" s="232">
        <f t="shared" si="5"/>
        <v>50075.689299999998</v>
      </c>
    </row>
    <row r="156" spans="1:28" hidden="1">
      <c r="A156" t="s">
        <v>2497</v>
      </c>
      <c r="B156">
        <v>5352</v>
      </c>
      <c r="C156" t="s">
        <v>2625</v>
      </c>
      <c r="D156">
        <v>5697</v>
      </c>
      <c r="E156" t="s">
        <v>2344</v>
      </c>
      <c r="F156" t="s">
        <v>2036</v>
      </c>
      <c r="G156">
        <v>2022</v>
      </c>
      <c r="H156">
        <v>3</v>
      </c>
      <c r="I156" s="8">
        <v>44621</v>
      </c>
      <c r="J156">
        <v>810</v>
      </c>
      <c r="K156">
        <v>930</v>
      </c>
      <c r="L156">
        <v>214415</v>
      </c>
      <c r="M156">
        <v>32196</v>
      </c>
      <c r="N156">
        <v>214415</v>
      </c>
      <c r="O156">
        <v>32196</v>
      </c>
      <c r="P156">
        <v>0</v>
      </c>
      <c r="Q156">
        <v>11.83</v>
      </c>
      <c r="R156">
        <v>21.22</v>
      </c>
      <c r="S156">
        <v>14.37</v>
      </c>
      <c r="T156">
        <v>182.65</v>
      </c>
      <c r="U156">
        <v>2293.65</v>
      </c>
      <c r="V156">
        <v>0</v>
      </c>
      <c r="W156">
        <v>0</v>
      </c>
      <c r="X156">
        <v>80197.820000000007</v>
      </c>
      <c r="AA156" s="232">
        <f t="shared" si="4"/>
        <v>32860.700069999999</v>
      </c>
      <c r="AB156" s="232">
        <f t="shared" si="5"/>
        <v>45043.499149999996</v>
      </c>
    </row>
    <row r="157" spans="1:28" hidden="1">
      <c r="A157" t="s">
        <v>2498</v>
      </c>
      <c r="B157">
        <v>5352</v>
      </c>
      <c r="C157" t="s">
        <v>2625</v>
      </c>
      <c r="D157">
        <v>5697</v>
      </c>
      <c r="E157" t="s">
        <v>2344</v>
      </c>
      <c r="F157" t="s">
        <v>2036</v>
      </c>
      <c r="G157">
        <v>2022</v>
      </c>
      <c r="H157">
        <v>3</v>
      </c>
      <c r="I157" s="8">
        <v>44621</v>
      </c>
      <c r="J157">
        <v>250</v>
      </c>
      <c r="K157">
        <v>250</v>
      </c>
      <c r="L157">
        <v>57966</v>
      </c>
      <c r="M157">
        <v>8504</v>
      </c>
      <c r="N157">
        <v>57966</v>
      </c>
      <c r="O157">
        <v>8504</v>
      </c>
      <c r="P157">
        <v>0</v>
      </c>
      <c r="Q157">
        <v>11.83</v>
      </c>
      <c r="R157">
        <v>21.22</v>
      </c>
      <c r="S157">
        <v>14.37</v>
      </c>
      <c r="T157">
        <v>182.65</v>
      </c>
      <c r="U157">
        <v>628.84</v>
      </c>
      <c r="V157">
        <v>0</v>
      </c>
      <c r="W157">
        <v>0</v>
      </c>
      <c r="X157">
        <v>25852.73</v>
      </c>
      <c r="AA157" s="232">
        <f t="shared" si="4"/>
        <v>9217.6738999999998</v>
      </c>
      <c r="AB157" s="232">
        <f t="shared" si="5"/>
        <v>12140.745500000001</v>
      </c>
    </row>
    <row r="158" spans="1:28" hidden="1">
      <c r="A158" t="s">
        <v>2499</v>
      </c>
      <c r="B158">
        <v>5352</v>
      </c>
      <c r="C158" t="s">
        <v>2625</v>
      </c>
      <c r="D158">
        <v>5697</v>
      </c>
      <c r="E158" t="s">
        <v>2344</v>
      </c>
      <c r="F158" t="s">
        <v>2036</v>
      </c>
      <c r="G158">
        <v>2022</v>
      </c>
      <c r="H158">
        <v>3</v>
      </c>
      <c r="I158" s="8">
        <v>44621</v>
      </c>
      <c r="J158">
        <v>510</v>
      </c>
      <c r="K158">
        <v>570</v>
      </c>
      <c r="L158">
        <v>113545</v>
      </c>
      <c r="M158">
        <v>14917</v>
      </c>
      <c r="N158">
        <v>113545</v>
      </c>
      <c r="O158">
        <v>14917</v>
      </c>
      <c r="P158">
        <v>0</v>
      </c>
      <c r="Q158">
        <v>11.83</v>
      </c>
      <c r="R158">
        <v>21.22</v>
      </c>
      <c r="S158">
        <v>14.37</v>
      </c>
      <c r="T158">
        <v>182.65</v>
      </c>
      <c r="U158">
        <v>1278.92</v>
      </c>
      <c r="V158">
        <v>0</v>
      </c>
      <c r="W158">
        <v>-915.03</v>
      </c>
      <c r="X158">
        <v>38656.75</v>
      </c>
      <c r="AA158" s="232">
        <f t="shared" si="4"/>
        <v>19974.698940000002</v>
      </c>
      <c r="AB158" s="232">
        <f t="shared" si="5"/>
        <v>23463.584299999999</v>
      </c>
    </row>
    <row r="159" spans="1:28" hidden="1">
      <c r="A159" t="s">
        <v>2500</v>
      </c>
      <c r="B159">
        <v>5352</v>
      </c>
      <c r="C159" t="s">
        <v>2625</v>
      </c>
      <c r="D159">
        <v>5697</v>
      </c>
      <c r="E159" t="s">
        <v>2344</v>
      </c>
      <c r="F159" t="s">
        <v>2036</v>
      </c>
      <c r="G159">
        <v>2022</v>
      </c>
      <c r="H159">
        <v>3</v>
      </c>
      <c r="I159" s="8">
        <v>44621</v>
      </c>
      <c r="J159">
        <v>970</v>
      </c>
      <c r="K159">
        <v>970</v>
      </c>
      <c r="L159">
        <v>348742</v>
      </c>
      <c r="M159">
        <v>45908</v>
      </c>
      <c r="N159">
        <v>348742</v>
      </c>
      <c r="O159">
        <v>45908</v>
      </c>
      <c r="P159">
        <v>0</v>
      </c>
      <c r="Q159">
        <v>11.83</v>
      </c>
      <c r="R159">
        <v>21.22</v>
      </c>
      <c r="S159">
        <v>14.37</v>
      </c>
      <c r="T159">
        <v>182.65</v>
      </c>
      <c r="U159">
        <v>3233.1</v>
      </c>
      <c r="V159">
        <v>0</v>
      </c>
      <c r="W159">
        <v>-2385.27</v>
      </c>
      <c r="X159">
        <v>108154.66</v>
      </c>
      <c r="AA159" s="232">
        <f t="shared" si="4"/>
        <v>37729.620499999997</v>
      </c>
      <c r="AB159" s="232">
        <f t="shared" si="5"/>
        <v>72082.822499999995</v>
      </c>
    </row>
    <row r="160" spans="1:28" hidden="1">
      <c r="A160" t="s">
        <v>2501</v>
      </c>
      <c r="B160">
        <v>5352</v>
      </c>
      <c r="C160" t="s">
        <v>2625</v>
      </c>
      <c r="D160">
        <v>5697</v>
      </c>
      <c r="E160" t="s">
        <v>2344</v>
      </c>
      <c r="F160" t="s">
        <v>2036</v>
      </c>
      <c r="G160">
        <v>2022</v>
      </c>
      <c r="H160">
        <v>3</v>
      </c>
      <c r="I160" s="8">
        <v>44621</v>
      </c>
      <c r="J160">
        <v>538</v>
      </c>
      <c r="K160">
        <v>530</v>
      </c>
      <c r="L160">
        <v>172212</v>
      </c>
      <c r="M160">
        <v>22190</v>
      </c>
      <c r="N160">
        <v>172212</v>
      </c>
      <c r="O160">
        <v>22190</v>
      </c>
      <c r="P160">
        <v>0</v>
      </c>
      <c r="Q160">
        <v>11.83</v>
      </c>
      <c r="R160">
        <v>21.22</v>
      </c>
      <c r="S160">
        <v>14.37</v>
      </c>
      <c r="T160">
        <v>182.65</v>
      </c>
      <c r="U160">
        <v>1699.57</v>
      </c>
      <c r="V160">
        <v>0</v>
      </c>
      <c r="W160">
        <v>0</v>
      </c>
      <c r="X160">
        <v>58490.22</v>
      </c>
      <c r="AA160" s="232">
        <f t="shared" si="4"/>
        <v>20404.696739999999</v>
      </c>
      <c r="AB160" s="232">
        <f t="shared" si="5"/>
        <v>35507.525300000001</v>
      </c>
    </row>
    <row r="161" spans="1:28" hidden="1">
      <c r="A161" t="s">
        <v>2502</v>
      </c>
      <c r="B161">
        <v>5352</v>
      </c>
      <c r="C161" t="s">
        <v>2625</v>
      </c>
      <c r="D161">
        <v>5697</v>
      </c>
      <c r="E161" t="s">
        <v>2344</v>
      </c>
      <c r="F161" t="s">
        <v>2036</v>
      </c>
      <c r="G161">
        <v>2022</v>
      </c>
      <c r="H161">
        <v>3</v>
      </c>
      <c r="I161" s="8">
        <v>44621</v>
      </c>
      <c r="J161">
        <v>2750</v>
      </c>
      <c r="K161">
        <v>2760</v>
      </c>
      <c r="L161">
        <v>975318</v>
      </c>
      <c r="M161">
        <v>127012</v>
      </c>
      <c r="N161">
        <v>914123</v>
      </c>
      <c r="O161">
        <v>127012</v>
      </c>
      <c r="P161">
        <v>61195</v>
      </c>
      <c r="Q161">
        <v>11.83</v>
      </c>
      <c r="R161">
        <v>21.22</v>
      </c>
      <c r="S161">
        <v>14.37</v>
      </c>
      <c r="T161">
        <v>182.65</v>
      </c>
      <c r="U161">
        <v>8747.1299999999992</v>
      </c>
      <c r="V161">
        <v>0</v>
      </c>
      <c r="W161">
        <v>0</v>
      </c>
      <c r="X161">
        <v>280136.90000000002</v>
      </c>
      <c r="AA161" s="232">
        <f t="shared" si="4"/>
        <v>106940.18209999999</v>
      </c>
      <c r="AB161" s="232">
        <f t="shared" si="5"/>
        <v>190163.30775000001</v>
      </c>
    </row>
    <row r="162" spans="1:28" hidden="1">
      <c r="A162" t="s">
        <v>2503</v>
      </c>
      <c r="B162">
        <v>5352</v>
      </c>
      <c r="C162" t="s">
        <v>2625</v>
      </c>
      <c r="D162">
        <v>5697</v>
      </c>
      <c r="E162" t="s">
        <v>2344</v>
      </c>
      <c r="F162" t="s">
        <v>2036</v>
      </c>
      <c r="G162">
        <v>2022</v>
      </c>
      <c r="H162">
        <v>3</v>
      </c>
      <c r="I162" s="8">
        <v>44621</v>
      </c>
      <c r="J162">
        <v>700</v>
      </c>
      <c r="K162">
        <v>680</v>
      </c>
      <c r="L162">
        <v>216027</v>
      </c>
      <c r="M162">
        <v>29233</v>
      </c>
      <c r="N162">
        <v>216027</v>
      </c>
      <c r="O162">
        <v>29233</v>
      </c>
      <c r="P162">
        <v>0</v>
      </c>
      <c r="Q162">
        <v>11.83</v>
      </c>
      <c r="R162">
        <v>21.22</v>
      </c>
      <c r="S162">
        <v>14.37</v>
      </c>
      <c r="T162">
        <v>182.65</v>
      </c>
      <c r="U162">
        <v>2191.7600000000002</v>
      </c>
      <c r="V162">
        <v>0</v>
      </c>
      <c r="W162">
        <v>0</v>
      </c>
      <c r="X162">
        <v>73273.929999999993</v>
      </c>
      <c r="AA162" s="232">
        <f t="shared" si="4"/>
        <v>26234.986199999999</v>
      </c>
      <c r="AB162" s="232">
        <f t="shared" si="5"/>
        <v>44796.739000000001</v>
      </c>
    </row>
    <row r="163" spans="1:28" hidden="1">
      <c r="A163" t="s">
        <v>2504</v>
      </c>
      <c r="B163">
        <v>5352</v>
      </c>
      <c r="C163" t="s">
        <v>2625</v>
      </c>
      <c r="D163">
        <v>5697</v>
      </c>
      <c r="E163" t="s">
        <v>2344</v>
      </c>
      <c r="F163" t="s">
        <v>2036</v>
      </c>
      <c r="G163">
        <v>2022</v>
      </c>
      <c r="H163">
        <v>3</v>
      </c>
      <c r="I163" s="8">
        <v>44621</v>
      </c>
      <c r="J163">
        <v>120</v>
      </c>
      <c r="K163">
        <v>120</v>
      </c>
      <c r="L163">
        <v>12892</v>
      </c>
      <c r="M163">
        <v>1821</v>
      </c>
      <c r="N163">
        <v>12892</v>
      </c>
      <c r="O163">
        <v>1821</v>
      </c>
      <c r="P163">
        <v>0</v>
      </c>
      <c r="Q163">
        <v>11.83</v>
      </c>
      <c r="R163">
        <v>21.22</v>
      </c>
      <c r="S163">
        <v>14.37</v>
      </c>
      <c r="T163">
        <v>182.65</v>
      </c>
      <c r="U163">
        <v>202.1</v>
      </c>
      <c r="V163">
        <v>0</v>
      </c>
      <c r="W163">
        <v>0</v>
      </c>
      <c r="X163">
        <v>7066.83</v>
      </c>
      <c r="AA163" s="232">
        <f t="shared" si="4"/>
        <v>4177.4258099999997</v>
      </c>
      <c r="AB163" s="232">
        <f t="shared" si="5"/>
        <v>2687.3294499999997</v>
      </c>
    </row>
    <row r="164" spans="1:28" hidden="1">
      <c r="A164" t="s">
        <v>2505</v>
      </c>
      <c r="B164">
        <v>5352</v>
      </c>
      <c r="C164" t="s">
        <v>2625</v>
      </c>
      <c r="D164">
        <v>5697</v>
      </c>
      <c r="E164" t="s">
        <v>2344</v>
      </c>
      <c r="F164" t="s">
        <v>2036</v>
      </c>
      <c r="G164">
        <v>2022</v>
      </c>
      <c r="H164">
        <v>3</v>
      </c>
      <c r="I164" s="8">
        <v>44621</v>
      </c>
      <c r="J164">
        <v>1450</v>
      </c>
      <c r="K164">
        <v>1450</v>
      </c>
      <c r="L164">
        <v>603202</v>
      </c>
      <c r="M164">
        <v>37199</v>
      </c>
      <c r="N164">
        <v>603202</v>
      </c>
      <c r="O164">
        <v>37199</v>
      </c>
      <c r="P164">
        <v>0</v>
      </c>
      <c r="Q164">
        <v>11.83</v>
      </c>
      <c r="R164">
        <v>21.22</v>
      </c>
      <c r="S164">
        <v>14.37</v>
      </c>
      <c r="T164">
        <v>182.65</v>
      </c>
      <c r="U164">
        <v>5125.7</v>
      </c>
      <c r="V164">
        <v>0</v>
      </c>
      <c r="W164">
        <v>0</v>
      </c>
      <c r="X164">
        <v>179219.98</v>
      </c>
      <c r="AA164" s="232">
        <f t="shared" si="4"/>
        <v>57125.06237</v>
      </c>
      <c r="AB164" s="232">
        <f t="shared" si="5"/>
        <v>116969.24265</v>
      </c>
    </row>
    <row r="165" spans="1:28" hidden="1">
      <c r="A165" t="s">
        <v>2506</v>
      </c>
      <c r="B165">
        <v>5352</v>
      </c>
      <c r="C165" t="s">
        <v>2625</v>
      </c>
      <c r="D165">
        <v>5697</v>
      </c>
      <c r="E165" t="s">
        <v>2344</v>
      </c>
      <c r="F165" t="s">
        <v>2036</v>
      </c>
      <c r="G165">
        <v>2022</v>
      </c>
      <c r="H165">
        <v>3</v>
      </c>
      <c r="I165" s="8">
        <v>44621</v>
      </c>
      <c r="J165">
        <v>600</v>
      </c>
      <c r="K165">
        <v>600</v>
      </c>
      <c r="L165">
        <v>175859</v>
      </c>
      <c r="M165">
        <v>23786</v>
      </c>
      <c r="N165">
        <v>175859</v>
      </c>
      <c r="O165">
        <v>23786</v>
      </c>
      <c r="P165">
        <v>0</v>
      </c>
      <c r="Q165">
        <v>11.83</v>
      </c>
      <c r="R165">
        <v>21.22</v>
      </c>
      <c r="S165">
        <v>14.37</v>
      </c>
      <c r="T165">
        <v>182.65</v>
      </c>
      <c r="U165">
        <v>1741.91</v>
      </c>
      <c r="V165">
        <v>0</v>
      </c>
      <c r="W165">
        <v>-1400.26</v>
      </c>
      <c r="X165">
        <v>59505.69</v>
      </c>
      <c r="AA165" s="232">
        <f t="shared" si="4"/>
        <v>22698.898649999999</v>
      </c>
      <c r="AB165" s="232">
        <f t="shared" si="5"/>
        <v>36465.159250000004</v>
      </c>
    </row>
    <row r="166" spans="1:28" hidden="1">
      <c r="A166" t="s">
        <v>2507</v>
      </c>
      <c r="B166">
        <v>5352</v>
      </c>
      <c r="C166" t="s">
        <v>2625</v>
      </c>
      <c r="D166">
        <v>5697</v>
      </c>
      <c r="E166" t="s">
        <v>2344</v>
      </c>
      <c r="F166" t="s">
        <v>2036</v>
      </c>
      <c r="G166">
        <v>2022</v>
      </c>
      <c r="H166">
        <v>3</v>
      </c>
      <c r="I166" s="8">
        <v>44621</v>
      </c>
      <c r="J166">
        <v>900</v>
      </c>
      <c r="K166">
        <v>850</v>
      </c>
      <c r="L166">
        <v>198666</v>
      </c>
      <c r="M166">
        <v>27510</v>
      </c>
      <c r="N166">
        <v>198666</v>
      </c>
      <c r="O166">
        <v>27510</v>
      </c>
      <c r="P166">
        <v>0</v>
      </c>
      <c r="Q166">
        <v>11.83</v>
      </c>
      <c r="R166">
        <v>21.22</v>
      </c>
      <c r="S166">
        <v>14.37</v>
      </c>
      <c r="T166">
        <v>182.65</v>
      </c>
      <c r="U166">
        <v>2156.4899999999998</v>
      </c>
      <c r="V166">
        <v>0</v>
      </c>
      <c r="W166">
        <v>0</v>
      </c>
      <c r="X166">
        <v>75283.41</v>
      </c>
      <c r="AA166" s="232">
        <f t="shared" si="4"/>
        <v>31934.149119999998</v>
      </c>
      <c r="AB166" s="232">
        <f t="shared" si="5"/>
        <v>41311.046399999999</v>
      </c>
    </row>
    <row r="167" spans="1:28" hidden="1">
      <c r="A167" t="s">
        <v>2508</v>
      </c>
      <c r="B167">
        <v>5352</v>
      </c>
      <c r="C167" t="s">
        <v>2625</v>
      </c>
      <c r="D167">
        <v>5697</v>
      </c>
      <c r="E167" t="s">
        <v>2344</v>
      </c>
      <c r="F167" t="s">
        <v>2036</v>
      </c>
      <c r="G167">
        <v>2022</v>
      </c>
      <c r="H167">
        <v>3</v>
      </c>
      <c r="I167" s="8">
        <v>44621</v>
      </c>
      <c r="J167">
        <v>1670</v>
      </c>
      <c r="K167">
        <v>1722</v>
      </c>
      <c r="L167">
        <v>580891</v>
      </c>
      <c r="M167">
        <v>75515</v>
      </c>
      <c r="N167">
        <v>580891</v>
      </c>
      <c r="O167">
        <v>75515</v>
      </c>
      <c r="P167">
        <v>0</v>
      </c>
      <c r="Q167">
        <v>11.83</v>
      </c>
      <c r="R167">
        <v>21.22</v>
      </c>
      <c r="S167">
        <v>14.37</v>
      </c>
      <c r="T167">
        <v>182.65</v>
      </c>
      <c r="U167">
        <v>5465.09</v>
      </c>
      <c r="V167">
        <v>0</v>
      </c>
      <c r="W167">
        <v>0</v>
      </c>
      <c r="X167">
        <v>148667.10999999999</v>
      </c>
      <c r="AA167" s="232">
        <f t="shared" si="4"/>
        <v>65729.494219999993</v>
      </c>
      <c r="AB167" s="232">
        <f t="shared" si="5"/>
        <v>119892.55589999999</v>
      </c>
    </row>
    <row r="168" spans="1:28" hidden="1">
      <c r="A168" t="s">
        <v>2509</v>
      </c>
      <c r="B168">
        <v>5352</v>
      </c>
      <c r="C168" t="s">
        <v>2625</v>
      </c>
      <c r="D168">
        <v>5697</v>
      </c>
      <c r="E168" t="s">
        <v>2344</v>
      </c>
      <c r="F168" t="s">
        <v>2036</v>
      </c>
      <c r="G168">
        <v>2022</v>
      </c>
      <c r="H168">
        <v>4</v>
      </c>
      <c r="I168" s="8">
        <v>44652</v>
      </c>
      <c r="J168">
        <v>1450</v>
      </c>
      <c r="K168">
        <v>1450</v>
      </c>
      <c r="L168">
        <v>621293</v>
      </c>
      <c r="M168">
        <v>40601</v>
      </c>
      <c r="N168">
        <v>621293</v>
      </c>
      <c r="O168">
        <v>40601</v>
      </c>
      <c r="P168">
        <v>0</v>
      </c>
      <c r="Q168">
        <v>11.83</v>
      </c>
      <c r="R168">
        <v>21.22</v>
      </c>
      <c r="S168">
        <v>14.37</v>
      </c>
      <c r="T168">
        <v>182.65</v>
      </c>
      <c r="U168">
        <v>6047.55</v>
      </c>
      <c r="V168">
        <v>0</v>
      </c>
      <c r="W168">
        <v>0</v>
      </c>
      <c r="X168">
        <v>187162.52</v>
      </c>
      <c r="AA168" s="232">
        <f t="shared" si="4"/>
        <v>57433.91678</v>
      </c>
      <c r="AB168" s="232">
        <f t="shared" si="5"/>
        <v>120894.9391</v>
      </c>
    </row>
    <row r="169" spans="1:28" hidden="1">
      <c r="A169" t="s">
        <v>2510</v>
      </c>
      <c r="B169">
        <v>5352</v>
      </c>
      <c r="C169" t="s">
        <v>2625</v>
      </c>
      <c r="D169">
        <v>5697</v>
      </c>
      <c r="E169" t="s">
        <v>2344</v>
      </c>
      <c r="F169" t="s">
        <v>2036</v>
      </c>
      <c r="G169">
        <v>2022</v>
      </c>
      <c r="H169">
        <v>4</v>
      </c>
      <c r="I169" s="8">
        <v>44652</v>
      </c>
      <c r="J169">
        <v>700</v>
      </c>
      <c r="K169">
        <v>677</v>
      </c>
      <c r="L169">
        <v>212673</v>
      </c>
      <c r="M169">
        <v>30874</v>
      </c>
      <c r="N169">
        <v>212673</v>
      </c>
      <c r="O169">
        <v>30874</v>
      </c>
      <c r="P169">
        <v>0</v>
      </c>
      <c r="Q169">
        <v>11.83</v>
      </c>
      <c r="R169">
        <v>21.22</v>
      </c>
      <c r="S169">
        <v>14.37</v>
      </c>
      <c r="T169">
        <v>182.65</v>
      </c>
      <c r="U169">
        <v>2506.86</v>
      </c>
      <c r="V169">
        <v>0</v>
      </c>
      <c r="W169">
        <v>0</v>
      </c>
      <c r="X169">
        <v>76428.84</v>
      </c>
      <c r="AA169" s="232">
        <f t="shared" si="4"/>
        <v>26146.71039</v>
      </c>
      <c r="AB169" s="232">
        <f t="shared" si="5"/>
        <v>44483.859550000001</v>
      </c>
    </row>
    <row r="170" spans="1:28" hidden="1">
      <c r="A170" t="s">
        <v>2511</v>
      </c>
      <c r="B170">
        <v>5352</v>
      </c>
      <c r="C170" t="s">
        <v>2625</v>
      </c>
      <c r="D170">
        <v>5697</v>
      </c>
      <c r="E170" t="s">
        <v>2344</v>
      </c>
      <c r="F170" t="s">
        <v>2036</v>
      </c>
      <c r="G170">
        <v>2022</v>
      </c>
      <c r="H170">
        <v>4</v>
      </c>
      <c r="I170" s="8">
        <v>44652</v>
      </c>
      <c r="J170">
        <v>120</v>
      </c>
      <c r="K170">
        <v>120</v>
      </c>
      <c r="L170">
        <v>12919</v>
      </c>
      <c r="M170">
        <v>1941</v>
      </c>
      <c r="N170">
        <v>12919</v>
      </c>
      <c r="O170">
        <v>1941</v>
      </c>
      <c r="P170">
        <v>0</v>
      </c>
      <c r="Q170">
        <v>11.83</v>
      </c>
      <c r="R170">
        <v>21.22</v>
      </c>
      <c r="S170">
        <v>14.37</v>
      </c>
      <c r="T170">
        <v>182.65</v>
      </c>
      <c r="U170">
        <v>233.78</v>
      </c>
      <c r="V170">
        <v>0</v>
      </c>
      <c r="W170">
        <v>0</v>
      </c>
      <c r="X170">
        <v>7932.67</v>
      </c>
      <c r="AA170" s="232">
        <f t="shared" si="4"/>
        <v>4179.5382</v>
      </c>
      <c r="AB170" s="232">
        <f t="shared" si="5"/>
        <v>2714.1790000000001</v>
      </c>
    </row>
    <row r="171" spans="1:28" hidden="1">
      <c r="A171" t="s">
        <v>2512</v>
      </c>
      <c r="B171">
        <v>5352</v>
      </c>
      <c r="C171" t="s">
        <v>2625</v>
      </c>
      <c r="D171">
        <v>5697</v>
      </c>
      <c r="E171" t="s">
        <v>2344</v>
      </c>
      <c r="F171" t="s">
        <v>2036</v>
      </c>
      <c r="G171">
        <v>2022</v>
      </c>
      <c r="H171">
        <v>4</v>
      </c>
      <c r="I171" s="8">
        <v>44652</v>
      </c>
      <c r="J171">
        <v>481</v>
      </c>
      <c r="K171">
        <v>550</v>
      </c>
      <c r="L171">
        <v>172243</v>
      </c>
      <c r="M171">
        <v>23449</v>
      </c>
      <c r="N171">
        <v>172243</v>
      </c>
      <c r="O171">
        <v>23449</v>
      </c>
      <c r="P171">
        <v>0</v>
      </c>
      <c r="Q171">
        <v>11.83</v>
      </c>
      <c r="R171">
        <v>21.22</v>
      </c>
      <c r="S171">
        <v>14.37</v>
      </c>
      <c r="T171">
        <v>182.65</v>
      </c>
      <c r="U171">
        <v>1896.13</v>
      </c>
      <c r="V171">
        <v>0</v>
      </c>
      <c r="W171">
        <v>0</v>
      </c>
      <c r="X171">
        <v>57809.03</v>
      </c>
      <c r="AA171" s="232">
        <f t="shared" si="4"/>
        <v>20173.32404</v>
      </c>
      <c r="AB171" s="232">
        <f t="shared" si="5"/>
        <v>35743.143800000005</v>
      </c>
    </row>
    <row r="172" spans="1:28" hidden="1">
      <c r="A172" t="s">
        <v>2513</v>
      </c>
      <c r="B172">
        <v>5352</v>
      </c>
      <c r="C172" t="s">
        <v>2625</v>
      </c>
      <c r="D172">
        <v>5697</v>
      </c>
      <c r="E172" t="s">
        <v>2344</v>
      </c>
      <c r="F172" t="s">
        <v>2036</v>
      </c>
      <c r="G172">
        <v>2022</v>
      </c>
      <c r="H172">
        <v>4</v>
      </c>
      <c r="I172" s="8">
        <v>44652</v>
      </c>
      <c r="J172">
        <v>970</v>
      </c>
      <c r="K172">
        <v>970</v>
      </c>
      <c r="L172">
        <v>285961</v>
      </c>
      <c r="M172">
        <v>38166</v>
      </c>
      <c r="N172">
        <v>285961</v>
      </c>
      <c r="O172">
        <v>38166</v>
      </c>
      <c r="P172">
        <v>0</v>
      </c>
      <c r="Q172">
        <v>11.83</v>
      </c>
      <c r="R172">
        <v>21.22</v>
      </c>
      <c r="S172">
        <v>14.37</v>
      </c>
      <c r="T172">
        <v>182.65</v>
      </c>
      <c r="U172">
        <v>3252.78</v>
      </c>
      <c r="V172">
        <v>0</v>
      </c>
      <c r="W172">
        <v>-9056.44</v>
      </c>
      <c r="X172">
        <v>90114.31</v>
      </c>
      <c r="AA172" s="232">
        <f t="shared" si="4"/>
        <v>36716.204989999998</v>
      </c>
      <c r="AB172" s="232">
        <f t="shared" si="5"/>
        <v>59201.796550000006</v>
      </c>
    </row>
    <row r="173" spans="1:28" hidden="1">
      <c r="A173" t="s">
        <v>2514</v>
      </c>
      <c r="B173">
        <v>5352</v>
      </c>
      <c r="C173" t="s">
        <v>2625</v>
      </c>
      <c r="D173">
        <v>5697</v>
      </c>
      <c r="E173" t="s">
        <v>2344</v>
      </c>
      <c r="F173" t="s">
        <v>2036</v>
      </c>
      <c r="G173">
        <v>2022</v>
      </c>
      <c r="H173">
        <v>4</v>
      </c>
      <c r="I173" s="8">
        <v>44652</v>
      </c>
      <c r="J173">
        <v>600</v>
      </c>
      <c r="K173">
        <v>634</v>
      </c>
      <c r="L173">
        <v>174305</v>
      </c>
      <c r="M173">
        <v>24164</v>
      </c>
      <c r="N173">
        <v>174305</v>
      </c>
      <c r="O173">
        <v>24164</v>
      </c>
      <c r="P173">
        <v>0</v>
      </c>
      <c r="Q173">
        <v>11.83</v>
      </c>
      <c r="R173">
        <v>21.22</v>
      </c>
      <c r="S173">
        <v>14.37</v>
      </c>
      <c r="T173">
        <v>182.65</v>
      </c>
      <c r="U173">
        <v>2071.0700000000002</v>
      </c>
      <c r="V173">
        <v>0</v>
      </c>
      <c r="W173">
        <v>0</v>
      </c>
      <c r="X173">
        <v>63489.279999999999</v>
      </c>
      <c r="AA173" s="232">
        <f t="shared" si="4"/>
        <v>23403.479530000001</v>
      </c>
      <c r="AB173" s="232">
        <f t="shared" si="5"/>
        <v>36250.362849999998</v>
      </c>
    </row>
    <row r="174" spans="1:28" hidden="1">
      <c r="A174" t="s">
        <v>2515</v>
      </c>
      <c r="B174">
        <v>5352</v>
      </c>
      <c r="C174" t="s">
        <v>2625</v>
      </c>
      <c r="D174">
        <v>5697</v>
      </c>
      <c r="E174" t="s">
        <v>2344</v>
      </c>
      <c r="F174" t="s">
        <v>2036</v>
      </c>
      <c r="G174">
        <v>2022</v>
      </c>
      <c r="H174">
        <v>4</v>
      </c>
      <c r="I174" s="8">
        <v>44652</v>
      </c>
      <c r="J174">
        <v>450</v>
      </c>
      <c r="K174">
        <v>450</v>
      </c>
      <c r="L174">
        <v>150096</v>
      </c>
      <c r="M174">
        <v>19055</v>
      </c>
      <c r="N174">
        <v>150096</v>
      </c>
      <c r="O174">
        <v>19055</v>
      </c>
      <c r="P174">
        <v>0</v>
      </c>
      <c r="Q174">
        <v>11.83</v>
      </c>
      <c r="R174">
        <v>21.22</v>
      </c>
      <c r="S174">
        <v>14.37</v>
      </c>
      <c r="T174">
        <v>182.65</v>
      </c>
      <c r="U174">
        <v>1634.52</v>
      </c>
      <c r="V174">
        <v>0</v>
      </c>
      <c r="W174">
        <v>-2263.15</v>
      </c>
      <c r="X174">
        <v>47569.98</v>
      </c>
      <c r="AA174" s="232">
        <f t="shared" si="4"/>
        <v>17303.19987</v>
      </c>
      <c r="AB174" s="232">
        <f t="shared" si="5"/>
        <v>30895.430150000004</v>
      </c>
    </row>
    <row r="175" spans="1:28" hidden="1">
      <c r="A175" t="s">
        <v>2516</v>
      </c>
      <c r="B175">
        <v>5352</v>
      </c>
      <c r="C175" t="s">
        <v>2625</v>
      </c>
      <c r="D175">
        <v>5697</v>
      </c>
      <c r="E175" t="s">
        <v>2344</v>
      </c>
      <c r="F175" t="s">
        <v>2036</v>
      </c>
      <c r="G175">
        <v>2022</v>
      </c>
      <c r="H175">
        <v>4</v>
      </c>
      <c r="I175" s="8">
        <v>44652</v>
      </c>
      <c r="J175">
        <v>2750</v>
      </c>
      <c r="K175">
        <v>2750</v>
      </c>
      <c r="L175">
        <v>1012797</v>
      </c>
      <c r="M175">
        <v>140562</v>
      </c>
      <c r="N175">
        <v>946658</v>
      </c>
      <c r="O175">
        <v>140562</v>
      </c>
      <c r="P175">
        <v>66139</v>
      </c>
      <c r="Q175">
        <v>11.83</v>
      </c>
      <c r="R175">
        <v>21.22</v>
      </c>
      <c r="S175">
        <v>14.37</v>
      </c>
      <c r="T175">
        <v>182.65</v>
      </c>
      <c r="U175">
        <v>10378.620000000001</v>
      </c>
      <c r="V175">
        <v>0</v>
      </c>
      <c r="W175">
        <v>0</v>
      </c>
      <c r="X175">
        <v>316420.59999999998</v>
      </c>
      <c r="AA175" s="232">
        <f t="shared" si="4"/>
        <v>107461.26883</v>
      </c>
      <c r="AB175" s="232">
        <f t="shared" si="5"/>
        <v>198580.73300000001</v>
      </c>
    </row>
    <row r="176" spans="1:28" hidden="1">
      <c r="A176" t="s">
        <v>2517</v>
      </c>
      <c r="B176">
        <v>5352</v>
      </c>
      <c r="C176" t="s">
        <v>2625</v>
      </c>
      <c r="D176">
        <v>5697</v>
      </c>
      <c r="E176" t="s">
        <v>2344</v>
      </c>
      <c r="F176" t="s">
        <v>2036</v>
      </c>
      <c r="G176">
        <v>2022</v>
      </c>
      <c r="H176">
        <v>4</v>
      </c>
      <c r="I176" s="8">
        <v>44652</v>
      </c>
      <c r="J176">
        <v>820</v>
      </c>
      <c r="K176">
        <v>820</v>
      </c>
      <c r="L176">
        <v>291559</v>
      </c>
      <c r="M176">
        <v>38236</v>
      </c>
      <c r="N176">
        <v>291559</v>
      </c>
      <c r="O176">
        <v>38236</v>
      </c>
      <c r="P176">
        <v>0</v>
      </c>
      <c r="Q176">
        <v>11.83</v>
      </c>
      <c r="R176">
        <v>21.22</v>
      </c>
      <c r="S176">
        <v>14.37</v>
      </c>
      <c r="T176">
        <v>182.65</v>
      </c>
      <c r="U176">
        <v>3122.54</v>
      </c>
      <c r="V176">
        <v>0</v>
      </c>
      <c r="W176">
        <v>-4138.55</v>
      </c>
      <c r="X176">
        <v>91061.19</v>
      </c>
      <c r="AA176" s="232">
        <f t="shared" si="4"/>
        <v>31840.154150000002</v>
      </c>
      <c r="AB176" s="232">
        <f t="shared" si="5"/>
        <v>60237.056750000003</v>
      </c>
    </row>
    <row r="177" spans="1:28" hidden="1">
      <c r="A177" t="s">
        <v>2518</v>
      </c>
      <c r="B177">
        <v>5352</v>
      </c>
      <c r="C177" t="s">
        <v>2625</v>
      </c>
      <c r="D177">
        <v>5697</v>
      </c>
      <c r="E177" t="s">
        <v>2344</v>
      </c>
      <c r="F177" t="s">
        <v>2036</v>
      </c>
      <c r="G177">
        <v>2022</v>
      </c>
      <c r="H177">
        <v>4</v>
      </c>
      <c r="I177" s="8">
        <v>44652</v>
      </c>
      <c r="J177">
        <v>1300</v>
      </c>
      <c r="K177">
        <v>1350</v>
      </c>
      <c r="L177">
        <v>196802</v>
      </c>
      <c r="M177">
        <v>29543</v>
      </c>
      <c r="N177">
        <v>196802</v>
      </c>
      <c r="O177">
        <v>29543</v>
      </c>
      <c r="P177">
        <v>0</v>
      </c>
      <c r="Q177">
        <v>11.83</v>
      </c>
      <c r="R177">
        <v>21.22</v>
      </c>
      <c r="S177">
        <v>14.37</v>
      </c>
      <c r="T177">
        <v>182.65</v>
      </c>
      <c r="U177">
        <v>3005.33</v>
      </c>
      <c r="V177">
        <v>0</v>
      </c>
      <c r="W177">
        <v>0</v>
      </c>
      <c r="X177">
        <v>91625.8</v>
      </c>
      <c r="AA177" s="232">
        <f t="shared" si="4"/>
        <v>47278.577649999999</v>
      </c>
      <c r="AB177" s="232">
        <f t="shared" si="5"/>
        <v>41341.914250000002</v>
      </c>
    </row>
    <row r="178" spans="1:28" hidden="1">
      <c r="A178" t="s">
        <v>2519</v>
      </c>
      <c r="B178">
        <v>5352</v>
      </c>
      <c r="C178" t="s">
        <v>2625</v>
      </c>
      <c r="D178">
        <v>5697</v>
      </c>
      <c r="E178" t="s">
        <v>2344</v>
      </c>
      <c r="F178" t="s">
        <v>2036</v>
      </c>
      <c r="G178">
        <v>2022</v>
      </c>
      <c r="H178">
        <v>4</v>
      </c>
      <c r="I178" s="8">
        <v>44652</v>
      </c>
      <c r="J178">
        <v>810</v>
      </c>
      <c r="K178">
        <v>930</v>
      </c>
      <c r="L178">
        <v>191805</v>
      </c>
      <c r="M178">
        <v>30578</v>
      </c>
      <c r="N178">
        <v>191805</v>
      </c>
      <c r="O178">
        <v>30578</v>
      </c>
      <c r="P178">
        <v>0</v>
      </c>
      <c r="Q178">
        <v>11.83</v>
      </c>
      <c r="R178">
        <v>21.22</v>
      </c>
      <c r="S178">
        <v>14.37</v>
      </c>
      <c r="T178">
        <v>182.65</v>
      </c>
      <c r="U178">
        <v>2480.02</v>
      </c>
      <c r="V178">
        <v>0</v>
      </c>
      <c r="W178">
        <v>0</v>
      </c>
      <c r="X178">
        <v>75610.8</v>
      </c>
      <c r="AA178" s="232">
        <f t="shared" si="4"/>
        <v>32512.543709999998</v>
      </c>
      <c r="AB178" s="232">
        <f t="shared" si="5"/>
        <v>40618.254950000002</v>
      </c>
    </row>
    <row r="179" spans="1:28" hidden="1">
      <c r="A179" t="s">
        <v>2520</v>
      </c>
      <c r="B179">
        <v>5352</v>
      </c>
      <c r="C179" t="s">
        <v>2625</v>
      </c>
      <c r="D179">
        <v>5697</v>
      </c>
      <c r="E179" t="s">
        <v>2344</v>
      </c>
      <c r="F179" t="s">
        <v>2036</v>
      </c>
      <c r="G179">
        <v>2022</v>
      </c>
      <c r="H179">
        <v>4</v>
      </c>
      <c r="I179" s="8">
        <v>44652</v>
      </c>
      <c r="J179">
        <v>250</v>
      </c>
      <c r="K179">
        <v>250</v>
      </c>
      <c r="L179">
        <v>59137</v>
      </c>
      <c r="M179">
        <v>8750</v>
      </c>
      <c r="N179">
        <v>59137</v>
      </c>
      <c r="O179">
        <v>8750</v>
      </c>
      <c r="P179">
        <v>0</v>
      </c>
      <c r="Q179">
        <v>11.83</v>
      </c>
      <c r="R179">
        <v>21.22</v>
      </c>
      <c r="S179">
        <v>14.37</v>
      </c>
      <c r="T179">
        <v>182.65</v>
      </c>
      <c r="U179">
        <v>733.77</v>
      </c>
      <c r="V179">
        <v>0</v>
      </c>
      <c r="W179">
        <v>0</v>
      </c>
      <c r="X179">
        <v>26236.83</v>
      </c>
      <c r="AA179" s="232">
        <f t="shared" si="4"/>
        <v>9238.0361900000007</v>
      </c>
      <c r="AB179" s="232">
        <f t="shared" si="5"/>
        <v>12399.56055</v>
      </c>
    </row>
    <row r="180" spans="1:28" hidden="1">
      <c r="A180" t="s">
        <v>2521</v>
      </c>
      <c r="B180">
        <v>5352</v>
      </c>
      <c r="C180" t="s">
        <v>2625</v>
      </c>
      <c r="D180">
        <v>5697</v>
      </c>
      <c r="E180" t="s">
        <v>2344</v>
      </c>
      <c r="F180" t="s">
        <v>2036</v>
      </c>
      <c r="G180">
        <v>2022</v>
      </c>
      <c r="H180">
        <v>4</v>
      </c>
      <c r="I180" s="8">
        <v>44652</v>
      </c>
      <c r="J180">
        <v>900</v>
      </c>
      <c r="K180">
        <v>850</v>
      </c>
      <c r="L180">
        <v>196097</v>
      </c>
      <c r="M180">
        <v>29011</v>
      </c>
      <c r="N180">
        <v>196097</v>
      </c>
      <c r="O180">
        <v>29011</v>
      </c>
      <c r="P180">
        <v>0</v>
      </c>
      <c r="Q180">
        <v>11.83</v>
      </c>
      <c r="R180">
        <v>21.22</v>
      </c>
      <c r="S180">
        <v>14.37</v>
      </c>
      <c r="T180">
        <v>182.65</v>
      </c>
      <c r="U180">
        <v>2476.7800000000002</v>
      </c>
      <c r="V180">
        <v>0</v>
      </c>
      <c r="W180">
        <v>0</v>
      </c>
      <c r="X180">
        <v>75511.53</v>
      </c>
      <c r="AA180" s="232">
        <f t="shared" si="4"/>
        <v>31918.801960000001</v>
      </c>
      <c r="AB180" s="232">
        <f t="shared" si="5"/>
        <v>41115.976200000005</v>
      </c>
    </row>
    <row r="181" spans="1:28" hidden="1">
      <c r="A181" t="s">
        <v>2522</v>
      </c>
      <c r="B181">
        <v>5352</v>
      </c>
      <c r="C181" t="s">
        <v>2625</v>
      </c>
      <c r="D181">
        <v>5697</v>
      </c>
      <c r="E181" t="s">
        <v>2344</v>
      </c>
      <c r="F181" t="s">
        <v>2036</v>
      </c>
      <c r="G181">
        <v>2022</v>
      </c>
      <c r="H181">
        <v>4</v>
      </c>
      <c r="I181" s="8">
        <v>44652</v>
      </c>
      <c r="J181">
        <v>320</v>
      </c>
      <c r="K181">
        <v>320</v>
      </c>
      <c r="L181">
        <v>107136</v>
      </c>
      <c r="M181">
        <v>14475</v>
      </c>
      <c r="N181">
        <v>107136</v>
      </c>
      <c r="O181">
        <v>14475</v>
      </c>
      <c r="P181">
        <v>0</v>
      </c>
      <c r="Q181">
        <v>11.83</v>
      </c>
      <c r="R181">
        <v>21.22</v>
      </c>
      <c r="S181">
        <v>14.37</v>
      </c>
      <c r="T181">
        <v>182.65</v>
      </c>
      <c r="U181">
        <v>1171.19</v>
      </c>
      <c r="V181">
        <v>0</v>
      </c>
      <c r="W181">
        <v>0</v>
      </c>
      <c r="X181">
        <v>35706.97</v>
      </c>
      <c r="AA181" s="232">
        <f t="shared" si="4"/>
        <v>12323.550069999999</v>
      </c>
      <c r="AB181" s="232">
        <f t="shared" si="5"/>
        <v>22212.24915</v>
      </c>
    </row>
    <row r="182" spans="1:28" hidden="1">
      <c r="A182" t="s">
        <v>2523</v>
      </c>
      <c r="B182">
        <v>5352</v>
      </c>
      <c r="C182" t="s">
        <v>2625</v>
      </c>
      <c r="D182">
        <v>5697</v>
      </c>
      <c r="E182" t="s">
        <v>2344</v>
      </c>
      <c r="F182" t="s">
        <v>2036</v>
      </c>
      <c r="G182">
        <v>2022</v>
      </c>
      <c r="H182">
        <v>4</v>
      </c>
      <c r="I182" s="8">
        <v>44652</v>
      </c>
      <c r="J182">
        <v>600</v>
      </c>
      <c r="K182">
        <v>600</v>
      </c>
      <c r="L182">
        <v>140024</v>
      </c>
      <c r="M182">
        <v>19459</v>
      </c>
      <c r="N182">
        <v>140024</v>
      </c>
      <c r="O182">
        <v>19459</v>
      </c>
      <c r="P182">
        <v>0</v>
      </c>
      <c r="Q182">
        <v>11.83</v>
      </c>
      <c r="R182">
        <v>21.22</v>
      </c>
      <c r="S182">
        <v>14.37</v>
      </c>
      <c r="T182">
        <v>182.65</v>
      </c>
      <c r="U182">
        <v>1738.05</v>
      </c>
      <c r="V182">
        <v>0</v>
      </c>
      <c r="W182">
        <v>0</v>
      </c>
      <c r="X182">
        <v>52989.37</v>
      </c>
      <c r="AA182" s="232">
        <f t="shared" si="4"/>
        <v>22121.770710000001</v>
      </c>
      <c r="AB182" s="232">
        <f t="shared" si="5"/>
        <v>29129.569950000001</v>
      </c>
    </row>
    <row r="183" spans="1:28" hidden="1">
      <c r="A183" t="s">
        <v>2524</v>
      </c>
      <c r="B183">
        <v>5352</v>
      </c>
      <c r="C183" t="s">
        <v>2625</v>
      </c>
      <c r="D183">
        <v>5697</v>
      </c>
      <c r="E183" t="s">
        <v>2344</v>
      </c>
      <c r="F183" t="s">
        <v>2036</v>
      </c>
      <c r="G183">
        <v>2022</v>
      </c>
      <c r="H183">
        <v>4</v>
      </c>
      <c r="I183" s="8">
        <v>44652</v>
      </c>
      <c r="J183">
        <v>1747</v>
      </c>
      <c r="K183">
        <v>1863</v>
      </c>
      <c r="L183">
        <v>588678</v>
      </c>
      <c r="M183">
        <v>85620</v>
      </c>
      <c r="N183">
        <v>588678</v>
      </c>
      <c r="O183">
        <v>85620</v>
      </c>
      <c r="P183">
        <v>0</v>
      </c>
      <c r="Q183">
        <v>11.83</v>
      </c>
      <c r="R183">
        <v>21.22</v>
      </c>
      <c r="S183">
        <v>14.37</v>
      </c>
      <c r="T183">
        <v>182.65</v>
      </c>
      <c r="U183">
        <v>6824.92</v>
      </c>
      <c r="V183">
        <v>0</v>
      </c>
      <c r="W183">
        <v>0</v>
      </c>
      <c r="X183">
        <v>208075.87</v>
      </c>
      <c r="AA183" s="232">
        <f t="shared" si="4"/>
        <v>69889.532259999993</v>
      </c>
      <c r="AB183" s="232">
        <f t="shared" si="5"/>
        <v>123160.5297</v>
      </c>
    </row>
    <row r="184" spans="1:28" hidden="1">
      <c r="A184" t="s">
        <v>2525</v>
      </c>
      <c r="B184">
        <v>5352</v>
      </c>
      <c r="C184" t="s">
        <v>2625</v>
      </c>
      <c r="D184">
        <v>5697</v>
      </c>
      <c r="E184" t="s">
        <v>2344</v>
      </c>
      <c r="F184" t="s">
        <v>2036</v>
      </c>
      <c r="G184">
        <v>2022</v>
      </c>
      <c r="H184">
        <v>4</v>
      </c>
      <c r="I184" s="8">
        <v>44652</v>
      </c>
      <c r="J184">
        <v>510</v>
      </c>
      <c r="K184">
        <v>570</v>
      </c>
      <c r="L184">
        <v>112091</v>
      </c>
      <c r="M184">
        <v>15484</v>
      </c>
      <c r="N184">
        <v>112091</v>
      </c>
      <c r="O184">
        <v>15484</v>
      </c>
      <c r="P184">
        <v>0</v>
      </c>
      <c r="Q184">
        <v>11.83</v>
      </c>
      <c r="R184">
        <v>21.22</v>
      </c>
      <c r="S184">
        <v>14.37</v>
      </c>
      <c r="T184">
        <v>182.65</v>
      </c>
      <c r="U184">
        <v>1467.15</v>
      </c>
      <c r="V184">
        <v>0</v>
      </c>
      <c r="W184">
        <v>-1726.6</v>
      </c>
      <c r="X184">
        <v>43004.06</v>
      </c>
      <c r="AA184" s="232">
        <f t="shared" si="4"/>
        <v>19961.95275</v>
      </c>
      <c r="AB184" s="232">
        <f t="shared" si="5"/>
        <v>23301.57375</v>
      </c>
    </row>
    <row r="185" spans="1:28" hidden="1">
      <c r="A185" t="s">
        <v>2526</v>
      </c>
      <c r="B185">
        <v>5352</v>
      </c>
      <c r="C185" t="s">
        <v>2625</v>
      </c>
      <c r="D185">
        <v>5697</v>
      </c>
      <c r="E185" t="s">
        <v>2344</v>
      </c>
      <c r="F185" t="s">
        <v>2036</v>
      </c>
      <c r="G185">
        <v>2022</v>
      </c>
      <c r="H185">
        <v>5</v>
      </c>
      <c r="I185" s="8">
        <v>44682</v>
      </c>
      <c r="J185">
        <v>1670</v>
      </c>
      <c r="K185">
        <v>1670</v>
      </c>
      <c r="L185">
        <v>496871</v>
      </c>
      <c r="M185">
        <v>65331</v>
      </c>
      <c r="N185">
        <v>496871</v>
      </c>
      <c r="O185">
        <v>65331</v>
      </c>
      <c r="P185">
        <v>0</v>
      </c>
      <c r="Q185">
        <v>11.83</v>
      </c>
      <c r="R185">
        <v>21.22</v>
      </c>
      <c r="S185">
        <v>14.37</v>
      </c>
      <c r="T185">
        <v>182.65</v>
      </c>
      <c r="U185">
        <v>3629.18</v>
      </c>
      <c r="V185">
        <v>0</v>
      </c>
      <c r="W185">
        <v>0</v>
      </c>
      <c r="X185">
        <v>169587.69</v>
      </c>
      <c r="AA185" s="232">
        <f t="shared" si="4"/>
        <v>63272.34274</v>
      </c>
      <c r="AB185" s="232">
        <f t="shared" si="5"/>
        <v>102686.19530000001</v>
      </c>
    </row>
    <row r="186" spans="1:28" hidden="1">
      <c r="A186" t="s">
        <v>2527</v>
      </c>
      <c r="B186">
        <v>5352</v>
      </c>
      <c r="C186" t="s">
        <v>2625</v>
      </c>
      <c r="D186">
        <v>5697</v>
      </c>
      <c r="E186" t="s">
        <v>2344</v>
      </c>
      <c r="F186" t="s">
        <v>2036</v>
      </c>
      <c r="G186">
        <v>2022</v>
      </c>
      <c r="H186">
        <v>5</v>
      </c>
      <c r="I186" s="8">
        <v>44682</v>
      </c>
      <c r="J186">
        <v>1450</v>
      </c>
      <c r="K186">
        <v>1450</v>
      </c>
      <c r="L186">
        <v>626941</v>
      </c>
      <c r="M186">
        <v>34971</v>
      </c>
      <c r="N186">
        <v>626941</v>
      </c>
      <c r="O186">
        <v>34971</v>
      </c>
      <c r="P186">
        <v>0</v>
      </c>
      <c r="Q186">
        <v>11.83</v>
      </c>
      <c r="R186">
        <v>21.22</v>
      </c>
      <c r="S186">
        <v>14.37</v>
      </c>
      <c r="T186">
        <v>182.65</v>
      </c>
      <c r="U186">
        <v>3899.77</v>
      </c>
      <c r="V186">
        <v>0</v>
      </c>
      <c r="W186">
        <v>0</v>
      </c>
      <c r="X186">
        <v>185018.29</v>
      </c>
      <c r="AA186" s="232">
        <f t="shared" si="4"/>
        <v>57434.175439999999</v>
      </c>
      <c r="AB186" s="232">
        <f t="shared" si="5"/>
        <v>120898.2268</v>
      </c>
    </row>
    <row r="187" spans="1:28" hidden="1">
      <c r="A187" t="s">
        <v>2528</v>
      </c>
      <c r="B187">
        <v>5352</v>
      </c>
      <c r="C187" t="s">
        <v>2625</v>
      </c>
      <c r="D187">
        <v>5697</v>
      </c>
      <c r="E187" t="s">
        <v>2344</v>
      </c>
      <c r="F187" t="s">
        <v>2036</v>
      </c>
      <c r="G187">
        <v>2022</v>
      </c>
      <c r="H187">
        <v>5</v>
      </c>
      <c r="I187" s="8">
        <v>44682</v>
      </c>
      <c r="J187">
        <v>120</v>
      </c>
      <c r="K187">
        <v>120</v>
      </c>
      <c r="L187">
        <v>11899</v>
      </c>
      <c r="M187">
        <v>1557</v>
      </c>
      <c r="N187">
        <v>11899</v>
      </c>
      <c r="O187">
        <v>1557</v>
      </c>
      <c r="P187">
        <v>0</v>
      </c>
      <c r="Q187">
        <v>11.83</v>
      </c>
      <c r="R187">
        <v>21.22</v>
      </c>
      <c r="S187">
        <v>14.37</v>
      </c>
      <c r="T187">
        <v>182.65</v>
      </c>
      <c r="U187">
        <v>144.69</v>
      </c>
      <c r="V187">
        <v>0</v>
      </c>
      <c r="W187">
        <v>0</v>
      </c>
      <c r="X187">
        <v>7566.95</v>
      </c>
      <c r="AA187" s="232">
        <f t="shared" si="4"/>
        <v>4159.3627199999992</v>
      </c>
      <c r="AB187" s="232">
        <f t="shared" si="5"/>
        <v>2457.7384000000002</v>
      </c>
    </row>
    <row r="188" spans="1:28" hidden="1">
      <c r="A188" t="s">
        <v>2529</v>
      </c>
      <c r="B188">
        <v>5352</v>
      </c>
      <c r="C188" t="s">
        <v>2625</v>
      </c>
      <c r="D188">
        <v>5697</v>
      </c>
      <c r="E188" t="s">
        <v>2344</v>
      </c>
      <c r="F188" t="s">
        <v>2036</v>
      </c>
      <c r="G188">
        <v>2022</v>
      </c>
      <c r="H188">
        <v>5</v>
      </c>
      <c r="I188" s="8">
        <v>44682</v>
      </c>
      <c r="J188">
        <v>2750</v>
      </c>
      <c r="K188">
        <v>2750</v>
      </c>
      <c r="L188">
        <v>900151</v>
      </c>
      <c r="M188">
        <v>115201</v>
      </c>
      <c r="N188">
        <v>836514</v>
      </c>
      <c r="O188">
        <v>115201</v>
      </c>
      <c r="P188">
        <v>63637</v>
      </c>
      <c r="Q188">
        <v>11.83</v>
      </c>
      <c r="R188">
        <v>21.22</v>
      </c>
      <c r="S188">
        <v>14.37</v>
      </c>
      <c r="T188">
        <v>182.65</v>
      </c>
      <c r="U188">
        <v>6107.94</v>
      </c>
      <c r="V188">
        <v>0</v>
      </c>
      <c r="W188">
        <v>0</v>
      </c>
      <c r="X188">
        <v>285416.77</v>
      </c>
      <c r="AA188" s="232">
        <f t="shared" si="4"/>
        <v>105478.10824</v>
      </c>
      <c r="AB188" s="232">
        <f t="shared" si="5"/>
        <v>173830.74475000001</v>
      </c>
    </row>
    <row r="189" spans="1:28" hidden="1">
      <c r="A189" t="s">
        <v>2530</v>
      </c>
      <c r="B189">
        <v>5352</v>
      </c>
      <c r="C189" t="s">
        <v>2625</v>
      </c>
      <c r="D189">
        <v>5697</v>
      </c>
      <c r="E189" t="s">
        <v>2344</v>
      </c>
      <c r="F189" t="s">
        <v>2036</v>
      </c>
      <c r="G189">
        <v>2022</v>
      </c>
      <c r="H189">
        <v>5</v>
      </c>
      <c r="I189" s="8">
        <v>44682</v>
      </c>
      <c r="J189">
        <v>510</v>
      </c>
      <c r="K189">
        <v>570</v>
      </c>
      <c r="L189">
        <v>90390</v>
      </c>
      <c r="M189">
        <v>11709</v>
      </c>
      <c r="N189">
        <v>90390</v>
      </c>
      <c r="O189">
        <v>11709</v>
      </c>
      <c r="P189">
        <v>0</v>
      </c>
      <c r="Q189">
        <v>11.83</v>
      </c>
      <c r="R189">
        <v>21.22</v>
      </c>
      <c r="S189">
        <v>14.37</v>
      </c>
      <c r="T189">
        <v>182.65</v>
      </c>
      <c r="U189">
        <v>836.32</v>
      </c>
      <c r="V189">
        <v>0</v>
      </c>
      <c r="W189">
        <v>0</v>
      </c>
      <c r="X189">
        <v>39080.54</v>
      </c>
      <c r="AA189" s="232">
        <f t="shared" si="4"/>
        <v>19595.86263</v>
      </c>
      <c r="AB189" s="232">
        <f t="shared" si="5"/>
        <v>18648.38235</v>
      </c>
    </row>
    <row r="190" spans="1:28" hidden="1">
      <c r="A190" t="s">
        <v>2531</v>
      </c>
      <c r="B190">
        <v>5352</v>
      </c>
      <c r="C190" t="s">
        <v>2625</v>
      </c>
      <c r="D190">
        <v>5697</v>
      </c>
      <c r="E190" t="s">
        <v>2344</v>
      </c>
      <c r="F190" t="s">
        <v>2036</v>
      </c>
      <c r="G190">
        <v>2022</v>
      </c>
      <c r="H190">
        <v>5</v>
      </c>
      <c r="I190" s="8">
        <v>44682</v>
      </c>
      <c r="J190">
        <v>600</v>
      </c>
      <c r="K190">
        <v>600</v>
      </c>
      <c r="L190">
        <v>84563</v>
      </c>
      <c r="M190">
        <v>11270</v>
      </c>
      <c r="N190">
        <v>84563</v>
      </c>
      <c r="O190">
        <v>11270</v>
      </c>
      <c r="P190">
        <v>0</v>
      </c>
      <c r="Q190">
        <v>11.83</v>
      </c>
      <c r="R190">
        <v>21.22</v>
      </c>
      <c r="S190">
        <v>14.37</v>
      </c>
      <c r="T190">
        <v>182.65</v>
      </c>
      <c r="U190">
        <v>846.52</v>
      </c>
      <c r="V190">
        <v>0</v>
      </c>
      <c r="W190">
        <v>0</v>
      </c>
      <c r="X190">
        <v>39904.42</v>
      </c>
      <c r="AA190" s="232">
        <f t="shared" si="4"/>
        <v>21207.120210000001</v>
      </c>
      <c r="AB190" s="232">
        <f t="shared" si="5"/>
        <v>17503.89745</v>
      </c>
    </row>
    <row r="191" spans="1:28" hidden="1">
      <c r="A191" t="s">
        <v>2532</v>
      </c>
      <c r="B191">
        <v>5352</v>
      </c>
      <c r="C191" t="s">
        <v>2625</v>
      </c>
      <c r="D191">
        <v>5697</v>
      </c>
      <c r="E191" t="s">
        <v>2344</v>
      </c>
      <c r="F191" t="s">
        <v>2036</v>
      </c>
      <c r="G191">
        <v>2022</v>
      </c>
      <c r="H191">
        <v>5</v>
      </c>
      <c r="I191" s="8">
        <v>44682</v>
      </c>
      <c r="J191">
        <v>900</v>
      </c>
      <c r="K191">
        <v>850</v>
      </c>
      <c r="L191">
        <v>182364</v>
      </c>
      <c r="M191">
        <v>24090</v>
      </c>
      <c r="N191">
        <v>182364</v>
      </c>
      <c r="O191">
        <v>24090</v>
      </c>
      <c r="P191">
        <v>0</v>
      </c>
      <c r="Q191">
        <v>11.83</v>
      </c>
      <c r="R191">
        <v>21.22</v>
      </c>
      <c r="S191">
        <v>14.37</v>
      </c>
      <c r="T191">
        <v>182.65</v>
      </c>
      <c r="U191">
        <v>1516.74</v>
      </c>
      <c r="V191">
        <v>0</v>
      </c>
      <c r="W191">
        <v>0</v>
      </c>
      <c r="X191">
        <v>70876.289999999994</v>
      </c>
      <c r="AA191" s="232">
        <f t="shared" si="4"/>
        <v>31650.743979999999</v>
      </c>
      <c r="AB191" s="232">
        <f t="shared" si="5"/>
        <v>37708.823100000001</v>
      </c>
    </row>
    <row r="192" spans="1:28" hidden="1">
      <c r="A192" t="s">
        <v>2533</v>
      </c>
      <c r="B192">
        <v>5352</v>
      </c>
      <c r="C192" t="s">
        <v>2625</v>
      </c>
      <c r="D192">
        <v>5697</v>
      </c>
      <c r="E192" t="s">
        <v>2344</v>
      </c>
      <c r="F192" t="s">
        <v>2036</v>
      </c>
      <c r="G192">
        <v>2022</v>
      </c>
      <c r="H192">
        <v>5</v>
      </c>
      <c r="I192" s="8">
        <v>44682</v>
      </c>
      <c r="J192">
        <v>700</v>
      </c>
      <c r="K192">
        <v>600</v>
      </c>
      <c r="L192">
        <v>203129</v>
      </c>
      <c r="M192">
        <v>27229</v>
      </c>
      <c r="N192">
        <v>203129</v>
      </c>
      <c r="O192">
        <v>27229</v>
      </c>
      <c r="P192">
        <v>0</v>
      </c>
      <c r="Q192">
        <v>11.83</v>
      </c>
      <c r="R192">
        <v>21.22</v>
      </c>
      <c r="S192">
        <v>14.37</v>
      </c>
      <c r="T192">
        <v>182.65</v>
      </c>
      <c r="U192">
        <v>1452</v>
      </c>
      <c r="V192">
        <v>0</v>
      </c>
      <c r="W192">
        <v>0</v>
      </c>
      <c r="X192">
        <v>67820.12</v>
      </c>
      <c r="AA192" s="232">
        <f t="shared" si="4"/>
        <v>24323.244460000002</v>
      </c>
      <c r="AB192" s="232">
        <f t="shared" si="5"/>
        <v>42074.888700000003</v>
      </c>
    </row>
    <row r="193" spans="1:28" hidden="1">
      <c r="A193" t="s">
        <v>2534</v>
      </c>
      <c r="B193">
        <v>5352</v>
      </c>
      <c r="C193" t="s">
        <v>2625</v>
      </c>
      <c r="D193">
        <v>5697</v>
      </c>
      <c r="E193" t="s">
        <v>2344</v>
      </c>
      <c r="F193" t="s">
        <v>2036</v>
      </c>
      <c r="G193">
        <v>2022</v>
      </c>
      <c r="H193">
        <v>5</v>
      </c>
      <c r="I193" s="8">
        <v>44682</v>
      </c>
      <c r="J193">
        <v>1300</v>
      </c>
      <c r="K193">
        <v>1350</v>
      </c>
      <c r="L193">
        <v>259781</v>
      </c>
      <c r="M193">
        <v>33729</v>
      </c>
      <c r="N193">
        <v>259781</v>
      </c>
      <c r="O193">
        <v>33729</v>
      </c>
      <c r="P193">
        <v>0</v>
      </c>
      <c r="Q193">
        <v>11.83</v>
      </c>
      <c r="R193">
        <v>21.22</v>
      </c>
      <c r="S193">
        <v>14.37</v>
      </c>
      <c r="T193">
        <v>182.65</v>
      </c>
      <c r="U193">
        <v>2227.33</v>
      </c>
      <c r="V193">
        <v>0</v>
      </c>
      <c r="W193">
        <v>0</v>
      </c>
      <c r="X193">
        <v>104080.65</v>
      </c>
      <c r="AA193" s="232">
        <f t="shared" si="4"/>
        <v>48243.738700000002</v>
      </c>
      <c r="AB193" s="232">
        <f t="shared" si="5"/>
        <v>53609.601499999997</v>
      </c>
    </row>
    <row r="194" spans="1:28" hidden="1">
      <c r="A194" t="s">
        <v>2535</v>
      </c>
      <c r="B194">
        <v>5352</v>
      </c>
      <c r="C194" t="s">
        <v>2625</v>
      </c>
      <c r="D194">
        <v>5697</v>
      </c>
      <c r="E194" t="s">
        <v>2344</v>
      </c>
      <c r="F194" t="s">
        <v>2036</v>
      </c>
      <c r="G194">
        <v>2022</v>
      </c>
      <c r="H194">
        <v>5</v>
      </c>
      <c r="I194" s="8">
        <v>44682</v>
      </c>
      <c r="J194">
        <v>320</v>
      </c>
      <c r="K194">
        <v>320</v>
      </c>
      <c r="L194">
        <v>103192</v>
      </c>
      <c r="M194">
        <v>12035</v>
      </c>
      <c r="N194">
        <v>103192</v>
      </c>
      <c r="O194">
        <v>12035</v>
      </c>
      <c r="P194">
        <v>0</v>
      </c>
      <c r="Q194">
        <v>11.83</v>
      </c>
      <c r="R194">
        <v>21.22</v>
      </c>
      <c r="S194">
        <v>14.37</v>
      </c>
      <c r="T194">
        <v>182.65</v>
      </c>
      <c r="U194">
        <v>727.72</v>
      </c>
      <c r="V194">
        <v>0</v>
      </c>
      <c r="W194">
        <v>0</v>
      </c>
      <c r="X194">
        <v>34005.72</v>
      </c>
      <c r="AA194" s="232">
        <f t="shared" si="4"/>
        <v>12231.81199</v>
      </c>
      <c r="AB194" s="232">
        <f t="shared" si="5"/>
        <v>21046.21155</v>
      </c>
    </row>
    <row r="195" spans="1:28" hidden="1">
      <c r="A195" t="s">
        <v>2536</v>
      </c>
      <c r="B195">
        <v>5352</v>
      </c>
      <c r="C195" t="s">
        <v>2625</v>
      </c>
      <c r="D195">
        <v>5697</v>
      </c>
      <c r="E195" t="s">
        <v>2344</v>
      </c>
      <c r="F195" t="s">
        <v>2036</v>
      </c>
      <c r="G195">
        <v>2022</v>
      </c>
      <c r="H195">
        <v>5</v>
      </c>
      <c r="I195" s="8">
        <v>44682</v>
      </c>
      <c r="J195">
        <v>810</v>
      </c>
      <c r="K195">
        <v>930</v>
      </c>
      <c r="L195">
        <v>177895</v>
      </c>
      <c r="M195">
        <v>25172</v>
      </c>
      <c r="N195">
        <v>177895</v>
      </c>
      <c r="O195">
        <v>25172</v>
      </c>
      <c r="P195">
        <v>0</v>
      </c>
      <c r="Q195">
        <v>11.83</v>
      </c>
      <c r="R195">
        <v>21.22</v>
      </c>
      <c r="S195">
        <v>14.37</v>
      </c>
      <c r="T195">
        <v>182.65</v>
      </c>
      <c r="U195">
        <v>1516</v>
      </c>
      <c r="V195">
        <v>0</v>
      </c>
      <c r="W195">
        <v>0</v>
      </c>
      <c r="X195">
        <v>70841.149999999994</v>
      </c>
      <c r="AA195" s="232">
        <f t="shared" ref="AA195:AA258" si="6">J195*Q195+K195*R195+((L195+M195)/1000)*S195</f>
        <v>32234.97279</v>
      </c>
      <c r="AB195" s="232">
        <f t="shared" ref="AB195:AB258" si="7">((N195+O195)/1000)*T195</f>
        <v>37090.187550000002</v>
      </c>
    </row>
    <row r="196" spans="1:28" hidden="1">
      <c r="A196" t="s">
        <v>2537</v>
      </c>
      <c r="B196">
        <v>5352</v>
      </c>
      <c r="C196" t="s">
        <v>2625</v>
      </c>
      <c r="D196">
        <v>5697</v>
      </c>
      <c r="E196" t="s">
        <v>2344</v>
      </c>
      <c r="F196" t="s">
        <v>2036</v>
      </c>
      <c r="G196">
        <v>2022</v>
      </c>
      <c r="H196">
        <v>5</v>
      </c>
      <c r="I196" s="8">
        <v>44682</v>
      </c>
      <c r="J196">
        <v>600</v>
      </c>
      <c r="K196">
        <v>600</v>
      </c>
      <c r="L196">
        <v>154081</v>
      </c>
      <c r="M196">
        <v>17879</v>
      </c>
      <c r="N196">
        <v>154081</v>
      </c>
      <c r="O196">
        <v>17879</v>
      </c>
      <c r="P196">
        <v>0</v>
      </c>
      <c r="Q196">
        <v>11.83</v>
      </c>
      <c r="R196">
        <v>21.22</v>
      </c>
      <c r="S196">
        <v>14.37</v>
      </c>
      <c r="T196">
        <v>182.65</v>
      </c>
      <c r="U196">
        <v>1174.52</v>
      </c>
      <c r="V196">
        <v>0</v>
      </c>
      <c r="W196">
        <v>0</v>
      </c>
      <c r="X196">
        <v>54884.06</v>
      </c>
      <c r="AA196" s="232">
        <f t="shared" si="6"/>
        <v>22301.065200000001</v>
      </c>
      <c r="AB196" s="232">
        <f t="shared" si="7"/>
        <v>31408.494000000002</v>
      </c>
    </row>
    <row r="197" spans="1:28" hidden="1">
      <c r="A197" t="s">
        <v>2538</v>
      </c>
      <c r="B197">
        <v>5352</v>
      </c>
      <c r="C197" t="s">
        <v>2625</v>
      </c>
      <c r="D197">
        <v>5697</v>
      </c>
      <c r="E197" t="s">
        <v>2344</v>
      </c>
      <c r="F197" t="s">
        <v>2036</v>
      </c>
      <c r="G197">
        <v>2022</v>
      </c>
      <c r="H197">
        <v>5</v>
      </c>
      <c r="I197" s="8">
        <v>44682</v>
      </c>
      <c r="J197">
        <v>480</v>
      </c>
      <c r="K197">
        <v>550</v>
      </c>
      <c r="L197">
        <v>150016</v>
      </c>
      <c r="M197">
        <v>19162</v>
      </c>
      <c r="N197">
        <v>150016</v>
      </c>
      <c r="O197">
        <v>19126</v>
      </c>
      <c r="P197">
        <v>0</v>
      </c>
      <c r="Q197">
        <v>11.83</v>
      </c>
      <c r="R197">
        <v>21.22</v>
      </c>
      <c r="S197">
        <v>14.37</v>
      </c>
      <c r="T197">
        <v>182.65</v>
      </c>
      <c r="U197">
        <v>1108.1400000000001</v>
      </c>
      <c r="V197">
        <v>0</v>
      </c>
      <c r="W197">
        <v>0</v>
      </c>
      <c r="X197">
        <v>51781.88</v>
      </c>
      <c r="AA197" s="232">
        <f t="shared" si="6"/>
        <v>19780.487860000001</v>
      </c>
      <c r="AB197" s="232">
        <f t="shared" si="7"/>
        <v>30893.7863</v>
      </c>
    </row>
    <row r="198" spans="1:28" hidden="1">
      <c r="A198" t="s">
        <v>2539</v>
      </c>
      <c r="B198">
        <v>5352</v>
      </c>
      <c r="C198" t="s">
        <v>2625</v>
      </c>
      <c r="D198">
        <v>5697</v>
      </c>
      <c r="E198" t="s">
        <v>2344</v>
      </c>
      <c r="F198" t="s">
        <v>2036</v>
      </c>
      <c r="G198">
        <v>2022</v>
      </c>
      <c r="H198">
        <v>5</v>
      </c>
      <c r="I198" s="8">
        <v>44682</v>
      </c>
      <c r="J198">
        <v>250</v>
      </c>
      <c r="K198">
        <v>250</v>
      </c>
      <c r="L198">
        <v>55580</v>
      </c>
      <c r="M198">
        <v>7657</v>
      </c>
      <c r="N198">
        <v>55580</v>
      </c>
      <c r="O198">
        <v>7657</v>
      </c>
      <c r="P198">
        <v>0</v>
      </c>
      <c r="Q198">
        <v>11.83</v>
      </c>
      <c r="R198">
        <v>21.22</v>
      </c>
      <c r="S198">
        <v>14.37</v>
      </c>
      <c r="T198">
        <v>182.65</v>
      </c>
      <c r="U198">
        <v>453.13</v>
      </c>
      <c r="V198">
        <v>0</v>
      </c>
      <c r="W198">
        <v>0</v>
      </c>
      <c r="X198">
        <v>25040.06</v>
      </c>
      <c r="AA198" s="232">
        <f t="shared" si="6"/>
        <v>9171.2156900000009</v>
      </c>
      <c r="AB198" s="232">
        <f t="shared" si="7"/>
        <v>11550.23805</v>
      </c>
    </row>
    <row r="199" spans="1:28" hidden="1">
      <c r="A199" t="s">
        <v>2540</v>
      </c>
      <c r="B199">
        <v>5352</v>
      </c>
      <c r="C199" t="s">
        <v>2625</v>
      </c>
      <c r="D199">
        <v>5697</v>
      </c>
      <c r="E199" t="s">
        <v>2344</v>
      </c>
      <c r="F199" t="s">
        <v>2036</v>
      </c>
      <c r="G199">
        <v>2022</v>
      </c>
      <c r="H199">
        <v>5</v>
      </c>
      <c r="I199" s="8">
        <v>44682</v>
      </c>
      <c r="J199">
        <v>970</v>
      </c>
      <c r="K199">
        <v>970</v>
      </c>
      <c r="L199">
        <v>235451</v>
      </c>
      <c r="M199">
        <v>30455</v>
      </c>
      <c r="N199">
        <v>235451</v>
      </c>
      <c r="O199">
        <v>30455</v>
      </c>
      <c r="P199">
        <v>0</v>
      </c>
      <c r="Q199">
        <v>11.83</v>
      </c>
      <c r="R199">
        <v>21.22</v>
      </c>
      <c r="S199">
        <v>14.37</v>
      </c>
      <c r="T199">
        <v>182.65</v>
      </c>
      <c r="U199">
        <v>1846.69</v>
      </c>
      <c r="V199">
        <v>0</v>
      </c>
      <c r="W199">
        <v>0</v>
      </c>
      <c r="X199">
        <v>86293.97</v>
      </c>
      <c r="AA199" s="232">
        <f t="shared" si="6"/>
        <v>35879.569219999998</v>
      </c>
      <c r="AB199" s="232">
        <f t="shared" si="7"/>
        <v>48567.730900000002</v>
      </c>
    </row>
    <row r="200" spans="1:28" hidden="1">
      <c r="A200" t="s">
        <v>2541</v>
      </c>
      <c r="B200">
        <v>5352</v>
      </c>
      <c r="C200" t="s">
        <v>2625</v>
      </c>
      <c r="D200">
        <v>5697</v>
      </c>
      <c r="E200" t="s">
        <v>2344</v>
      </c>
      <c r="F200" t="s">
        <v>2036</v>
      </c>
      <c r="G200">
        <v>2022</v>
      </c>
      <c r="H200">
        <v>5</v>
      </c>
      <c r="I200" s="8">
        <v>44682</v>
      </c>
      <c r="J200">
        <v>450</v>
      </c>
      <c r="K200">
        <v>450</v>
      </c>
      <c r="L200">
        <v>129306</v>
      </c>
      <c r="M200">
        <v>15459</v>
      </c>
      <c r="N200">
        <v>129306</v>
      </c>
      <c r="O200">
        <v>15459</v>
      </c>
      <c r="P200">
        <v>0</v>
      </c>
      <c r="Q200">
        <v>11.83</v>
      </c>
      <c r="R200">
        <v>21.22</v>
      </c>
      <c r="S200">
        <v>14.37</v>
      </c>
      <c r="T200">
        <v>182.65</v>
      </c>
      <c r="U200">
        <v>948.94</v>
      </c>
      <c r="V200">
        <v>0</v>
      </c>
      <c r="W200">
        <v>0</v>
      </c>
      <c r="X200">
        <v>44343.02</v>
      </c>
      <c r="AA200" s="232">
        <f t="shared" si="6"/>
        <v>16952.77305</v>
      </c>
      <c r="AB200" s="232">
        <f t="shared" si="7"/>
        <v>26441.327249999998</v>
      </c>
    </row>
    <row r="201" spans="1:28" hidden="1">
      <c r="A201" t="s">
        <v>2542</v>
      </c>
      <c r="B201">
        <v>5352</v>
      </c>
      <c r="C201" t="s">
        <v>2625</v>
      </c>
      <c r="D201">
        <v>5697</v>
      </c>
      <c r="E201" t="s">
        <v>2344</v>
      </c>
      <c r="F201" t="s">
        <v>2036</v>
      </c>
      <c r="G201">
        <v>2022</v>
      </c>
      <c r="H201">
        <v>5</v>
      </c>
      <c r="I201" s="8">
        <v>44682</v>
      </c>
      <c r="J201">
        <v>843</v>
      </c>
      <c r="K201">
        <v>820</v>
      </c>
      <c r="L201">
        <v>272341</v>
      </c>
      <c r="M201">
        <v>32396</v>
      </c>
      <c r="N201">
        <v>272341</v>
      </c>
      <c r="O201">
        <v>32396</v>
      </c>
      <c r="P201">
        <v>0</v>
      </c>
      <c r="Q201">
        <v>11.83</v>
      </c>
      <c r="R201">
        <v>21.22</v>
      </c>
      <c r="S201">
        <v>14.37</v>
      </c>
      <c r="T201">
        <v>182.65</v>
      </c>
      <c r="U201">
        <v>1911.62</v>
      </c>
      <c r="V201">
        <v>0</v>
      </c>
      <c r="W201">
        <v>0</v>
      </c>
      <c r="X201">
        <v>89328.23</v>
      </c>
      <c r="AA201" s="232">
        <f t="shared" si="6"/>
        <v>31752.160689999997</v>
      </c>
      <c r="AB201" s="232">
        <f t="shared" si="7"/>
        <v>55660.213050000006</v>
      </c>
    </row>
    <row r="202" spans="1:28" hidden="1">
      <c r="A202" t="s">
        <v>2543</v>
      </c>
      <c r="B202">
        <v>5352</v>
      </c>
      <c r="C202" t="s">
        <v>2625</v>
      </c>
      <c r="D202">
        <v>5697</v>
      </c>
      <c r="E202" t="s">
        <v>2344</v>
      </c>
      <c r="F202" t="s">
        <v>2036</v>
      </c>
      <c r="G202">
        <v>2022</v>
      </c>
      <c r="H202">
        <v>6</v>
      </c>
      <c r="I202" s="8">
        <v>44713</v>
      </c>
      <c r="J202">
        <v>1670</v>
      </c>
      <c r="K202">
        <v>1670</v>
      </c>
      <c r="L202">
        <v>487822</v>
      </c>
      <c r="M202">
        <v>72625</v>
      </c>
      <c r="N202">
        <v>487822</v>
      </c>
      <c r="O202">
        <v>72625</v>
      </c>
      <c r="P202">
        <v>0</v>
      </c>
      <c r="Q202">
        <v>11.83</v>
      </c>
      <c r="R202">
        <v>21.22</v>
      </c>
      <c r="S202">
        <v>14.37</v>
      </c>
      <c r="T202">
        <v>182.65</v>
      </c>
      <c r="U202">
        <v>5386.46</v>
      </c>
      <c r="V202">
        <v>0</v>
      </c>
      <c r="W202">
        <v>-22261.360000000001</v>
      </c>
      <c r="X202">
        <v>148737.85</v>
      </c>
      <c r="AA202" s="232">
        <f t="shared" si="6"/>
        <v>63247.123390000001</v>
      </c>
      <c r="AB202" s="232">
        <f t="shared" si="7"/>
        <v>102365.64455</v>
      </c>
    </row>
    <row r="203" spans="1:28" hidden="1">
      <c r="A203" t="s">
        <v>2544</v>
      </c>
      <c r="B203">
        <v>5352</v>
      </c>
      <c r="C203" t="s">
        <v>2625</v>
      </c>
      <c r="D203">
        <v>5697</v>
      </c>
      <c r="E203" t="s">
        <v>2344</v>
      </c>
      <c r="F203" t="s">
        <v>2036</v>
      </c>
      <c r="G203">
        <v>2022</v>
      </c>
      <c r="H203">
        <v>6</v>
      </c>
      <c r="I203" s="8">
        <v>44713</v>
      </c>
      <c r="J203">
        <v>1450</v>
      </c>
      <c r="K203">
        <v>1450</v>
      </c>
      <c r="L203">
        <v>661892</v>
      </c>
      <c r="M203">
        <v>36743</v>
      </c>
      <c r="N203">
        <v>661892</v>
      </c>
      <c r="O203">
        <v>36743</v>
      </c>
      <c r="P203">
        <v>0</v>
      </c>
      <c r="Q203">
        <v>11.83</v>
      </c>
      <c r="R203">
        <v>21.22</v>
      </c>
      <c r="S203">
        <v>14.37</v>
      </c>
      <c r="T203">
        <v>182.65</v>
      </c>
      <c r="U203">
        <v>6035.5</v>
      </c>
      <c r="V203">
        <v>0</v>
      </c>
      <c r="W203">
        <v>-485.95</v>
      </c>
      <c r="X203">
        <v>191117.09</v>
      </c>
      <c r="AA203" s="232">
        <f t="shared" si="6"/>
        <v>57961.88495</v>
      </c>
      <c r="AB203" s="232">
        <f t="shared" si="7"/>
        <v>127605.68275000001</v>
      </c>
    </row>
    <row r="204" spans="1:28" hidden="1">
      <c r="A204" t="s">
        <v>2545</v>
      </c>
      <c r="B204">
        <v>5352</v>
      </c>
      <c r="C204" t="s">
        <v>2625</v>
      </c>
      <c r="D204">
        <v>5697</v>
      </c>
      <c r="E204" t="s">
        <v>2344</v>
      </c>
      <c r="F204" t="s">
        <v>2036</v>
      </c>
      <c r="G204">
        <v>2022</v>
      </c>
      <c r="H204">
        <v>6</v>
      </c>
      <c r="I204" s="8">
        <v>44713</v>
      </c>
      <c r="J204">
        <v>2750</v>
      </c>
      <c r="K204">
        <v>2750</v>
      </c>
      <c r="L204">
        <v>874968</v>
      </c>
      <c r="M204">
        <v>132576</v>
      </c>
      <c r="N204">
        <v>802781</v>
      </c>
      <c r="O204">
        <v>132576</v>
      </c>
      <c r="P204">
        <v>72187</v>
      </c>
      <c r="Q204">
        <v>11.83</v>
      </c>
      <c r="R204">
        <v>21.22</v>
      </c>
      <c r="S204">
        <v>14.37</v>
      </c>
      <c r="T204">
        <v>182.65</v>
      </c>
      <c r="U204">
        <v>8983.57</v>
      </c>
      <c r="V204">
        <v>0</v>
      </c>
      <c r="W204">
        <v>0</v>
      </c>
      <c r="X204">
        <v>285192.40999999997</v>
      </c>
      <c r="AA204" s="232">
        <f t="shared" si="6"/>
        <v>105365.90728</v>
      </c>
      <c r="AB204" s="232">
        <f t="shared" si="7"/>
        <v>170842.95605000001</v>
      </c>
    </row>
    <row r="205" spans="1:28" hidden="1">
      <c r="A205" t="s">
        <v>2546</v>
      </c>
      <c r="B205">
        <v>5352</v>
      </c>
      <c r="C205" t="s">
        <v>2625</v>
      </c>
      <c r="D205">
        <v>5697</v>
      </c>
      <c r="E205" t="s">
        <v>2344</v>
      </c>
      <c r="F205" t="s">
        <v>2036</v>
      </c>
      <c r="G205">
        <v>2022</v>
      </c>
      <c r="H205">
        <v>6</v>
      </c>
      <c r="I205" s="8">
        <v>44713</v>
      </c>
      <c r="J205">
        <v>450</v>
      </c>
      <c r="K205">
        <v>450</v>
      </c>
      <c r="L205">
        <v>129662</v>
      </c>
      <c r="M205">
        <v>17372</v>
      </c>
      <c r="N205">
        <v>129662</v>
      </c>
      <c r="O205">
        <v>17372</v>
      </c>
      <c r="P205">
        <v>0</v>
      </c>
      <c r="Q205">
        <v>11.83</v>
      </c>
      <c r="R205">
        <v>21.22</v>
      </c>
      <c r="S205">
        <v>14.37</v>
      </c>
      <c r="T205">
        <v>182.65</v>
      </c>
      <c r="U205">
        <v>1425.9</v>
      </c>
      <c r="V205">
        <v>0</v>
      </c>
      <c r="W205">
        <v>-2508.44</v>
      </c>
      <c r="X205">
        <v>42758.58</v>
      </c>
      <c r="AA205" s="232">
        <f t="shared" si="6"/>
        <v>16985.378580000001</v>
      </c>
      <c r="AB205" s="232">
        <f t="shared" si="7"/>
        <v>26855.7601</v>
      </c>
    </row>
    <row r="206" spans="1:28" hidden="1">
      <c r="A206" t="s">
        <v>2547</v>
      </c>
      <c r="B206">
        <v>5352</v>
      </c>
      <c r="C206" t="s">
        <v>2625</v>
      </c>
      <c r="D206">
        <v>5697</v>
      </c>
      <c r="E206" t="s">
        <v>2344</v>
      </c>
      <c r="F206" t="s">
        <v>2036</v>
      </c>
      <c r="G206">
        <v>2022</v>
      </c>
      <c r="H206">
        <v>6</v>
      </c>
      <c r="I206" s="8">
        <v>44713</v>
      </c>
      <c r="J206">
        <v>700</v>
      </c>
      <c r="K206">
        <v>629</v>
      </c>
      <c r="L206">
        <v>196821</v>
      </c>
      <c r="M206">
        <v>30289</v>
      </c>
      <c r="N206">
        <v>196821</v>
      </c>
      <c r="O206">
        <v>30289</v>
      </c>
      <c r="P206">
        <v>0</v>
      </c>
      <c r="Q206">
        <v>11.83</v>
      </c>
      <c r="R206">
        <v>21.22</v>
      </c>
      <c r="S206">
        <v>14.37</v>
      </c>
      <c r="T206">
        <v>182.65</v>
      </c>
      <c r="U206">
        <v>2158.7600000000002</v>
      </c>
      <c r="V206">
        <v>0</v>
      </c>
      <c r="W206">
        <v>-4142.2700000000004</v>
      </c>
      <c r="X206">
        <v>64389.84</v>
      </c>
      <c r="AA206" s="232">
        <f t="shared" si="6"/>
        <v>24891.950699999998</v>
      </c>
      <c r="AB206" s="232">
        <f t="shared" si="7"/>
        <v>41481.641500000005</v>
      </c>
    </row>
    <row r="207" spans="1:28" hidden="1">
      <c r="A207" t="s">
        <v>2548</v>
      </c>
      <c r="B207">
        <v>5352</v>
      </c>
      <c r="C207" t="s">
        <v>2625</v>
      </c>
      <c r="D207">
        <v>5697</v>
      </c>
      <c r="E207" t="s">
        <v>2344</v>
      </c>
      <c r="F207" t="s">
        <v>2036</v>
      </c>
      <c r="G207">
        <v>2022</v>
      </c>
      <c r="H207">
        <v>6</v>
      </c>
      <c r="I207" s="8">
        <v>44713</v>
      </c>
      <c r="J207">
        <v>970</v>
      </c>
      <c r="K207">
        <v>970</v>
      </c>
      <c r="L207">
        <v>253421</v>
      </c>
      <c r="M207">
        <v>37033</v>
      </c>
      <c r="N207">
        <v>253421</v>
      </c>
      <c r="O207">
        <v>37033</v>
      </c>
      <c r="P207">
        <v>0</v>
      </c>
      <c r="Q207">
        <v>11.83</v>
      </c>
      <c r="R207">
        <v>21.22</v>
      </c>
      <c r="S207">
        <v>14.37</v>
      </c>
      <c r="T207">
        <v>182.65</v>
      </c>
      <c r="U207">
        <v>2903.92</v>
      </c>
      <c r="V207">
        <v>0</v>
      </c>
      <c r="W207">
        <v>-3837.83</v>
      </c>
      <c r="X207">
        <v>88349.81</v>
      </c>
      <c r="AA207" s="232">
        <f t="shared" si="6"/>
        <v>36232.323980000001</v>
      </c>
      <c r="AB207" s="232">
        <f t="shared" si="7"/>
        <v>53051.4231</v>
      </c>
    </row>
    <row r="208" spans="1:28" hidden="1">
      <c r="A208" t="s">
        <v>2549</v>
      </c>
      <c r="B208">
        <v>5352</v>
      </c>
      <c r="C208" t="s">
        <v>2625</v>
      </c>
      <c r="D208">
        <v>5697</v>
      </c>
      <c r="E208" t="s">
        <v>2344</v>
      </c>
      <c r="F208" t="s">
        <v>2036</v>
      </c>
      <c r="G208">
        <v>2022</v>
      </c>
      <c r="H208">
        <v>6</v>
      </c>
      <c r="I208" s="8">
        <v>44713</v>
      </c>
      <c r="J208">
        <v>510</v>
      </c>
      <c r="K208">
        <v>570</v>
      </c>
      <c r="L208">
        <v>84409</v>
      </c>
      <c r="M208">
        <v>13114</v>
      </c>
      <c r="N208">
        <v>84409</v>
      </c>
      <c r="O208">
        <v>13114</v>
      </c>
      <c r="P208">
        <v>0</v>
      </c>
      <c r="Q208">
        <v>11.83</v>
      </c>
      <c r="R208">
        <v>21.22</v>
      </c>
      <c r="S208">
        <v>14.37</v>
      </c>
      <c r="T208">
        <v>182.65</v>
      </c>
      <c r="U208">
        <v>1214.57</v>
      </c>
      <c r="V208">
        <v>0</v>
      </c>
      <c r="W208">
        <v>-1935.58</v>
      </c>
      <c r="X208">
        <v>36621.64</v>
      </c>
      <c r="AA208" s="232">
        <f t="shared" si="6"/>
        <v>19530.105510000001</v>
      </c>
      <c r="AB208" s="232">
        <f t="shared" si="7"/>
        <v>17812.575949999999</v>
      </c>
    </row>
    <row r="209" spans="1:28" hidden="1">
      <c r="A209" t="s">
        <v>2550</v>
      </c>
      <c r="B209">
        <v>5352</v>
      </c>
      <c r="C209" t="s">
        <v>2625</v>
      </c>
      <c r="D209">
        <v>5697</v>
      </c>
      <c r="E209" t="s">
        <v>2344</v>
      </c>
      <c r="F209" t="s">
        <v>2036</v>
      </c>
      <c r="G209">
        <v>2022</v>
      </c>
      <c r="H209">
        <v>6</v>
      </c>
      <c r="I209" s="8">
        <v>44713</v>
      </c>
      <c r="J209">
        <v>480</v>
      </c>
      <c r="K209">
        <v>550</v>
      </c>
      <c r="L209">
        <v>142939</v>
      </c>
      <c r="M209">
        <v>22083</v>
      </c>
      <c r="N209">
        <v>142939</v>
      </c>
      <c r="O209">
        <v>22083</v>
      </c>
      <c r="P209">
        <v>0</v>
      </c>
      <c r="Q209">
        <v>11.83</v>
      </c>
      <c r="R209">
        <v>21.22</v>
      </c>
      <c r="S209">
        <v>14.37</v>
      </c>
      <c r="T209">
        <v>182.65</v>
      </c>
      <c r="U209">
        <v>1621.72</v>
      </c>
      <c r="V209">
        <v>0</v>
      </c>
      <c r="W209">
        <v>0</v>
      </c>
      <c r="X209">
        <v>51483.73</v>
      </c>
      <c r="AA209" s="232">
        <f t="shared" si="6"/>
        <v>19720.76614</v>
      </c>
      <c r="AB209" s="232">
        <f t="shared" si="7"/>
        <v>30141.2683</v>
      </c>
    </row>
    <row r="210" spans="1:28" hidden="1">
      <c r="A210" t="s">
        <v>2551</v>
      </c>
      <c r="B210">
        <v>5352</v>
      </c>
      <c r="C210" t="s">
        <v>2625</v>
      </c>
      <c r="D210">
        <v>5697</v>
      </c>
      <c r="E210" t="s">
        <v>2344</v>
      </c>
      <c r="F210" t="s">
        <v>2036</v>
      </c>
      <c r="G210">
        <v>2022</v>
      </c>
      <c r="H210">
        <v>6</v>
      </c>
      <c r="I210" s="8">
        <v>44713</v>
      </c>
      <c r="J210">
        <v>1300</v>
      </c>
      <c r="K210">
        <v>1350</v>
      </c>
      <c r="L210">
        <v>178496</v>
      </c>
      <c r="M210">
        <v>28769</v>
      </c>
      <c r="N210">
        <v>178496</v>
      </c>
      <c r="O210">
        <v>28769</v>
      </c>
      <c r="P210">
        <v>0</v>
      </c>
      <c r="Q210">
        <v>11.83</v>
      </c>
      <c r="R210">
        <v>21.22</v>
      </c>
      <c r="S210">
        <v>14.37</v>
      </c>
      <c r="T210">
        <v>182.65</v>
      </c>
      <c r="U210">
        <v>2760.06</v>
      </c>
      <c r="V210">
        <v>0</v>
      </c>
      <c r="W210">
        <v>0</v>
      </c>
      <c r="X210">
        <v>87621.39</v>
      </c>
      <c r="AA210" s="232">
        <f t="shared" si="6"/>
        <v>47004.398050000003</v>
      </c>
      <c r="AB210" s="232">
        <f t="shared" si="7"/>
        <v>37856.952250000002</v>
      </c>
    </row>
    <row r="211" spans="1:28" hidden="1">
      <c r="A211" t="s">
        <v>2552</v>
      </c>
      <c r="B211">
        <v>5352</v>
      </c>
      <c r="C211" t="s">
        <v>2625</v>
      </c>
      <c r="D211">
        <v>5697</v>
      </c>
      <c r="E211" t="s">
        <v>2344</v>
      </c>
      <c r="F211" t="s">
        <v>2036</v>
      </c>
      <c r="G211">
        <v>2022</v>
      </c>
      <c r="H211">
        <v>6</v>
      </c>
      <c r="I211" s="8">
        <v>44713</v>
      </c>
      <c r="J211">
        <v>820</v>
      </c>
      <c r="K211">
        <v>820</v>
      </c>
      <c r="L211">
        <v>269089</v>
      </c>
      <c r="M211">
        <v>35429</v>
      </c>
      <c r="N211">
        <v>269089</v>
      </c>
      <c r="O211">
        <v>35429</v>
      </c>
      <c r="P211">
        <v>0</v>
      </c>
      <c r="Q211">
        <v>11.83</v>
      </c>
      <c r="R211">
        <v>21.22</v>
      </c>
      <c r="S211">
        <v>14.37</v>
      </c>
      <c r="T211">
        <v>182.65</v>
      </c>
      <c r="U211">
        <v>2832.79</v>
      </c>
      <c r="V211">
        <v>0</v>
      </c>
      <c r="W211">
        <v>-6168.28</v>
      </c>
      <c r="X211">
        <v>83761.62</v>
      </c>
      <c r="AA211" s="232">
        <f t="shared" si="6"/>
        <v>31476.92366</v>
      </c>
      <c r="AB211" s="232">
        <f t="shared" si="7"/>
        <v>55620.212699999996</v>
      </c>
    </row>
    <row r="212" spans="1:28" hidden="1">
      <c r="A212" t="s">
        <v>2553</v>
      </c>
      <c r="B212">
        <v>5352</v>
      </c>
      <c r="C212" t="s">
        <v>2625</v>
      </c>
      <c r="D212">
        <v>5697</v>
      </c>
      <c r="E212" t="s">
        <v>2344</v>
      </c>
      <c r="F212" t="s">
        <v>2036</v>
      </c>
      <c r="G212">
        <v>2022</v>
      </c>
      <c r="H212">
        <v>6</v>
      </c>
      <c r="I212" s="8">
        <v>44713</v>
      </c>
      <c r="J212">
        <v>810</v>
      </c>
      <c r="K212">
        <v>930</v>
      </c>
      <c r="L212">
        <v>180734</v>
      </c>
      <c r="M212">
        <v>28111</v>
      </c>
      <c r="N212">
        <v>180734</v>
      </c>
      <c r="O212">
        <v>28111</v>
      </c>
      <c r="P212">
        <v>0</v>
      </c>
      <c r="Q212">
        <v>11.83</v>
      </c>
      <c r="R212">
        <v>21.22</v>
      </c>
      <c r="S212">
        <v>14.37</v>
      </c>
      <c r="T212">
        <v>182.65</v>
      </c>
      <c r="U212">
        <v>2291.79</v>
      </c>
      <c r="V212">
        <v>0</v>
      </c>
      <c r="W212">
        <v>0</v>
      </c>
      <c r="X212">
        <v>72755.31</v>
      </c>
      <c r="AA212" s="232">
        <f t="shared" si="6"/>
        <v>32318.002649999999</v>
      </c>
      <c r="AB212" s="232">
        <f t="shared" si="7"/>
        <v>38145.539250000002</v>
      </c>
    </row>
    <row r="213" spans="1:28" hidden="1">
      <c r="A213" t="s">
        <v>2554</v>
      </c>
      <c r="B213">
        <v>5352</v>
      </c>
      <c r="C213" t="s">
        <v>2625</v>
      </c>
      <c r="D213">
        <v>5697</v>
      </c>
      <c r="E213" t="s">
        <v>2344</v>
      </c>
      <c r="F213" t="s">
        <v>2036</v>
      </c>
      <c r="G213">
        <v>2022</v>
      </c>
      <c r="H213">
        <v>6</v>
      </c>
      <c r="I213" s="8">
        <v>44713</v>
      </c>
      <c r="J213">
        <v>250</v>
      </c>
      <c r="K213">
        <v>250</v>
      </c>
      <c r="L213">
        <v>56845</v>
      </c>
      <c r="M213">
        <v>8341</v>
      </c>
      <c r="N213">
        <v>56845</v>
      </c>
      <c r="O213">
        <v>8341</v>
      </c>
      <c r="P213">
        <v>0</v>
      </c>
      <c r="Q213">
        <v>11.83</v>
      </c>
      <c r="R213">
        <v>21.22</v>
      </c>
      <c r="S213">
        <v>14.37</v>
      </c>
      <c r="T213">
        <v>182.65</v>
      </c>
      <c r="U213">
        <v>686.43</v>
      </c>
      <c r="V213">
        <v>0</v>
      </c>
      <c r="W213">
        <v>0</v>
      </c>
      <c r="X213">
        <v>25657.35</v>
      </c>
      <c r="AA213" s="232">
        <f t="shared" si="6"/>
        <v>9199.2228200000009</v>
      </c>
      <c r="AB213" s="232">
        <f t="shared" si="7"/>
        <v>11906.222900000002</v>
      </c>
    </row>
    <row r="214" spans="1:28" hidden="1">
      <c r="A214" t="s">
        <v>2555</v>
      </c>
      <c r="B214">
        <v>5352</v>
      </c>
      <c r="C214" t="s">
        <v>2625</v>
      </c>
      <c r="D214">
        <v>5697</v>
      </c>
      <c r="E214" t="s">
        <v>2344</v>
      </c>
      <c r="F214" t="s">
        <v>2036</v>
      </c>
      <c r="G214">
        <v>2022</v>
      </c>
      <c r="H214">
        <v>6</v>
      </c>
      <c r="I214" s="8">
        <v>44713</v>
      </c>
      <c r="J214">
        <v>120</v>
      </c>
      <c r="K214">
        <v>120</v>
      </c>
      <c r="L214">
        <v>11416</v>
      </c>
      <c r="M214">
        <v>1832</v>
      </c>
      <c r="N214">
        <v>11416</v>
      </c>
      <c r="O214">
        <v>1832</v>
      </c>
      <c r="P214">
        <v>0</v>
      </c>
      <c r="Q214">
        <v>11.83</v>
      </c>
      <c r="R214">
        <v>21.22</v>
      </c>
      <c r="S214">
        <v>14.37</v>
      </c>
      <c r="T214">
        <v>182.65</v>
      </c>
      <c r="U214">
        <v>213.88</v>
      </c>
      <c r="V214">
        <v>0</v>
      </c>
      <c r="W214">
        <v>-405.01</v>
      </c>
      <c r="X214">
        <v>6384.97</v>
      </c>
      <c r="AA214" s="232">
        <f t="shared" si="6"/>
        <v>4156.3737599999995</v>
      </c>
      <c r="AB214" s="232">
        <f t="shared" si="7"/>
        <v>2419.7471999999998</v>
      </c>
    </row>
    <row r="215" spans="1:28" hidden="1">
      <c r="A215" t="s">
        <v>2556</v>
      </c>
      <c r="B215">
        <v>5352</v>
      </c>
      <c r="C215" t="s">
        <v>2625</v>
      </c>
      <c r="D215">
        <v>5697</v>
      </c>
      <c r="E215" t="s">
        <v>2344</v>
      </c>
      <c r="F215" t="s">
        <v>2036</v>
      </c>
      <c r="G215">
        <v>2022</v>
      </c>
      <c r="H215">
        <v>6</v>
      </c>
      <c r="I215" s="8">
        <v>44713</v>
      </c>
      <c r="J215">
        <v>900</v>
      </c>
      <c r="K215">
        <v>850</v>
      </c>
      <c r="L215">
        <v>183607</v>
      </c>
      <c r="M215">
        <v>27620</v>
      </c>
      <c r="N215">
        <v>183607</v>
      </c>
      <c r="O215">
        <v>27620</v>
      </c>
      <c r="P215">
        <v>0</v>
      </c>
      <c r="Q215">
        <v>11.83</v>
      </c>
      <c r="R215">
        <v>21.22</v>
      </c>
      <c r="S215">
        <v>14.37</v>
      </c>
      <c r="T215">
        <v>182.65</v>
      </c>
      <c r="U215">
        <v>2286.4699999999998</v>
      </c>
      <c r="V215">
        <v>0</v>
      </c>
      <c r="W215">
        <v>-4491.37</v>
      </c>
      <c r="X215">
        <v>68095.02</v>
      </c>
      <c r="AA215" s="232">
        <f t="shared" si="6"/>
        <v>31719.331989999999</v>
      </c>
      <c r="AB215" s="232">
        <f t="shared" si="7"/>
        <v>38580.611550000001</v>
      </c>
    </row>
    <row r="216" spans="1:28" hidden="1">
      <c r="A216" t="s">
        <v>2557</v>
      </c>
      <c r="B216">
        <v>5352</v>
      </c>
      <c r="C216" t="s">
        <v>2625</v>
      </c>
      <c r="D216">
        <v>5697</v>
      </c>
      <c r="E216" t="s">
        <v>2344</v>
      </c>
      <c r="F216" t="s">
        <v>2036</v>
      </c>
      <c r="G216">
        <v>2022</v>
      </c>
      <c r="H216">
        <v>6</v>
      </c>
      <c r="I216" s="8">
        <v>44713</v>
      </c>
      <c r="J216">
        <v>320</v>
      </c>
      <c r="K216">
        <v>320</v>
      </c>
      <c r="L216">
        <v>100005</v>
      </c>
      <c r="M216">
        <v>13567</v>
      </c>
      <c r="N216">
        <v>100005</v>
      </c>
      <c r="O216">
        <v>13567</v>
      </c>
      <c r="P216">
        <v>0</v>
      </c>
      <c r="Q216">
        <v>11.83</v>
      </c>
      <c r="R216">
        <v>21.22</v>
      </c>
      <c r="S216">
        <v>14.37</v>
      </c>
      <c r="T216">
        <v>182.65</v>
      </c>
      <c r="U216">
        <v>1071.75</v>
      </c>
      <c r="V216">
        <v>0</v>
      </c>
      <c r="W216">
        <v>-3960.38</v>
      </c>
      <c r="X216">
        <v>30063.31</v>
      </c>
      <c r="AA216" s="232">
        <f t="shared" si="6"/>
        <v>12208.029640000001</v>
      </c>
      <c r="AB216" s="232">
        <f t="shared" si="7"/>
        <v>20743.925800000001</v>
      </c>
    </row>
    <row r="217" spans="1:28" hidden="1">
      <c r="A217" t="s">
        <v>2558</v>
      </c>
      <c r="B217">
        <v>5352</v>
      </c>
      <c r="C217" t="s">
        <v>2625</v>
      </c>
      <c r="D217">
        <v>5697</v>
      </c>
      <c r="E217" t="s">
        <v>2344</v>
      </c>
      <c r="F217" t="s">
        <v>2036</v>
      </c>
      <c r="G217">
        <v>2022</v>
      </c>
      <c r="H217">
        <v>6</v>
      </c>
      <c r="I217" s="8">
        <v>44713</v>
      </c>
      <c r="J217">
        <v>600</v>
      </c>
      <c r="K217">
        <v>600</v>
      </c>
      <c r="L217">
        <v>160498</v>
      </c>
      <c r="M217">
        <v>22586</v>
      </c>
      <c r="N217">
        <v>160498</v>
      </c>
      <c r="O217">
        <v>22586</v>
      </c>
      <c r="P217">
        <v>0</v>
      </c>
      <c r="Q217">
        <v>11.83</v>
      </c>
      <c r="R217">
        <v>21.22</v>
      </c>
      <c r="S217">
        <v>14.37</v>
      </c>
      <c r="T217">
        <v>182.65</v>
      </c>
      <c r="U217">
        <v>1818.16</v>
      </c>
      <c r="V217">
        <v>0</v>
      </c>
      <c r="W217">
        <v>-6986.36</v>
      </c>
      <c r="X217">
        <v>50732.99</v>
      </c>
      <c r="AA217" s="232">
        <f t="shared" si="6"/>
        <v>22460.917079999999</v>
      </c>
      <c r="AB217" s="232">
        <f t="shared" si="7"/>
        <v>33440.292600000001</v>
      </c>
    </row>
    <row r="218" spans="1:28" hidden="1">
      <c r="A218" t="s">
        <v>2559</v>
      </c>
      <c r="B218">
        <v>5352</v>
      </c>
      <c r="C218" t="s">
        <v>2625</v>
      </c>
      <c r="D218">
        <v>5697</v>
      </c>
      <c r="E218" t="s">
        <v>2344</v>
      </c>
      <c r="F218" t="s">
        <v>2036</v>
      </c>
      <c r="G218">
        <v>2022</v>
      </c>
      <c r="H218">
        <v>6</v>
      </c>
      <c r="I218" s="8">
        <v>44713</v>
      </c>
      <c r="J218">
        <v>679</v>
      </c>
      <c r="K218">
        <v>600</v>
      </c>
      <c r="L218">
        <v>172114</v>
      </c>
      <c r="M218">
        <v>22865</v>
      </c>
      <c r="N218">
        <v>172114</v>
      </c>
      <c r="O218">
        <v>22865</v>
      </c>
      <c r="P218">
        <v>0</v>
      </c>
      <c r="Q218">
        <v>11.83</v>
      </c>
      <c r="R218">
        <v>21.22</v>
      </c>
      <c r="S218">
        <v>14.37</v>
      </c>
      <c r="T218">
        <v>182.65</v>
      </c>
      <c r="U218">
        <v>1985.01</v>
      </c>
      <c r="V218">
        <v>0</v>
      </c>
      <c r="W218">
        <v>-4318.82</v>
      </c>
      <c r="X218">
        <v>58697.61</v>
      </c>
      <c r="AA218" s="232">
        <f t="shared" si="6"/>
        <v>23566.418229999999</v>
      </c>
      <c r="AB218" s="232">
        <f t="shared" si="7"/>
        <v>35612.914350000006</v>
      </c>
    </row>
    <row r="219" spans="1:28">
      <c r="A219" t="s">
        <v>2560</v>
      </c>
      <c r="B219">
        <v>5352</v>
      </c>
      <c r="C219" t="s">
        <v>2625</v>
      </c>
      <c r="D219">
        <v>5697</v>
      </c>
      <c r="E219" t="s">
        <v>2344</v>
      </c>
      <c r="F219" t="s">
        <v>2036</v>
      </c>
      <c r="G219">
        <v>2022</v>
      </c>
      <c r="H219">
        <v>7</v>
      </c>
      <c r="I219" s="8">
        <v>44743</v>
      </c>
      <c r="J219">
        <v>510</v>
      </c>
      <c r="K219">
        <v>570</v>
      </c>
      <c r="L219">
        <v>81346</v>
      </c>
      <c r="M219">
        <v>12744</v>
      </c>
      <c r="N219">
        <v>81346</v>
      </c>
      <c r="O219">
        <v>12744</v>
      </c>
      <c r="P219">
        <v>0</v>
      </c>
      <c r="Q219">
        <v>11.83</v>
      </c>
      <c r="R219">
        <v>21.22</v>
      </c>
      <c r="S219">
        <v>14.37</v>
      </c>
      <c r="T219">
        <v>182.65</v>
      </c>
      <c r="U219">
        <v>1507.88</v>
      </c>
      <c r="V219">
        <v>0</v>
      </c>
      <c r="W219">
        <v>0</v>
      </c>
      <c r="X219">
        <v>38174.18</v>
      </c>
      <c r="AA219" s="232">
        <f t="shared" si="6"/>
        <v>19480.773300000001</v>
      </c>
      <c r="AB219" s="232">
        <f t="shared" si="7"/>
        <v>17185.538500000002</v>
      </c>
    </row>
    <row r="220" spans="1:28">
      <c r="A220" t="s">
        <v>2561</v>
      </c>
      <c r="B220">
        <v>5352</v>
      </c>
      <c r="C220" t="s">
        <v>2625</v>
      </c>
      <c r="D220">
        <v>5697</v>
      </c>
      <c r="E220" t="s">
        <v>2344</v>
      </c>
      <c r="F220" t="s">
        <v>2036</v>
      </c>
      <c r="G220">
        <v>2022</v>
      </c>
      <c r="H220">
        <v>7</v>
      </c>
      <c r="I220" s="8">
        <v>44743</v>
      </c>
      <c r="J220">
        <v>700</v>
      </c>
      <c r="K220">
        <v>600</v>
      </c>
      <c r="L220">
        <v>193316</v>
      </c>
      <c r="M220">
        <v>29547</v>
      </c>
      <c r="N220">
        <v>193316</v>
      </c>
      <c r="O220">
        <v>29547</v>
      </c>
      <c r="P220">
        <v>0</v>
      </c>
      <c r="Q220">
        <v>11.83</v>
      </c>
      <c r="R220">
        <v>21.22</v>
      </c>
      <c r="S220">
        <v>14.37</v>
      </c>
      <c r="T220">
        <v>182.65</v>
      </c>
      <c r="U220">
        <v>2669.87</v>
      </c>
      <c r="V220">
        <v>0</v>
      </c>
      <c r="W220">
        <v>-1178.51</v>
      </c>
      <c r="X220">
        <v>66412.81</v>
      </c>
      <c r="AA220" s="232">
        <f t="shared" si="6"/>
        <v>24215.541310000001</v>
      </c>
      <c r="AB220" s="232">
        <f t="shared" si="7"/>
        <v>40705.926950000001</v>
      </c>
    </row>
    <row r="221" spans="1:28">
      <c r="A221" t="s">
        <v>2562</v>
      </c>
      <c r="B221">
        <v>5352</v>
      </c>
      <c r="C221" t="s">
        <v>2625</v>
      </c>
      <c r="D221">
        <v>5697</v>
      </c>
      <c r="E221" t="s">
        <v>2344</v>
      </c>
      <c r="F221" t="s">
        <v>2036</v>
      </c>
      <c r="G221">
        <v>2022</v>
      </c>
      <c r="H221">
        <v>7</v>
      </c>
      <c r="I221" s="8">
        <v>44743</v>
      </c>
      <c r="J221">
        <v>120</v>
      </c>
      <c r="K221">
        <v>120</v>
      </c>
      <c r="L221">
        <v>11138</v>
      </c>
      <c r="M221">
        <v>1733</v>
      </c>
      <c r="N221">
        <v>11138</v>
      </c>
      <c r="O221">
        <v>1733</v>
      </c>
      <c r="P221">
        <v>0</v>
      </c>
      <c r="Q221">
        <v>11.83</v>
      </c>
      <c r="R221">
        <v>21.22</v>
      </c>
      <c r="S221">
        <v>14.37</v>
      </c>
      <c r="T221">
        <v>182.67</v>
      </c>
      <c r="U221">
        <v>267.39999999999998</v>
      </c>
      <c r="V221">
        <v>0</v>
      </c>
      <c r="W221">
        <v>0</v>
      </c>
      <c r="X221">
        <v>6769.23</v>
      </c>
      <c r="AA221" s="232">
        <f t="shared" si="6"/>
        <v>4150.9562699999997</v>
      </c>
      <c r="AB221" s="232">
        <f t="shared" si="7"/>
        <v>2351.1455700000001</v>
      </c>
    </row>
    <row r="222" spans="1:28">
      <c r="A222" t="s">
        <v>2563</v>
      </c>
      <c r="B222">
        <v>5352</v>
      </c>
      <c r="C222" t="s">
        <v>2625</v>
      </c>
      <c r="D222">
        <v>5697</v>
      </c>
      <c r="E222" t="s">
        <v>2344</v>
      </c>
      <c r="F222" t="s">
        <v>2036</v>
      </c>
      <c r="G222">
        <v>2022</v>
      </c>
      <c r="H222">
        <v>7</v>
      </c>
      <c r="I222" s="8">
        <v>44743</v>
      </c>
      <c r="J222">
        <v>480</v>
      </c>
      <c r="K222">
        <v>550</v>
      </c>
      <c r="L222">
        <v>142920</v>
      </c>
      <c r="M222">
        <v>21538</v>
      </c>
      <c r="N222">
        <v>142920</v>
      </c>
      <c r="O222">
        <v>21538</v>
      </c>
      <c r="P222">
        <v>0</v>
      </c>
      <c r="Q222">
        <v>11.83</v>
      </c>
      <c r="R222">
        <v>21.22</v>
      </c>
      <c r="S222">
        <v>14.37</v>
      </c>
      <c r="T222">
        <v>182.65</v>
      </c>
      <c r="U222">
        <v>2045.98</v>
      </c>
      <c r="V222">
        <v>0</v>
      </c>
      <c r="W222">
        <v>0</v>
      </c>
      <c r="X222">
        <v>51796.88</v>
      </c>
      <c r="AA222" s="232">
        <f t="shared" si="6"/>
        <v>19712.661460000003</v>
      </c>
      <c r="AB222" s="232">
        <f t="shared" si="7"/>
        <v>30038.253700000001</v>
      </c>
    </row>
    <row r="223" spans="1:28">
      <c r="A223" t="s">
        <v>2564</v>
      </c>
      <c r="B223">
        <v>5352</v>
      </c>
      <c r="C223" t="s">
        <v>2625</v>
      </c>
      <c r="D223">
        <v>5697</v>
      </c>
      <c r="E223" t="s">
        <v>2344</v>
      </c>
      <c r="F223" t="s">
        <v>2036</v>
      </c>
      <c r="G223">
        <v>2022</v>
      </c>
      <c r="H223">
        <v>7</v>
      </c>
      <c r="I223" s="8">
        <v>44743</v>
      </c>
      <c r="J223">
        <v>600</v>
      </c>
      <c r="K223">
        <v>600</v>
      </c>
      <c r="L223">
        <v>169373</v>
      </c>
      <c r="M223">
        <v>21743</v>
      </c>
      <c r="N223">
        <v>169373</v>
      </c>
      <c r="O223">
        <v>21743</v>
      </c>
      <c r="P223">
        <v>0</v>
      </c>
      <c r="Q223">
        <v>11.83</v>
      </c>
      <c r="R223">
        <v>21.22</v>
      </c>
      <c r="S223">
        <v>14.37</v>
      </c>
      <c r="T223">
        <v>182.65</v>
      </c>
      <c r="U223">
        <v>2363.9899999999998</v>
      </c>
      <c r="V223">
        <v>0</v>
      </c>
      <c r="W223">
        <v>0</v>
      </c>
      <c r="X223">
        <v>59847.64</v>
      </c>
      <c r="AA223" s="232">
        <f t="shared" si="6"/>
        <v>22576.336920000002</v>
      </c>
      <c r="AB223" s="232">
        <f t="shared" si="7"/>
        <v>34907.337400000004</v>
      </c>
    </row>
    <row r="224" spans="1:28">
      <c r="A224" t="s">
        <v>2565</v>
      </c>
      <c r="B224">
        <v>5352</v>
      </c>
      <c r="C224" t="s">
        <v>2625</v>
      </c>
      <c r="D224">
        <v>5697</v>
      </c>
      <c r="E224" t="s">
        <v>2344</v>
      </c>
      <c r="F224" t="s">
        <v>2036</v>
      </c>
      <c r="G224">
        <v>2022</v>
      </c>
      <c r="H224">
        <v>7</v>
      </c>
      <c r="I224" s="8">
        <v>44743</v>
      </c>
      <c r="J224">
        <v>1300</v>
      </c>
      <c r="K224">
        <v>1350</v>
      </c>
      <c r="L224">
        <v>178866</v>
      </c>
      <c r="M224">
        <v>27894</v>
      </c>
      <c r="N224">
        <v>178866</v>
      </c>
      <c r="O224">
        <v>27894</v>
      </c>
      <c r="P224">
        <v>0</v>
      </c>
      <c r="Q224">
        <v>11.83</v>
      </c>
      <c r="R224">
        <v>21.22</v>
      </c>
      <c r="S224">
        <v>14.37</v>
      </c>
      <c r="T224">
        <v>182.65</v>
      </c>
      <c r="U224">
        <v>3485.35</v>
      </c>
      <c r="V224">
        <v>0</v>
      </c>
      <c r="W224">
        <v>0</v>
      </c>
      <c r="X224">
        <v>88247.61</v>
      </c>
      <c r="AA224" s="232">
        <f t="shared" si="6"/>
        <v>46997.141199999998</v>
      </c>
      <c r="AB224" s="232">
        <f t="shared" si="7"/>
        <v>37764.714</v>
      </c>
    </row>
    <row r="225" spans="1:28">
      <c r="A225" t="s">
        <v>2566</v>
      </c>
      <c r="B225">
        <v>5352</v>
      </c>
      <c r="C225" t="s">
        <v>2625</v>
      </c>
      <c r="D225">
        <v>5697</v>
      </c>
      <c r="E225" t="s">
        <v>2344</v>
      </c>
      <c r="F225" t="s">
        <v>2036</v>
      </c>
      <c r="G225">
        <v>2022</v>
      </c>
      <c r="H225">
        <v>7</v>
      </c>
      <c r="I225" s="8">
        <v>44743</v>
      </c>
      <c r="J225">
        <v>810</v>
      </c>
      <c r="K225">
        <v>930</v>
      </c>
      <c r="L225">
        <v>176401</v>
      </c>
      <c r="M225">
        <v>26861</v>
      </c>
      <c r="N225">
        <v>176401</v>
      </c>
      <c r="O225">
        <v>26861</v>
      </c>
      <c r="P225">
        <v>0</v>
      </c>
      <c r="Q225">
        <v>11.83</v>
      </c>
      <c r="R225">
        <v>21.22</v>
      </c>
      <c r="S225">
        <v>14.37</v>
      </c>
      <c r="T225">
        <v>182.65</v>
      </c>
      <c r="U225">
        <v>2852.52</v>
      </c>
      <c r="V225">
        <v>0</v>
      </c>
      <c r="W225">
        <v>0</v>
      </c>
      <c r="X225">
        <v>72216.09</v>
      </c>
      <c r="AA225" s="232">
        <f t="shared" si="6"/>
        <v>32237.774939999996</v>
      </c>
      <c r="AB225" s="232">
        <f t="shared" si="7"/>
        <v>37125.804300000003</v>
      </c>
    </row>
    <row r="226" spans="1:28">
      <c r="A226" t="s">
        <v>2567</v>
      </c>
      <c r="B226">
        <v>5352</v>
      </c>
      <c r="C226" t="s">
        <v>2625</v>
      </c>
      <c r="D226">
        <v>5697</v>
      </c>
      <c r="E226" t="s">
        <v>2344</v>
      </c>
      <c r="F226" t="s">
        <v>2036</v>
      </c>
      <c r="G226">
        <v>2022</v>
      </c>
      <c r="H226">
        <v>7</v>
      </c>
      <c r="I226" s="8">
        <v>44743</v>
      </c>
      <c r="J226">
        <v>317</v>
      </c>
      <c r="K226">
        <v>315</v>
      </c>
      <c r="L226">
        <v>55686</v>
      </c>
      <c r="M226">
        <v>8262</v>
      </c>
      <c r="N226">
        <v>55686</v>
      </c>
      <c r="O226">
        <v>8262</v>
      </c>
      <c r="P226">
        <v>0</v>
      </c>
      <c r="Q226">
        <v>11.83</v>
      </c>
      <c r="R226">
        <v>21.22</v>
      </c>
      <c r="S226">
        <v>14.37</v>
      </c>
      <c r="T226">
        <v>182.65</v>
      </c>
      <c r="U226">
        <v>1125.29</v>
      </c>
      <c r="V226">
        <v>0</v>
      </c>
      <c r="W226">
        <v>0</v>
      </c>
      <c r="X226">
        <v>32353.26</v>
      </c>
      <c r="AA226" s="232">
        <f t="shared" si="6"/>
        <v>11353.34276</v>
      </c>
      <c r="AB226" s="232">
        <f t="shared" si="7"/>
        <v>11680.102200000001</v>
      </c>
    </row>
    <row r="227" spans="1:28">
      <c r="A227" t="s">
        <v>2568</v>
      </c>
      <c r="B227">
        <v>5352</v>
      </c>
      <c r="C227" t="s">
        <v>2625</v>
      </c>
      <c r="D227">
        <v>5697</v>
      </c>
      <c r="E227" t="s">
        <v>2344</v>
      </c>
      <c r="F227" t="s">
        <v>2036</v>
      </c>
      <c r="G227">
        <v>2022</v>
      </c>
      <c r="H227">
        <v>7</v>
      </c>
      <c r="I227" s="8">
        <v>44743</v>
      </c>
      <c r="J227">
        <v>900</v>
      </c>
      <c r="K227">
        <v>850</v>
      </c>
      <c r="L227">
        <v>180554</v>
      </c>
      <c r="M227">
        <v>26717</v>
      </c>
      <c r="N227">
        <v>180554</v>
      </c>
      <c r="O227">
        <v>26717</v>
      </c>
      <c r="P227">
        <v>0</v>
      </c>
      <c r="Q227">
        <v>11.83</v>
      </c>
      <c r="R227">
        <v>21.22</v>
      </c>
      <c r="S227">
        <v>14.37</v>
      </c>
      <c r="T227">
        <v>182.65</v>
      </c>
      <c r="U227">
        <v>2858.99</v>
      </c>
      <c r="V227">
        <v>0</v>
      </c>
      <c r="W227">
        <v>0</v>
      </c>
      <c r="X227">
        <v>72379.509999999995</v>
      </c>
      <c r="AA227" s="232">
        <f t="shared" si="6"/>
        <v>31662.484270000001</v>
      </c>
      <c r="AB227" s="232">
        <f t="shared" si="7"/>
        <v>37858.048150000002</v>
      </c>
    </row>
    <row r="228" spans="1:28">
      <c r="A228" t="s">
        <v>2569</v>
      </c>
      <c r="B228">
        <v>5352</v>
      </c>
      <c r="C228" t="s">
        <v>2625</v>
      </c>
      <c r="D228">
        <v>5697</v>
      </c>
      <c r="E228" t="s">
        <v>2344</v>
      </c>
      <c r="F228" t="s">
        <v>2036</v>
      </c>
      <c r="G228">
        <v>2022</v>
      </c>
      <c r="H228">
        <v>7</v>
      </c>
      <c r="I228" s="8">
        <v>44743</v>
      </c>
      <c r="J228">
        <v>970</v>
      </c>
      <c r="K228">
        <v>970</v>
      </c>
      <c r="L228">
        <v>259857</v>
      </c>
      <c r="M228">
        <v>37271</v>
      </c>
      <c r="N228">
        <v>259857</v>
      </c>
      <c r="O228">
        <v>37271</v>
      </c>
      <c r="P228">
        <v>0</v>
      </c>
      <c r="Q228">
        <v>11.83</v>
      </c>
      <c r="R228">
        <v>21.22</v>
      </c>
      <c r="S228">
        <v>14.37</v>
      </c>
      <c r="T228">
        <v>182.65</v>
      </c>
      <c r="U228">
        <v>3725.8</v>
      </c>
      <c r="V228">
        <v>0</v>
      </c>
      <c r="W228">
        <v>0</v>
      </c>
      <c r="X228">
        <v>94324.44</v>
      </c>
      <c r="AA228" s="232">
        <f t="shared" si="6"/>
        <v>36328.229359999998</v>
      </c>
      <c r="AB228" s="232">
        <f t="shared" si="7"/>
        <v>54270.429199999999</v>
      </c>
    </row>
    <row r="229" spans="1:28">
      <c r="A229" t="s">
        <v>2570</v>
      </c>
      <c r="B229">
        <v>5352</v>
      </c>
      <c r="C229" t="s">
        <v>2625</v>
      </c>
      <c r="D229">
        <v>5697</v>
      </c>
      <c r="E229" t="s">
        <v>2344</v>
      </c>
      <c r="F229" t="s">
        <v>2036</v>
      </c>
      <c r="G229">
        <v>2022</v>
      </c>
      <c r="H229">
        <v>7</v>
      </c>
      <c r="I229" s="8">
        <v>44743</v>
      </c>
      <c r="J229">
        <v>320</v>
      </c>
      <c r="K229">
        <v>320</v>
      </c>
      <c r="L229">
        <v>97279</v>
      </c>
      <c r="M229">
        <v>13219</v>
      </c>
      <c r="N229">
        <v>97279</v>
      </c>
      <c r="O229">
        <v>13219</v>
      </c>
      <c r="P229">
        <v>0</v>
      </c>
      <c r="Q229">
        <v>11.83</v>
      </c>
      <c r="R229">
        <v>21.22</v>
      </c>
      <c r="S229">
        <v>14.37</v>
      </c>
      <c r="T229">
        <v>182.65</v>
      </c>
      <c r="U229">
        <v>1330.23</v>
      </c>
      <c r="V229">
        <v>0</v>
      </c>
      <c r="W229">
        <v>0</v>
      </c>
      <c r="X229">
        <v>33676.519999999997</v>
      </c>
      <c r="AA229" s="232">
        <f t="shared" si="6"/>
        <v>12163.85626</v>
      </c>
      <c r="AB229" s="232">
        <f t="shared" si="7"/>
        <v>20182.459700000003</v>
      </c>
    </row>
    <row r="230" spans="1:28">
      <c r="A230" t="s">
        <v>2571</v>
      </c>
      <c r="B230">
        <v>5352</v>
      </c>
      <c r="C230" t="s">
        <v>2625</v>
      </c>
      <c r="D230">
        <v>5697</v>
      </c>
      <c r="E230" t="s">
        <v>2344</v>
      </c>
      <c r="F230" t="s">
        <v>2036</v>
      </c>
      <c r="G230">
        <v>2022</v>
      </c>
      <c r="H230">
        <v>7</v>
      </c>
      <c r="I230" s="8">
        <v>44743</v>
      </c>
      <c r="J230">
        <v>600</v>
      </c>
      <c r="K230">
        <v>600</v>
      </c>
      <c r="L230">
        <v>182896</v>
      </c>
      <c r="M230">
        <v>24068</v>
      </c>
      <c r="N230">
        <v>182896</v>
      </c>
      <c r="O230">
        <v>24068</v>
      </c>
      <c r="P230">
        <v>0</v>
      </c>
      <c r="Q230">
        <v>11.83</v>
      </c>
      <c r="R230">
        <v>21.22</v>
      </c>
      <c r="S230">
        <v>14.37</v>
      </c>
      <c r="T230">
        <v>182.65</v>
      </c>
      <c r="U230">
        <v>2492.39</v>
      </c>
      <c r="V230">
        <v>0</v>
      </c>
      <c r="W230">
        <v>0</v>
      </c>
      <c r="X230">
        <v>63098.42</v>
      </c>
      <c r="AA230" s="232">
        <f t="shared" si="6"/>
        <v>22804.072680000001</v>
      </c>
      <c r="AB230" s="232">
        <f t="shared" si="7"/>
        <v>37801.974600000001</v>
      </c>
    </row>
    <row r="231" spans="1:28">
      <c r="A231" t="s">
        <v>2572</v>
      </c>
      <c r="B231">
        <v>5352</v>
      </c>
      <c r="C231" t="s">
        <v>2625</v>
      </c>
      <c r="D231">
        <v>5697</v>
      </c>
      <c r="E231" t="s">
        <v>2344</v>
      </c>
      <c r="F231" t="s">
        <v>2036</v>
      </c>
      <c r="G231">
        <v>2022</v>
      </c>
      <c r="H231">
        <v>7</v>
      </c>
      <c r="I231" s="8">
        <v>44743</v>
      </c>
      <c r="J231">
        <v>450</v>
      </c>
      <c r="K231">
        <v>450</v>
      </c>
      <c r="L231">
        <v>125798</v>
      </c>
      <c r="M231">
        <v>17444</v>
      </c>
      <c r="N231">
        <v>125798</v>
      </c>
      <c r="O231">
        <v>17444</v>
      </c>
      <c r="P231">
        <v>0</v>
      </c>
      <c r="Q231">
        <v>11.83</v>
      </c>
      <c r="R231">
        <v>21.22</v>
      </c>
      <c r="S231">
        <v>14.37</v>
      </c>
      <c r="T231">
        <v>182.65</v>
      </c>
      <c r="U231">
        <v>1772.21</v>
      </c>
      <c r="V231">
        <v>0</v>
      </c>
      <c r="W231">
        <v>0</v>
      </c>
      <c r="X231">
        <v>44866.23</v>
      </c>
      <c r="AA231" s="232">
        <f t="shared" si="6"/>
        <v>16930.88754</v>
      </c>
      <c r="AB231" s="232">
        <f t="shared" si="7"/>
        <v>26163.151299999998</v>
      </c>
    </row>
    <row r="232" spans="1:28">
      <c r="A232" t="s">
        <v>2573</v>
      </c>
      <c r="B232">
        <v>5352</v>
      </c>
      <c r="C232" t="s">
        <v>2625</v>
      </c>
      <c r="D232">
        <v>5697</v>
      </c>
      <c r="E232" t="s">
        <v>2344</v>
      </c>
      <c r="F232" t="s">
        <v>2036</v>
      </c>
      <c r="G232">
        <v>2022</v>
      </c>
      <c r="H232">
        <v>7</v>
      </c>
      <c r="I232" s="8">
        <v>44743</v>
      </c>
      <c r="J232">
        <v>831.26</v>
      </c>
      <c r="K232">
        <v>820</v>
      </c>
      <c r="L232">
        <v>265894</v>
      </c>
      <c r="M232">
        <v>35939</v>
      </c>
      <c r="N232">
        <v>265894</v>
      </c>
      <c r="O232">
        <v>35939</v>
      </c>
      <c r="P232">
        <v>0</v>
      </c>
      <c r="Q232">
        <v>11.83</v>
      </c>
      <c r="R232">
        <v>21.22</v>
      </c>
      <c r="S232">
        <v>14.37</v>
      </c>
      <c r="T232">
        <v>182.65</v>
      </c>
      <c r="U232">
        <v>3565.54</v>
      </c>
      <c r="V232">
        <v>0</v>
      </c>
      <c r="W232">
        <v>0</v>
      </c>
      <c r="X232">
        <v>90266.85</v>
      </c>
      <c r="AA232" s="232">
        <f t="shared" si="6"/>
        <v>31571.546009999998</v>
      </c>
      <c r="AB232" s="232">
        <f t="shared" si="7"/>
        <v>55129.797450000005</v>
      </c>
    </row>
    <row r="233" spans="1:28">
      <c r="A233" t="s">
        <v>2574</v>
      </c>
      <c r="B233">
        <v>5352</v>
      </c>
      <c r="C233" t="s">
        <v>2625</v>
      </c>
      <c r="D233">
        <v>5697</v>
      </c>
      <c r="E233" t="s">
        <v>2344</v>
      </c>
      <c r="F233" t="s">
        <v>2036</v>
      </c>
      <c r="G233">
        <v>2022</v>
      </c>
      <c r="H233">
        <v>7</v>
      </c>
      <c r="I233" s="8">
        <v>44743</v>
      </c>
      <c r="J233">
        <v>1450</v>
      </c>
      <c r="K233">
        <v>1450</v>
      </c>
      <c r="L233">
        <v>682688</v>
      </c>
      <c r="M233">
        <v>39942</v>
      </c>
      <c r="N233">
        <v>682688</v>
      </c>
      <c r="O233">
        <v>39942</v>
      </c>
      <c r="P233">
        <v>0</v>
      </c>
      <c r="Q233">
        <v>11.83</v>
      </c>
      <c r="R233">
        <v>21.22</v>
      </c>
      <c r="S233">
        <v>14.37</v>
      </c>
      <c r="T233">
        <v>182.65</v>
      </c>
      <c r="U233">
        <v>7825.77</v>
      </c>
      <c r="V233">
        <v>0</v>
      </c>
      <c r="W233">
        <v>0</v>
      </c>
      <c r="X233">
        <v>198120.81</v>
      </c>
      <c r="AA233" s="232">
        <f t="shared" si="6"/>
        <v>58306.693099999997</v>
      </c>
      <c r="AB233" s="232">
        <f t="shared" si="7"/>
        <v>131988.3695</v>
      </c>
    </row>
    <row r="234" spans="1:28">
      <c r="A234" t="s">
        <v>2575</v>
      </c>
      <c r="B234">
        <v>5352</v>
      </c>
      <c r="C234" t="s">
        <v>2625</v>
      </c>
      <c r="D234">
        <v>5697</v>
      </c>
      <c r="E234" t="s">
        <v>2344</v>
      </c>
      <c r="F234" t="s">
        <v>2036</v>
      </c>
      <c r="G234">
        <v>2022</v>
      </c>
      <c r="H234">
        <v>7</v>
      </c>
      <c r="I234" s="8">
        <v>44743</v>
      </c>
      <c r="J234">
        <v>2750</v>
      </c>
      <c r="K234">
        <v>2750</v>
      </c>
      <c r="L234">
        <v>868198</v>
      </c>
      <c r="M234">
        <v>131141</v>
      </c>
      <c r="N234">
        <v>796061</v>
      </c>
      <c r="O234">
        <v>131141</v>
      </c>
      <c r="P234">
        <v>72137</v>
      </c>
      <c r="Q234">
        <v>11.83</v>
      </c>
      <c r="R234">
        <v>21.22</v>
      </c>
      <c r="S234">
        <v>14.37</v>
      </c>
      <c r="T234">
        <v>182.65</v>
      </c>
      <c r="U234">
        <v>11292.8</v>
      </c>
      <c r="V234">
        <v>0</v>
      </c>
      <c r="W234">
        <v>0</v>
      </c>
      <c r="X234">
        <v>285894.23</v>
      </c>
      <c r="AA234" s="232">
        <f t="shared" si="6"/>
        <v>105248.00143</v>
      </c>
      <c r="AB234" s="232">
        <f t="shared" si="7"/>
        <v>169353.44529999999</v>
      </c>
    </row>
    <row r="235" spans="1:28">
      <c r="A235" t="s">
        <v>2576</v>
      </c>
      <c r="B235">
        <v>5352</v>
      </c>
      <c r="C235" t="s">
        <v>2625</v>
      </c>
      <c r="D235">
        <v>5697</v>
      </c>
      <c r="E235" t="s">
        <v>2344</v>
      </c>
      <c r="F235" t="s">
        <v>2036</v>
      </c>
      <c r="G235">
        <v>2022</v>
      </c>
      <c r="H235">
        <v>7</v>
      </c>
      <c r="I235" s="8">
        <v>44743</v>
      </c>
      <c r="J235">
        <v>1670</v>
      </c>
      <c r="K235">
        <v>1670</v>
      </c>
      <c r="L235">
        <v>460716</v>
      </c>
      <c r="M235">
        <v>70616</v>
      </c>
      <c r="N235">
        <v>460716</v>
      </c>
      <c r="O235">
        <v>70616</v>
      </c>
      <c r="P235">
        <v>0</v>
      </c>
      <c r="Q235">
        <v>11.83</v>
      </c>
      <c r="R235">
        <v>21.22</v>
      </c>
      <c r="S235">
        <v>14.37</v>
      </c>
      <c r="T235">
        <v>182.65</v>
      </c>
      <c r="U235">
        <v>6574.83</v>
      </c>
      <c r="V235">
        <v>0</v>
      </c>
      <c r="W235">
        <v>0</v>
      </c>
      <c r="X235">
        <v>166451.34</v>
      </c>
      <c r="AA235" s="232">
        <f t="shared" si="6"/>
        <v>62828.740839999999</v>
      </c>
      <c r="AB235" s="232">
        <f t="shared" si="7"/>
        <v>97047.789799999999</v>
      </c>
    </row>
    <row r="236" spans="1:28">
      <c r="A236" t="s">
        <v>2582</v>
      </c>
      <c r="B236">
        <v>5352</v>
      </c>
      <c r="C236" t="s">
        <v>2625</v>
      </c>
      <c r="D236">
        <v>5697</v>
      </c>
      <c r="E236" t="s">
        <v>2344</v>
      </c>
      <c r="F236" t="s">
        <v>2036</v>
      </c>
      <c r="G236">
        <v>2022</v>
      </c>
      <c r="H236">
        <v>8</v>
      </c>
      <c r="I236" s="8">
        <v>44774</v>
      </c>
      <c r="J236">
        <v>1670</v>
      </c>
      <c r="K236">
        <v>1670</v>
      </c>
      <c r="L236">
        <v>493799</v>
      </c>
      <c r="M236">
        <v>72778</v>
      </c>
      <c r="N236">
        <v>493799</v>
      </c>
      <c r="O236">
        <v>72778</v>
      </c>
      <c r="P236">
        <v>0</v>
      </c>
      <c r="Q236">
        <v>11.83</v>
      </c>
      <c r="R236">
        <v>21.22</v>
      </c>
      <c r="S236">
        <v>14.37</v>
      </c>
      <c r="T236">
        <v>182.65</v>
      </c>
      <c r="U236">
        <v>8798.51</v>
      </c>
      <c r="V236">
        <v>0</v>
      </c>
      <c r="W236">
        <v>0</v>
      </c>
      <c r="X236">
        <v>175618.99</v>
      </c>
      <c r="AA236" s="232">
        <f t="shared" si="6"/>
        <v>63335.211490000002</v>
      </c>
      <c r="AB236" s="232">
        <f t="shared" si="7"/>
        <v>103485.28905000001</v>
      </c>
    </row>
    <row r="237" spans="1:28">
      <c r="A237" t="s">
        <v>2583</v>
      </c>
      <c r="B237">
        <v>5352</v>
      </c>
      <c r="C237" t="s">
        <v>2625</v>
      </c>
      <c r="D237">
        <v>5697</v>
      </c>
      <c r="E237" t="s">
        <v>2344</v>
      </c>
      <c r="F237" t="s">
        <v>2036</v>
      </c>
      <c r="G237">
        <v>2022</v>
      </c>
      <c r="H237">
        <v>8</v>
      </c>
      <c r="I237" s="8">
        <v>44774</v>
      </c>
      <c r="J237">
        <v>970</v>
      </c>
      <c r="K237">
        <v>970</v>
      </c>
      <c r="L237">
        <v>280609</v>
      </c>
      <c r="M237">
        <v>38678</v>
      </c>
      <c r="N237">
        <v>280609</v>
      </c>
      <c r="O237">
        <v>38678</v>
      </c>
      <c r="P237">
        <v>0</v>
      </c>
      <c r="Q237">
        <v>11.83</v>
      </c>
      <c r="R237">
        <v>21.22</v>
      </c>
      <c r="S237">
        <v>14.37</v>
      </c>
      <c r="T237">
        <v>182.65</v>
      </c>
      <c r="U237">
        <v>5008.6400000000003</v>
      </c>
      <c r="V237">
        <v>0</v>
      </c>
      <c r="W237">
        <v>0</v>
      </c>
      <c r="X237">
        <v>99973.05</v>
      </c>
      <c r="AA237" s="232">
        <f t="shared" si="6"/>
        <v>36646.654190000001</v>
      </c>
      <c r="AB237" s="232">
        <f t="shared" si="7"/>
        <v>58317.770550000001</v>
      </c>
    </row>
    <row r="238" spans="1:28">
      <c r="A238" t="s">
        <v>2584</v>
      </c>
      <c r="B238">
        <v>5352</v>
      </c>
      <c r="C238" t="s">
        <v>2625</v>
      </c>
      <c r="D238">
        <v>5697</v>
      </c>
      <c r="E238" t="s">
        <v>2344</v>
      </c>
      <c r="F238" t="s">
        <v>2036</v>
      </c>
      <c r="G238">
        <v>2022</v>
      </c>
      <c r="H238">
        <v>8</v>
      </c>
      <c r="I238" s="8">
        <v>44774</v>
      </c>
      <c r="J238">
        <v>120</v>
      </c>
      <c r="K238">
        <v>120</v>
      </c>
      <c r="L238">
        <v>11896</v>
      </c>
      <c r="M238">
        <v>1830</v>
      </c>
      <c r="N238">
        <v>11896</v>
      </c>
      <c r="O238">
        <v>1830</v>
      </c>
      <c r="P238">
        <v>0</v>
      </c>
      <c r="Q238">
        <v>11.83</v>
      </c>
      <c r="R238">
        <v>21.22</v>
      </c>
      <c r="S238">
        <v>14.37</v>
      </c>
      <c r="T238">
        <v>182.65</v>
      </c>
      <c r="U238">
        <v>351.8</v>
      </c>
      <c r="V238">
        <v>0</v>
      </c>
      <c r="W238">
        <v>-200.41</v>
      </c>
      <c r="X238">
        <v>6821.66</v>
      </c>
      <c r="AA238" s="232">
        <f t="shared" si="6"/>
        <v>4163.2426199999991</v>
      </c>
      <c r="AB238" s="232">
        <f t="shared" si="7"/>
        <v>2507.0539000000003</v>
      </c>
    </row>
    <row r="239" spans="1:28">
      <c r="A239" t="s">
        <v>2585</v>
      </c>
      <c r="B239">
        <v>5352</v>
      </c>
      <c r="C239" t="s">
        <v>2625</v>
      </c>
      <c r="D239">
        <v>5697</v>
      </c>
      <c r="E239" t="s">
        <v>2344</v>
      </c>
      <c r="F239" t="s">
        <v>2036</v>
      </c>
      <c r="G239">
        <v>2022</v>
      </c>
      <c r="H239">
        <v>8</v>
      </c>
      <c r="I239" s="8">
        <v>44774</v>
      </c>
      <c r="J239">
        <v>510</v>
      </c>
      <c r="K239">
        <v>570</v>
      </c>
      <c r="L239">
        <v>84749</v>
      </c>
      <c r="M239">
        <v>13033</v>
      </c>
      <c r="N239">
        <v>84749</v>
      </c>
      <c r="O239">
        <v>13033</v>
      </c>
      <c r="P239">
        <v>0</v>
      </c>
      <c r="Q239">
        <v>11.83</v>
      </c>
      <c r="R239">
        <v>21.22</v>
      </c>
      <c r="S239">
        <v>14.37</v>
      </c>
      <c r="T239">
        <v>182.65</v>
      </c>
      <c r="U239">
        <v>1972.22</v>
      </c>
      <c r="V239">
        <v>0</v>
      </c>
      <c r="W239">
        <v>0</v>
      </c>
      <c r="X239">
        <v>39365.910000000003</v>
      </c>
      <c r="AA239" s="232">
        <f t="shared" si="6"/>
        <v>19533.82734</v>
      </c>
      <c r="AB239" s="232">
        <f t="shared" si="7"/>
        <v>17859.882300000001</v>
      </c>
    </row>
    <row r="240" spans="1:28">
      <c r="A240" t="s">
        <v>2586</v>
      </c>
      <c r="B240">
        <v>5352</v>
      </c>
      <c r="C240" t="s">
        <v>2625</v>
      </c>
      <c r="D240">
        <v>5697</v>
      </c>
      <c r="E240" t="s">
        <v>2344</v>
      </c>
      <c r="F240" t="s">
        <v>2036</v>
      </c>
      <c r="G240">
        <v>2022</v>
      </c>
      <c r="H240">
        <v>8</v>
      </c>
      <c r="I240" s="8">
        <v>44774</v>
      </c>
      <c r="J240">
        <v>700</v>
      </c>
      <c r="K240">
        <v>612.28</v>
      </c>
      <c r="L240">
        <v>207176</v>
      </c>
      <c r="M240">
        <v>31197</v>
      </c>
      <c r="N240">
        <v>207176</v>
      </c>
      <c r="O240">
        <v>31197</v>
      </c>
      <c r="P240">
        <v>0</v>
      </c>
      <c r="Q240">
        <v>11.83</v>
      </c>
      <c r="R240">
        <v>21.22</v>
      </c>
      <c r="S240">
        <v>14.37</v>
      </c>
      <c r="T240">
        <v>182.65</v>
      </c>
      <c r="U240">
        <v>3599.01</v>
      </c>
      <c r="V240">
        <v>0</v>
      </c>
      <c r="W240">
        <v>-2592.5</v>
      </c>
      <c r="X240">
        <v>69244.320000000007</v>
      </c>
      <c r="AA240" s="232">
        <f t="shared" si="6"/>
        <v>24699.001609999999</v>
      </c>
      <c r="AB240" s="232">
        <f t="shared" si="7"/>
        <v>43538.828450000001</v>
      </c>
    </row>
    <row r="241" spans="1:28">
      <c r="A241" t="s">
        <v>2587</v>
      </c>
      <c r="B241">
        <v>5352</v>
      </c>
      <c r="C241" t="s">
        <v>2625</v>
      </c>
      <c r="D241">
        <v>5697</v>
      </c>
      <c r="E241" t="s">
        <v>2344</v>
      </c>
      <c r="F241" t="s">
        <v>2036</v>
      </c>
      <c r="G241">
        <v>2022</v>
      </c>
      <c r="H241">
        <v>8</v>
      </c>
      <c r="I241" s="8">
        <v>44774</v>
      </c>
      <c r="J241">
        <v>2750</v>
      </c>
      <c r="K241">
        <v>2750</v>
      </c>
      <c r="L241">
        <v>918156</v>
      </c>
      <c r="M241">
        <v>134662</v>
      </c>
      <c r="N241">
        <v>843414</v>
      </c>
      <c r="O241">
        <v>134662</v>
      </c>
      <c r="P241">
        <v>74742</v>
      </c>
      <c r="Q241">
        <v>11.83</v>
      </c>
      <c r="R241">
        <v>21.22</v>
      </c>
      <c r="S241">
        <v>14.37</v>
      </c>
      <c r="T241">
        <v>182.65</v>
      </c>
      <c r="U241">
        <v>15010.75</v>
      </c>
      <c r="V241">
        <v>0</v>
      </c>
      <c r="W241">
        <v>0</v>
      </c>
      <c r="X241">
        <v>299675.81</v>
      </c>
      <c r="AA241" s="232">
        <f t="shared" si="6"/>
        <v>106016.49466</v>
      </c>
      <c r="AB241" s="232">
        <f t="shared" si="7"/>
        <v>178645.5814</v>
      </c>
    </row>
    <row r="242" spans="1:28">
      <c r="A242" t="s">
        <v>2588</v>
      </c>
      <c r="B242">
        <v>5352</v>
      </c>
      <c r="C242" t="s">
        <v>2625</v>
      </c>
      <c r="D242">
        <v>5697</v>
      </c>
      <c r="E242" t="s">
        <v>2344</v>
      </c>
      <c r="F242" t="s">
        <v>2036</v>
      </c>
      <c r="G242">
        <v>2022</v>
      </c>
      <c r="H242">
        <v>8</v>
      </c>
      <c r="I242" s="8">
        <v>44774</v>
      </c>
      <c r="J242">
        <v>600</v>
      </c>
      <c r="K242">
        <v>600</v>
      </c>
      <c r="L242">
        <v>174118</v>
      </c>
      <c r="M242">
        <v>23541</v>
      </c>
      <c r="N242">
        <v>174118</v>
      </c>
      <c r="O242">
        <v>23541</v>
      </c>
      <c r="P242">
        <v>0</v>
      </c>
      <c r="Q242">
        <v>11.83</v>
      </c>
      <c r="R242">
        <v>21.22</v>
      </c>
      <c r="S242">
        <v>14.37</v>
      </c>
      <c r="T242">
        <v>182.65</v>
      </c>
      <c r="U242">
        <v>3099.8</v>
      </c>
      <c r="V242">
        <v>0</v>
      </c>
      <c r="W242">
        <v>0</v>
      </c>
      <c r="X242">
        <v>61872.56</v>
      </c>
      <c r="AA242" s="232">
        <f t="shared" si="6"/>
        <v>22670.359830000001</v>
      </c>
      <c r="AB242" s="232">
        <f t="shared" si="7"/>
        <v>36102.41635</v>
      </c>
    </row>
    <row r="243" spans="1:28">
      <c r="A243" t="s">
        <v>2589</v>
      </c>
      <c r="B243">
        <v>5352</v>
      </c>
      <c r="C243" t="s">
        <v>2625</v>
      </c>
      <c r="D243">
        <v>5697</v>
      </c>
      <c r="E243" t="s">
        <v>2344</v>
      </c>
      <c r="F243" t="s">
        <v>2036</v>
      </c>
      <c r="G243">
        <v>2022</v>
      </c>
      <c r="H243">
        <v>8</v>
      </c>
      <c r="I243" s="8">
        <v>44774</v>
      </c>
      <c r="J243">
        <v>1300</v>
      </c>
      <c r="K243">
        <v>1350</v>
      </c>
      <c r="L243">
        <v>178277</v>
      </c>
      <c r="M243">
        <v>28572</v>
      </c>
      <c r="N243">
        <v>178277</v>
      </c>
      <c r="O243">
        <v>28572</v>
      </c>
      <c r="P243">
        <v>0</v>
      </c>
      <c r="Q243">
        <v>11.83</v>
      </c>
      <c r="R243">
        <v>21.22</v>
      </c>
      <c r="S243">
        <v>14.37</v>
      </c>
      <c r="T243">
        <v>182.65</v>
      </c>
      <c r="U243">
        <v>4471.47</v>
      </c>
      <c r="V243">
        <v>0</v>
      </c>
      <c r="W243">
        <v>0</v>
      </c>
      <c r="X243">
        <v>89250.84</v>
      </c>
      <c r="AA243" s="232">
        <f t="shared" si="6"/>
        <v>46998.420129999999</v>
      </c>
      <c r="AB243" s="232">
        <f t="shared" si="7"/>
        <v>37780.969850000001</v>
      </c>
    </row>
    <row r="244" spans="1:28">
      <c r="A244" t="s">
        <v>2590</v>
      </c>
      <c r="B244">
        <v>5352</v>
      </c>
      <c r="C244" t="s">
        <v>2625</v>
      </c>
      <c r="D244">
        <v>5697</v>
      </c>
      <c r="E244" t="s">
        <v>2344</v>
      </c>
      <c r="F244" t="s">
        <v>2036</v>
      </c>
      <c r="G244">
        <v>2022</v>
      </c>
      <c r="H244">
        <v>8</v>
      </c>
      <c r="I244" s="8">
        <v>44774</v>
      </c>
      <c r="J244">
        <v>810</v>
      </c>
      <c r="K244">
        <v>930</v>
      </c>
      <c r="L244">
        <v>183214</v>
      </c>
      <c r="M244">
        <v>29971</v>
      </c>
      <c r="N244">
        <v>183214</v>
      </c>
      <c r="O244">
        <v>29971</v>
      </c>
      <c r="P244">
        <v>0</v>
      </c>
      <c r="Q244">
        <v>11.83</v>
      </c>
      <c r="R244">
        <v>21.22</v>
      </c>
      <c r="S244">
        <v>14.37</v>
      </c>
      <c r="T244">
        <v>182.65</v>
      </c>
      <c r="U244">
        <v>3761.51</v>
      </c>
      <c r="V244">
        <v>0</v>
      </c>
      <c r="W244">
        <v>0</v>
      </c>
      <c r="X244">
        <v>75080.100000000006</v>
      </c>
      <c r="AA244" s="232">
        <f t="shared" si="6"/>
        <v>32380.368449999998</v>
      </c>
      <c r="AB244" s="232">
        <f t="shared" si="7"/>
        <v>38938.240250000003</v>
      </c>
    </row>
    <row r="245" spans="1:28">
      <c r="A245" t="s">
        <v>2591</v>
      </c>
      <c r="B245">
        <v>5352</v>
      </c>
      <c r="C245" t="s">
        <v>2625</v>
      </c>
      <c r="D245">
        <v>5697</v>
      </c>
      <c r="E245" t="s">
        <v>2344</v>
      </c>
      <c r="F245" t="s">
        <v>2036</v>
      </c>
      <c r="G245">
        <v>2022</v>
      </c>
      <c r="H245">
        <v>8</v>
      </c>
      <c r="I245" s="8">
        <v>44774</v>
      </c>
      <c r="J245">
        <v>250</v>
      </c>
      <c r="K245">
        <v>250</v>
      </c>
      <c r="L245">
        <v>56262</v>
      </c>
      <c r="M245">
        <v>9380</v>
      </c>
      <c r="N245">
        <v>56262</v>
      </c>
      <c r="O245">
        <v>9380</v>
      </c>
      <c r="P245">
        <v>0</v>
      </c>
      <c r="Q245">
        <v>11.83</v>
      </c>
      <c r="R245">
        <v>21.22</v>
      </c>
      <c r="S245">
        <v>14.37</v>
      </c>
      <c r="T245">
        <v>182.65</v>
      </c>
      <c r="U245">
        <v>1117.8800000000001</v>
      </c>
      <c r="V245">
        <v>0</v>
      </c>
      <c r="W245">
        <v>0</v>
      </c>
      <c r="X245">
        <v>26178.639999999999</v>
      </c>
      <c r="AA245" s="232">
        <f t="shared" si="6"/>
        <v>9205.7755400000005</v>
      </c>
      <c r="AB245" s="232">
        <f t="shared" si="7"/>
        <v>11989.5113</v>
      </c>
    </row>
    <row r="246" spans="1:28">
      <c r="A246" t="s">
        <v>2592</v>
      </c>
      <c r="B246">
        <v>5352</v>
      </c>
      <c r="C246" t="s">
        <v>2625</v>
      </c>
      <c r="D246">
        <v>5697</v>
      </c>
      <c r="E246" t="s">
        <v>2344</v>
      </c>
      <c r="F246" t="s">
        <v>2036</v>
      </c>
      <c r="G246">
        <v>2022</v>
      </c>
      <c r="H246">
        <v>8</v>
      </c>
      <c r="I246" s="8">
        <v>44774</v>
      </c>
      <c r="J246">
        <v>900</v>
      </c>
      <c r="K246">
        <v>850</v>
      </c>
      <c r="L246">
        <v>184305</v>
      </c>
      <c r="M246">
        <v>28004</v>
      </c>
      <c r="N246">
        <v>184305</v>
      </c>
      <c r="O246">
        <v>28004</v>
      </c>
      <c r="P246">
        <v>0</v>
      </c>
      <c r="Q246">
        <v>11.83</v>
      </c>
      <c r="R246">
        <v>21.22</v>
      </c>
      <c r="S246">
        <v>14.37</v>
      </c>
      <c r="T246">
        <v>182.65</v>
      </c>
      <c r="U246">
        <v>3719.03</v>
      </c>
      <c r="V246">
        <v>0</v>
      </c>
      <c r="W246">
        <v>-1538.98</v>
      </c>
      <c r="X246">
        <v>72693.149999999994</v>
      </c>
      <c r="AA246" s="232">
        <f t="shared" si="6"/>
        <v>31734.88033</v>
      </c>
      <c r="AB246" s="232">
        <f t="shared" si="7"/>
        <v>38778.238850000002</v>
      </c>
    </row>
    <row r="247" spans="1:28">
      <c r="A247" t="s">
        <v>2593</v>
      </c>
      <c r="B247">
        <v>5352</v>
      </c>
      <c r="C247" t="s">
        <v>2625</v>
      </c>
      <c r="D247">
        <v>5697</v>
      </c>
      <c r="E247" t="s">
        <v>2344</v>
      </c>
      <c r="F247" t="s">
        <v>2036</v>
      </c>
      <c r="G247">
        <v>2022</v>
      </c>
      <c r="H247">
        <v>8</v>
      </c>
      <c r="I247" s="8">
        <v>44774</v>
      </c>
      <c r="J247">
        <v>480</v>
      </c>
      <c r="K247">
        <v>550</v>
      </c>
      <c r="L247">
        <v>145646</v>
      </c>
      <c r="M247">
        <v>21463</v>
      </c>
      <c r="N247">
        <v>145646</v>
      </c>
      <c r="O247">
        <v>21463</v>
      </c>
      <c r="P247">
        <v>0</v>
      </c>
      <c r="Q247">
        <v>11.83</v>
      </c>
      <c r="R247">
        <v>21.22</v>
      </c>
      <c r="S247">
        <v>14.37</v>
      </c>
      <c r="T247">
        <v>182.65</v>
      </c>
      <c r="U247">
        <v>2651.54</v>
      </c>
      <c r="V247">
        <v>0</v>
      </c>
      <c r="W247">
        <v>0</v>
      </c>
      <c r="X247">
        <v>52924.74</v>
      </c>
      <c r="AA247" s="232">
        <f t="shared" si="6"/>
        <v>19750.75633</v>
      </c>
      <c r="AB247" s="232">
        <f t="shared" si="7"/>
        <v>30522.458850000003</v>
      </c>
    </row>
    <row r="248" spans="1:28">
      <c r="A248" t="s">
        <v>2594</v>
      </c>
      <c r="B248">
        <v>5352</v>
      </c>
      <c r="C248" t="s">
        <v>2625</v>
      </c>
      <c r="D248">
        <v>5697</v>
      </c>
      <c r="E248" t="s">
        <v>2344</v>
      </c>
      <c r="F248" t="s">
        <v>2036</v>
      </c>
      <c r="G248">
        <v>2022</v>
      </c>
      <c r="H248">
        <v>8</v>
      </c>
      <c r="I248" s="8">
        <v>44774</v>
      </c>
      <c r="J248">
        <v>320</v>
      </c>
      <c r="K248">
        <v>320</v>
      </c>
      <c r="L248">
        <v>101203</v>
      </c>
      <c r="M248">
        <v>13505</v>
      </c>
      <c r="N248">
        <v>101203</v>
      </c>
      <c r="O248">
        <v>13505</v>
      </c>
      <c r="P248">
        <v>0</v>
      </c>
      <c r="Q248">
        <v>11.83</v>
      </c>
      <c r="R248">
        <v>21.22</v>
      </c>
      <c r="S248">
        <v>14.37</v>
      </c>
      <c r="T248">
        <v>182.65</v>
      </c>
      <c r="U248">
        <v>1749.78</v>
      </c>
      <c r="V248">
        <v>0</v>
      </c>
      <c r="W248">
        <v>-303.68</v>
      </c>
      <c r="X248">
        <v>34621.839999999997</v>
      </c>
      <c r="AA248" s="232">
        <f t="shared" si="6"/>
        <v>12224.35396</v>
      </c>
      <c r="AB248" s="232">
        <f t="shared" si="7"/>
        <v>20951.4162</v>
      </c>
    </row>
    <row r="249" spans="1:28">
      <c r="A249" t="s">
        <v>2595</v>
      </c>
      <c r="B249">
        <v>5352</v>
      </c>
      <c r="C249" t="s">
        <v>2625</v>
      </c>
      <c r="D249">
        <v>5697</v>
      </c>
      <c r="E249" t="s">
        <v>2344</v>
      </c>
      <c r="F249" t="s">
        <v>2036</v>
      </c>
      <c r="G249">
        <v>2022</v>
      </c>
      <c r="H249">
        <v>8</v>
      </c>
      <c r="I249" s="8">
        <v>44774</v>
      </c>
      <c r="J249">
        <v>600</v>
      </c>
      <c r="K249">
        <v>600</v>
      </c>
      <c r="L249">
        <v>170963</v>
      </c>
      <c r="M249">
        <v>23466</v>
      </c>
      <c r="N249">
        <v>170963</v>
      </c>
      <c r="O249">
        <v>23466</v>
      </c>
      <c r="P249">
        <v>0</v>
      </c>
      <c r="Q249">
        <v>11.83</v>
      </c>
      <c r="R249">
        <v>21.22</v>
      </c>
      <c r="S249">
        <v>14.37</v>
      </c>
      <c r="T249">
        <v>182.65</v>
      </c>
      <c r="U249">
        <v>3066.25</v>
      </c>
      <c r="V249">
        <v>0</v>
      </c>
      <c r="W249">
        <v>-552.48</v>
      </c>
      <c r="X249">
        <v>60650.15</v>
      </c>
      <c r="AA249" s="232">
        <f t="shared" si="6"/>
        <v>22623.944729999999</v>
      </c>
      <c r="AB249" s="232">
        <f t="shared" si="7"/>
        <v>35512.456850000002</v>
      </c>
    </row>
    <row r="250" spans="1:28">
      <c r="A250" t="s">
        <v>2596</v>
      </c>
      <c r="B250">
        <v>5352</v>
      </c>
      <c r="C250" t="s">
        <v>2625</v>
      </c>
      <c r="D250">
        <v>5697</v>
      </c>
      <c r="E250" t="s">
        <v>2344</v>
      </c>
      <c r="F250" t="s">
        <v>2036</v>
      </c>
      <c r="G250">
        <v>2022</v>
      </c>
      <c r="H250">
        <v>8</v>
      </c>
      <c r="I250" s="8">
        <v>44774</v>
      </c>
      <c r="J250">
        <v>450</v>
      </c>
      <c r="K250">
        <v>450</v>
      </c>
      <c r="L250">
        <v>131040</v>
      </c>
      <c r="M250">
        <v>17643</v>
      </c>
      <c r="N250">
        <v>131040</v>
      </c>
      <c r="O250">
        <v>17643</v>
      </c>
      <c r="P250">
        <v>0</v>
      </c>
      <c r="Q250">
        <v>11.83</v>
      </c>
      <c r="R250">
        <v>21.22</v>
      </c>
      <c r="S250">
        <v>14.37</v>
      </c>
      <c r="T250">
        <v>182.65</v>
      </c>
      <c r="U250">
        <v>2329.4299999999998</v>
      </c>
      <c r="V250">
        <v>0</v>
      </c>
      <c r="W250">
        <v>0</v>
      </c>
      <c r="X250">
        <v>46495.43</v>
      </c>
      <c r="AA250" s="232">
        <f t="shared" si="6"/>
        <v>17009.074710000001</v>
      </c>
      <c r="AB250" s="232">
        <f t="shared" si="7"/>
        <v>27156.949949999998</v>
      </c>
    </row>
    <row r="251" spans="1:28">
      <c r="A251" t="s">
        <v>2597</v>
      </c>
      <c r="B251">
        <v>5352</v>
      </c>
      <c r="C251" t="s">
        <v>2625</v>
      </c>
      <c r="D251">
        <v>5697</v>
      </c>
      <c r="E251" t="s">
        <v>2344</v>
      </c>
      <c r="F251" t="s">
        <v>2036</v>
      </c>
      <c r="G251">
        <v>2022</v>
      </c>
      <c r="H251">
        <v>8</v>
      </c>
      <c r="I251" s="8">
        <v>44774</v>
      </c>
      <c r="J251">
        <v>820</v>
      </c>
      <c r="K251">
        <v>820</v>
      </c>
      <c r="L251">
        <v>278205</v>
      </c>
      <c r="M251">
        <v>37017</v>
      </c>
      <c r="N251">
        <v>278205</v>
      </c>
      <c r="O251">
        <v>37017</v>
      </c>
      <c r="P251">
        <v>0</v>
      </c>
      <c r="Q251">
        <v>11.83</v>
      </c>
      <c r="R251">
        <v>21.22</v>
      </c>
      <c r="S251">
        <v>14.37</v>
      </c>
      <c r="T251">
        <v>182.65</v>
      </c>
      <c r="U251">
        <v>4704.9399999999996</v>
      </c>
      <c r="V251">
        <v>0</v>
      </c>
      <c r="W251">
        <v>0</v>
      </c>
      <c r="X251">
        <v>93910.96</v>
      </c>
      <c r="AA251" s="232">
        <f t="shared" si="6"/>
        <v>31630.740140000002</v>
      </c>
      <c r="AB251" s="232">
        <f t="shared" si="7"/>
        <v>57575.298299999995</v>
      </c>
    </row>
    <row r="252" spans="1:28">
      <c r="A252" t="s">
        <v>2598</v>
      </c>
      <c r="B252">
        <v>5352</v>
      </c>
      <c r="C252" t="s">
        <v>2625</v>
      </c>
      <c r="D252">
        <v>5697</v>
      </c>
      <c r="E252" t="s">
        <v>2344</v>
      </c>
      <c r="F252" t="s">
        <v>2036</v>
      </c>
      <c r="G252">
        <v>2022</v>
      </c>
      <c r="H252">
        <v>8</v>
      </c>
      <c r="I252" s="8">
        <v>44774</v>
      </c>
      <c r="J252">
        <v>1450</v>
      </c>
      <c r="K252">
        <v>1450</v>
      </c>
      <c r="L252">
        <v>758582</v>
      </c>
      <c r="M252">
        <v>48081</v>
      </c>
      <c r="N252">
        <v>758582</v>
      </c>
      <c r="O252">
        <v>48081</v>
      </c>
      <c r="P252">
        <v>0</v>
      </c>
      <c r="Q252">
        <v>11.83</v>
      </c>
      <c r="R252">
        <v>21.22</v>
      </c>
      <c r="S252">
        <v>14.37</v>
      </c>
      <c r="T252">
        <v>182.65</v>
      </c>
      <c r="U252">
        <v>10909.82</v>
      </c>
      <c r="V252">
        <v>0</v>
      </c>
      <c r="W252">
        <v>0</v>
      </c>
      <c r="X252">
        <v>217761.05</v>
      </c>
      <c r="AA252" s="232">
        <f t="shared" si="6"/>
        <v>59514.247309999999</v>
      </c>
      <c r="AB252" s="232">
        <f t="shared" si="7"/>
        <v>147336.99695</v>
      </c>
    </row>
    <row r="253" spans="1:28">
      <c r="AA253" s="232">
        <f t="shared" si="6"/>
        <v>0</v>
      </c>
      <c r="AB253" s="232">
        <f t="shared" si="7"/>
        <v>0</v>
      </c>
    </row>
    <row r="254" spans="1:28">
      <c r="AA254" s="232">
        <f t="shared" si="6"/>
        <v>0</v>
      </c>
      <c r="AB254" s="232">
        <f t="shared" si="7"/>
        <v>0</v>
      </c>
    </row>
    <row r="255" spans="1:28">
      <c r="AA255" s="232">
        <f t="shared" si="6"/>
        <v>0</v>
      </c>
      <c r="AB255" s="232">
        <f t="shared" si="7"/>
        <v>0</v>
      </c>
    </row>
    <row r="256" spans="1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3812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0" t="s">
        <v>169</v>
      </c>
      <c r="K1" s="720" t="s">
        <v>175</v>
      </c>
      <c r="L1" s="720" t="s">
        <v>174</v>
      </c>
      <c r="M1" s="720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5352</v>
      </c>
      <c r="B2" t="s">
        <v>2625</v>
      </c>
      <c r="C2">
        <v>5697</v>
      </c>
      <c r="D2" t="s">
        <v>2344</v>
      </c>
      <c r="E2" t="s">
        <v>2036</v>
      </c>
      <c r="F2">
        <v>202108</v>
      </c>
      <c r="G2" t="s">
        <v>190</v>
      </c>
      <c r="H2">
        <v>626755</v>
      </c>
      <c r="J2" s="721">
        <f>CAPA!K12</f>
        <v>5352</v>
      </c>
      <c r="K2" s="721" t="s">
        <v>177</v>
      </c>
      <c r="L2" s="721" t="str">
        <f>"&gt;="&amp;K6</f>
        <v>&gt;=202109</v>
      </c>
      <c r="M2" s="721" t="str">
        <f>"&lt;="&amp;K7</f>
        <v>&lt;=202208</v>
      </c>
      <c r="O2">
        <v>5352</v>
      </c>
      <c r="P2" t="s">
        <v>2625</v>
      </c>
      <c r="Q2">
        <v>5697</v>
      </c>
      <c r="R2" t="s">
        <v>2344</v>
      </c>
      <c r="S2" t="s">
        <v>2036</v>
      </c>
      <c r="T2">
        <v>202109</v>
      </c>
      <c r="U2" t="s">
        <v>190</v>
      </c>
      <c r="V2">
        <v>125980</v>
      </c>
      <c r="X2">
        <v>5697</v>
      </c>
      <c r="Y2" t="s">
        <v>2344</v>
      </c>
      <c r="Z2" t="s">
        <v>2036</v>
      </c>
      <c r="AB2">
        <v>5697</v>
      </c>
      <c r="AC2" t="s">
        <v>2344</v>
      </c>
      <c r="AD2" t="s">
        <v>2036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5352</v>
      </c>
      <c r="B3" t="s">
        <v>2625</v>
      </c>
      <c r="C3">
        <v>5697</v>
      </c>
      <c r="D3" t="s">
        <v>2344</v>
      </c>
      <c r="E3" t="s">
        <v>2036</v>
      </c>
      <c r="F3">
        <v>202108</v>
      </c>
      <c r="G3" t="s">
        <v>190</v>
      </c>
      <c r="H3">
        <v>287970</v>
      </c>
      <c r="J3" s="721">
        <f>J2</f>
        <v>5352</v>
      </c>
      <c r="K3" s="721" t="s">
        <v>179</v>
      </c>
      <c r="L3" s="721" t="str">
        <f>L2</f>
        <v>&gt;=202109</v>
      </c>
      <c r="M3" s="721" t="str">
        <f>M2</f>
        <v>&lt;=202208</v>
      </c>
      <c r="O3">
        <v>5352</v>
      </c>
      <c r="P3" t="s">
        <v>2625</v>
      </c>
      <c r="Q3">
        <v>5697</v>
      </c>
      <c r="R3" t="s">
        <v>2344</v>
      </c>
      <c r="S3" t="s">
        <v>2036</v>
      </c>
      <c r="T3">
        <v>202109</v>
      </c>
      <c r="U3" t="s">
        <v>191</v>
      </c>
      <c r="V3">
        <v>18185</v>
      </c>
      <c r="AB3">
        <v>5697</v>
      </c>
      <c r="AC3" t="s">
        <v>2344</v>
      </c>
      <c r="AD3" t="s">
        <v>2036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5352</v>
      </c>
      <c r="B4" t="s">
        <v>2625</v>
      </c>
      <c r="C4">
        <v>5697</v>
      </c>
      <c r="D4" t="s">
        <v>2344</v>
      </c>
      <c r="E4" t="s">
        <v>2036</v>
      </c>
      <c r="F4">
        <v>202108</v>
      </c>
      <c r="G4" t="s">
        <v>190</v>
      </c>
      <c r="H4">
        <v>122507</v>
      </c>
      <c r="J4" s="723">
        <f>J3</f>
        <v>5352</v>
      </c>
      <c r="K4" s="721" t="s">
        <v>181</v>
      </c>
      <c r="L4" s="722" t="str">
        <f>L2</f>
        <v>&gt;=202109</v>
      </c>
      <c r="M4" s="722" t="str">
        <f>M2</f>
        <v>&lt;=202208</v>
      </c>
      <c r="O4">
        <v>5352</v>
      </c>
      <c r="P4" t="s">
        <v>2625</v>
      </c>
      <c r="Q4">
        <v>5697</v>
      </c>
      <c r="R4" t="s">
        <v>2344</v>
      </c>
      <c r="S4" t="s">
        <v>2036</v>
      </c>
      <c r="T4">
        <v>202109</v>
      </c>
      <c r="U4" t="s">
        <v>178</v>
      </c>
      <c r="V4">
        <v>450</v>
      </c>
      <c r="AB4">
        <v>5697</v>
      </c>
      <c r="AC4" t="s">
        <v>2344</v>
      </c>
      <c r="AD4" t="s">
        <v>2036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5352</v>
      </c>
      <c r="B5" t="s">
        <v>2625</v>
      </c>
      <c r="C5">
        <v>5697</v>
      </c>
      <c r="D5" t="s">
        <v>2344</v>
      </c>
      <c r="E5" t="s">
        <v>2036</v>
      </c>
      <c r="F5">
        <v>202108</v>
      </c>
      <c r="G5" t="s">
        <v>190</v>
      </c>
      <c r="H5">
        <v>189972</v>
      </c>
      <c r="J5" s="723">
        <f>J4</f>
        <v>5352</v>
      </c>
      <c r="K5" s="899" t="s">
        <v>183</v>
      </c>
      <c r="L5" s="722" t="str">
        <f>L3</f>
        <v>&gt;=202109</v>
      </c>
      <c r="M5" s="722" t="str">
        <f>M3</f>
        <v>&lt;=202208</v>
      </c>
      <c r="O5">
        <v>5352</v>
      </c>
      <c r="P5" t="s">
        <v>2625</v>
      </c>
      <c r="Q5">
        <v>5697</v>
      </c>
      <c r="R5" t="s">
        <v>2344</v>
      </c>
      <c r="S5" t="s">
        <v>2036</v>
      </c>
      <c r="T5">
        <v>202109</v>
      </c>
      <c r="U5" t="s">
        <v>180</v>
      </c>
      <c r="V5">
        <v>450</v>
      </c>
      <c r="AB5">
        <v>5697</v>
      </c>
      <c r="AC5" t="s">
        <v>2344</v>
      </c>
      <c r="AD5" t="s">
        <v>2036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5352</v>
      </c>
      <c r="B6" t="s">
        <v>2625</v>
      </c>
      <c r="C6">
        <v>5697</v>
      </c>
      <c r="D6" t="s">
        <v>2344</v>
      </c>
      <c r="E6" t="s">
        <v>2036</v>
      </c>
      <c r="F6">
        <v>202108</v>
      </c>
      <c r="G6" t="s">
        <v>191</v>
      </c>
      <c r="H6">
        <v>38419</v>
      </c>
      <c r="J6" t="s">
        <v>185</v>
      </c>
      <c r="K6">
        <f>(YEAR(SAS_RA0_DataInicio)*100+MONTH(SAS_RA0_DataInicio))</f>
        <v>202109</v>
      </c>
      <c r="O6">
        <v>5352</v>
      </c>
      <c r="P6" t="s">
        <v>2625</v>
      </c>
      <c r="Q6">
        <v>5697</v>
      </c>
      <c r="R6" t="s">
        <v>2344</v>
      </c>
      <c r="S6" t="s">
        <v>2036</v>
      </c>
      <c r="T6">
        <v>202109</v>
      </c>
      <c r="U6" t="s">
        <v>182</v>
      </c>
      <c r="V6">
        <v>125980</v>
      </c>
      <c r="AB6">
        <v>5697</v>
      </c>
      <c r="AC6" t="s">
        <v>2344</v>
      </c>
      <c r="AD6" t="s">
        <v>2036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5352</v>
      </c>
      <c r="B7" t="s">
        <v>2625</v>
      </c>
      <c r="C7">
        <v>5697</v>
      </c>
      <c r="D7" t="s">
        <v>2344</v>
      </c>
      <c r="E7" t="s">
        <v>2036</v>
      </c>
      <c r="F7">
        <v>202108</v>
      </c>
      <c r="G7" t="s">
        <v>191</v>
      </c>
      <c r="H7">
        <v>31567</v>
      </c>
      <c r="J7" t="s">
        <v>187</v>
      </c>
      <c r="K7">
        <f>YEAR(SAS_RA0_DataFim)*100+MONTH(SAS_RA0_DataFim)</f>
        <v>202208</v>
      </c>
      <c r="O7">
        <v>5352</v>
      </c>
      <c r="P7" t="s">
        <v>2625</v>
      </c>
      <c r="Q7">
        <v>5697</v>
      </c>
      <c r="R7" t="s">
        <v>2344</v>
      </c>
      <c r="S7" t="s">
        <v>2036</v>
      </c>
      <c r="T7">
        <v>202109</v>
      </c>
      <c r="U7" t="s">
        <v>184</v>
      </c>
      <c r="V7">
        <v>18185</v>
      </c>
      <c r="AI7">
        <f t="shared" si="0"/>
        <v>0</v>
      </c>
      <c r="AJ7" t="str">
        <f t="shared" si="1"/>
        <v>Nada</v>
      </c>
    </row>
    <row r="8" spans="1:36">
      <c r="A8">
        <v>5352</v>
      </c>
      <c r="B8" t="s">
        <v>2625</v>
      </c>
      <c r="C8">
        <v>5697</v>
      </c>
      <c r="D8" t="s">
        <v>2344</v>
      </c>
      <c r="E8" t="s">
        <v>2036</v>
      </c>
      <c r="F8">
        <v>202108</v>
      </c>
      <c r="G8" t="s">
        <v>191</v>
      </c>
      <c r="H8">
        <v>18532</v>
      </c>
      <c r="J8" t="s">
        <v>188</v>
      </c>
      <c r="K8" s="629">
        <f>MAX(AI:AI)</f>
        <v>202208</v>
      </c>
      <c r="O8">
        <v>5352</v>
      </c>
      <c r="P8" t="s">
        <v>2625</v>
      </c>
      <c r="Q8">
        <v>5697</v>
      </c>
      <c r="R8" t="s">
        <v>2344</v>
      </c>
      <c r="S8" t="s">
        <v>2036</v>
      </c>
      <c r="T8">
        <v>202109</v>
      </c>
      <c r="U8" t="s">
        <v>186</v>
      </c>
      <c r="V8">
        <v>0</v>
      </c>
      <c r="AI8">
        <f t="shared" si="0"/>
        <v>0</v>
      </c>
      <c r="AJ8" t="str">
        <f t="shared" si="1"/>
        <v>Nada</v>
      </c>
    </row>
    <row r="9" spans="1:36">
      <c r="A9">
        <v>5352</v>
      </c>
      <c r="B9" t="s">
        <v>2625</v>
      </c>
      <c r="C9">
        <v>5697</v>
      </c>
      <c r="D9" t="s">
        <v>2344</v>
      </c>
      <c r="E9" t="s">
        <v>2036</v>
      </c>
      <c r="F9">
        <v>202108</v>
      </c>
      <c r="G9" t="s">
        <v>191</v>
      </c>
      <c r="H9">
        <v>40445</v>
      </c>
      <c r="J9" t="s">
        <v>189</v>
      </c>
      <c r="K9" s="629">
        <f>MAX(AJ:AJ)</f>
        <v>0</v>
      </c>
      <c r="O9">
        <v>5352</v>
      </c>
      <c r="P9" t="s">
        <v>2625</v>
      </c>
      <c r="Q9">
        <v>5697</v>
      </c>
      <c r="R9" t="s">
        <v>2344</v>
      </c>
      <c r="S9" t="s">
        <v>2036</v>
      </c>
      <c r="T9">
        <v>202109</v>
      </c>
      <c r="U9" t="s">
        <v>190</v>
      </c>
      <c r="V9">
        <v>650166</v>
      </c>
    </row>
    <row r="10" spans="1:36">
      <c r="A10">
        <v>5352</v>
      </c>
      <c r="B10" t="s">
        <v>2625</v>
      </c>
      <c r="C10">
        <v>5697</v>
      </c>
      <c r="D10" t="s">
        <v>2344</v>
      </c>
      <c r="E10" t="s">
        <v>2036</v>
      </c>
      <c r="F10">
        <v>202108</v>
      </c>
      <c r="G10" t="s">
        <v>176</v>
      </c>
      <c r="H10">
        <v>0</v>
      </c>
      <c r="O10">
        <v>5352</v>
      </c>
      <c r="P10" t="s">
        <v>2625</v>
      </c>
      <c r="Q10">
        <v>5697</v>
      </c>
      <c r="R10" t="s">
        <v>2344</v>
      </c>
      <c r="S10" t="s">
        <v>2036</v>
      </c>
      <c r="T10">
        <v>202109</v>
      </c>
      <c r="U10" t="s">
        <v>191</v>
      </c>
      <c r="V10">
        <v>48888</v>
      </c>
    </row>
    <row r="11" spans="1:36">
      <c r="A11">
        <v>5352</v>
      </c>
      <c r="B11" t="s">
        <v>2625</v>
      </c>
      <c r="C11">
        <v>5697</v>
      </c>
      <c r="D11" t="s">
        <v>2344</v>
      </c>
      <c r="E11" t="s">
        <v>2036</v>
      </c>
      <c r="F11">
        <v>202108</v>
      </c>
      <c r="G11" t="s">
        <v>178</v>
      </c>
      <c r="H11">
        <v>450</v>
      </c>
      <c r="J11" s="777">
        <f>VALUE(A2)</f>
        <v>5352</v>
      </c>
      <c r="O11">
        <v>5352</v>
      </c>
      <c r="P11" t="s">
        <v>2625</v>
      </c>
      <c r="Q11">
        <v>5697</v>
      </c>
      <c r="R11" t="s">
        <v>2344</v>
      </c>
      <c r="S11" t="s">
        <v>2036</v>
      </c>
      <c r="T11">
        <v>202109</v>
      </c>
      <c r="U11" t="s">
        <v>178</v>
      </c>
      <c r="V11">
        <v>1374</v>
      </c>
    </row>
    <row r="12" spans="1:36">
      <c r="A12">
        <v>5352</v>
      </c>
      <c r="B12" t="s">
        <v>2625</v>
      </c>
      <c r="C12">
        <v>5697</v>
      </c>
      <c r="D12" t="s">
        <v>2344</v>
      </c>
      <c r="E12" t="s">
        <v>2036</v>
      </c>
      <c r="F12">
        <v>202108</v>
      </c>
      <c r="G12" t="s">
        <v>178</v>
      </c>
      <c r="H12">
        <v>1300</v>
      </c>
      <c r="K12" s="8"/>
      <c r="O12">
        <v>5352</v>
      </c>
      <c r="P12" t="s">
        <v>2625</v>
      </c>
      <c r="Q12">
        <v>5697</v>
      </c>
      <c r="R12" t="s">
        <v>2344</v>
      </c>
      <c r="S12" t="s">
        <v>2036</v>
      </c>
      <c r="T12">
        <v>202109</v>
      </c>
      <c r="U12" t="s">
        <v>180</v>
      </c>
      <c r="V12">
        <v>1377</v>
      </c>
    </row>
    <row r="13" spans="1:36">
      <c r="A13">
        <v>5352</v>
      </c>
      <c r="B13" t="s">
        <v>2625</v>
      </c>
      <c r="C13">
        <v>5697</v>
      </c>
      <c r="D13" t="s">
        <v>2344</v>
      </c>
      <c r="E13" t="s">
        <v>2036</v>
      </c>
      <c r="F13">
        <v>202108</v>
      </c>
      <c r="G13" t="s">
        <v>178</v>
      </c>
      <c r="H13">
        <v>844</v>
      </c>
      <c r="O13">
        <v>5352</v>
      </c>
      <c r="P13" t="s">
        <v>2625</v>
      </c>
      <c r="Q13">
        <v>5697</v>
      </c>
      <c r="R13" t="s">
        <v>2344</v>
      </c>
      <c r="S13" t="s">
        <v>2036</v>
      </c>
      <c r="T13">
        <v>202109</v>
      </c>
      <c r="U13" t="s">
        <v>182</v>
      </c>
      <c r="V13">
        <v>650166</v>
      </c>
    </row>
    <row r="14" spans="1:36">
      <c r="A14">
        <v>5352</v>
      </c>
      <c r="B14" t="s">
        <v>2625</v>
      </c>
      <c r="C14">
        <v>5697</v>
      </c>
      <c r="D14" t="s">
        <v>2344</v>
      </c>
      <c r="E14" t="s">
        <v>2036</v>
      </c>
      <c r="F14">
        <v>202108</v>
      </c>
      <c r="G14" t="s">
        <v>178</v>
      </c>
      <c r="H14">
        <v>1386</v>
      </c>
      <c r="O14">
        <v>5352</v>
      </c>
      <c r="P14" t="s">
        <v>2625</v>
      </c>
      <c r="Q14">
        <v>5697</v>
      </c>
      <c r="R14" t="s">
        <v>2344</v>
      </c>
      <c r="S14" t="s">
        <v>2036</v>
      </c>
      <c r="T14">
        <v>202109</v>
      </c>
      <c r="U14" t="s">
        <v>184</v>
      </c>
      <c r="V14">
        <v>48888</v>
      </c>
    </row>
    <row r="15" spans="1:36">
      <c r="A15">
        <v>5352</v>
      </c>
      <c r="B15" t="s">
        <v>2625</v>
      </c>
      <c r="C15">
        <v>5697</v>
      </c>
      <c r="D15" t="s">
        <v>2344</v>
      </c>
      <c r="E15" t="s">
        <v>2036</v>
      </c>
      <c r="F15">
        <v>202108</v>
      </c>
      <c r="G15" t="s">
        <v>180</v>
      </c>
      <c r="H15">
        <v>1250</v>
      </c>
      <c r="O15">
        <v>5352</v>
      </c>
      <c r="P15" t="s">
        <v>2625</v>
      </c>
      <c r="Q15">
        <v>5697</v>
      </c>
      <c r="R15" t="s">
        <v>2344</v>
      </c>
      <c r="S15" t="s">
        <v>2036</v>
      </c>
      <c r="T15">
        <v>202109</v>
      </c>
      <c r="U15" t="s">
        <v>186</v>
      </c>
      <c r="V15">
        <v>0</v>
      </c>
    </row>
    <row r="16" spans="1:36">
      <c r="A16">
        <v>5352</v>
      </c>
      <c r="B16" t="s">
        <v>2625</v>
      </c>
      <c r="C16">
        <v>5697</v>
      </c>
      <c r="D16" t="s">
        <v>2344</v>
      </c>
      <c r="E16" t="s">
        <v>2036</v>
      </c>
      <c r="F16">
        <v>202108</v>
      </c>
      <c r="G16" t="s">
        <v>180</v>
      </c>
      <c r="H16">
        <v>1350</v>
      </c>
      <c r="O16">
        <v>5352</v>
      </c>
      <c r="P16" t="s">
        <v>2625</v>
      </c>
      <c r="Q16">
        <v>5697</v>
      </c>
      <c r="R16" t="s">
        <v>2344</v>
      </c>
      <c r="S16" t="s">
        <v>2036</v>
      </c>
      <c r="T16">
        <v>202109</v>
      </c>
      <c r="U16" t="s">
        <v>190</v>
      </c>
      <c r="V16">
        <v>141712</v>
      </c>
    </row>
    <row r="17" spans="1:22">
      <c r="A17">
        <v>5352</v>
      </c>
      <c r="B17" t="s">
        <v>2625</v>
      </c>
      <c r="C17">
        <v>5697</v>
      </c>
      <c r="D17" t="s">
        <v>2344</v>
      </c>
      <c r="E17" t="s">
        <v>2036</v>
      </c>
      <c r="F17">
        <v>202108</v>
      </c>
      <c r="G17" t="s">
        <v>180</v>
      </c>
      <c r="H17">
        <v>450</v>
      </c>
      <c r="O17">
        <v>5352</v>
      </c>
      <c r="P17" t="s">
        <v>2625</v>
      </c>
      <c r="Q17">
        <v>5697</v>
      </c>
      <c r="R17" t="s">
        <v>2344</v>
      </c>
      <c r="S17" t="s">
        <v>2036</v>
      </c>
      <c r="T17">
        <v>202109</v>
      </c>
      <c r="U17" t="s">
        <v>191</v>
      </c>
      <c r="V17">
        <v>22874</v>
      </c>
    </row>
    <row r="18" spans="1:22">
      <c r="A18">
        <v>5352</v>
      </c>
      <c r="B18" t="s">
        <v>2625</v>
      </c>
      <c r="C18">
        <v>5697</v>
      </c>
      <c r="D18" t="s">
        <v>2344</v>
      </c>
      <c r="E18" t="s">
        <v>2036</v>
      </c>
      <c r="F18">
        <v>202108</v>
      </c>
      <c r="G18" t="s">
        <v>180</v>
      </c>
      <c r="H18">
        <v>820</v>
      </c>
      <c r="O18">
        <v>5352</v>
      </c>
      <c r="P18" t="s">
        <v>2625</v>
      </c>
      <c r="Q18">
        <v>5697</v>
      </c>
      <c r="R18" t="s">
        <v>2344</v>
      </c>
      <c r="S18" t="s">
        <v>2036</v>
      </c>
      <c r="T18">
        <v>202109</v>
      </c>
      <c r="U18" t="s">
        <v>178</v>
      </c>
      <c r="V18">
        <v>470</v>
      </c>
    </row>
    <row r="19" spans="1:22">
      <c r="A19">
        <v>5352</v>
      </c>
      <c r="B19" t="s">
        <v>2625</v>
      </c>
      <c r="C19">
        <v>5697</v>
      </c>
      <c r="D19" t="s">
        <v>2344</v>
      </c>
      <c r="E19" t="s">
        <v>2036</v>
      </c>
      <c r="F19">
        <v>202108</v>
      </c>
      <c r="G19" t="s">
        <v>182</v>
      </c>
      <c r="H19">
        <v>189972</v>
      </c>
      <c r="O19">
        <v>5352</v>
      </c>
      <c r="P19" t="s">
        <v>2625</v>
      </c>
      <c r="Q19">
        <v>5697</v>
      </c>
      <c r="R19" t="s">
        <v>2344</v>
      </c>
      <c r="S19" t="s">
        <v>2036</v>
      </c>
      <c r="T19">
        <v>202109</v>
      </c>
      <c r="U19" t="s">
        <v>180</v>
      </c>
      <c r="V19">
        <v>530</v>
      </c>
    </row>
    <row r="20" spans="1:22">
      <c r="A20">
        <v>5352</v>
      </c>
      <c r="B20" t="s">
        <v>2625</v>
      </c>
      <c r="C20">
        <v>5697</v>
      </c>
      <c r="D20" t="s">
        <v>2344</v>
      </c>
      <c r="E20" t="s">
        <v>2036</v>
      </c>
      <c r="F20">
        <v>202108</v>
      </c>
      <c r="G20" t="s">
        <v>182</v>
      </c>
      <c r="H20">
        <v>287970</v>
      </c>
      <c r="O20">
        <v>5352</v>
      </c>
      <c r="P20" t="s">
        <v>2625</v>
      </c>
      <c r="Q20">
        <v>5697</v>
      </c>
      <c r="R20" t="s">
        <v>2344</v>
      </c>
      <c r="S20" t="s">
        <v>2036</v>
      </c>
      <c r="T20">
        <v>202109</v>
      </c>
      <c r="U20" t="s">
        <v>182</v>
      </c>
      <c r="V20">
        <v>141712</v>
      </c>
    </row>
    <row r="21" spans="1:22">
      <c r="A21">
        <v>5352</v>
      </c>
      <c r="B21" t="s">
        <v>2625</v>
      </c>
      <c r="C21">
        <v>5697</v>
      </c>
      <c r="D21" t="s">
        <v>2344</v>
      </c>
      <c r="E21" t="s">
        <v>2036</v>
      </c>
      <c r="F21">
        <v>202108</v>
      </c>
      <c r="G21" t="s">
        <v>182</v>
      </c>
      <c r="H21">
        <v>122507</v>
      </c>
      <c r="O21">
        <v>5352</v>
      </c>
      <c r="P21" t="s">
        <v>2625</v>
      </c>
      <c r="Q21">
        <v>5697</v>
      </c>
      <c r="R21" t="s">
        <v>2344</v>
      </c>
      <c r="S21" t="s">
        <v>2036</v>
      </c>
      <c r="T21">
        <v>202109</v>
      </c>
      <c r="U21" t="s">
        <v>184</v>
      </c>
      <c r="V21">
        <v>22874</v>
      </c>
    </row>
    <row r="22" spans="1:22">
      <c r="A22">
        <v>5352</v>
      </c>
      <c r="B22" t="s">
        <v>2625</v>
      </c>
      <c r="C22">
        <v>5697</v>
      </c>
      <c r="D22" t="s">
        <v>2344</v>
      </c>
      <c r="E22" t="s">
        <v>2036</v>
      </c>
      <c r="F22">
        <v>202108</v>
      </c>
      <c r="G22" t="s">
        <v>182</v>
      </c>
      <c r="H22">
        <v>626755</v>
      </c>
      <c r="O22">
        <v>5352</v>
      </c>
      <c r="P22" t="s">
        <v>2625</v>
      </c>
      <c r="Q22">
        <v>5697</v>
      </c>
      <c r="R22" t="s">
        <v>2344</v>
      </c>
      <c r="S22" t="s">
        <v>2036</v>
      </c>
      <c r="T22">
        <v>202109</v>
      </c>
      <c r="U22" t="s">
        <v>186</v>
      </c>
      <c r="V22">
        <v>0</v>
      </c>
    </row>
    <row r="23" spans="1:22">
      <c r="A23">
        <v>5352</v>
      </c>
      <c r="B23" t="s">
        <v>2625</v>
      </c>
      <c r="C23">
        <v>5697</v>
      </c>
      <c r="D23" t="s">
        <v>2344</v>
      </c>
      <c r="E23" t="s">
        <v>2036</v>
      </c>
      <c r="F23">
        <v>202108</v>
      </c>
      <c r="G23" t="s">
        <v>184</v>
      </c>
      <c r="H23">
        <v>40445</v>
      </c>
      <c r="O23">
        <v>5352</v>
      </c>
      <c r="P23" t="s">
        <v>2625</v>
      </c>
      <c r="Q23">
        <v>5697</v>
      </c>
      <c r="R23" t="s">
        <v>2344</v>
      </c>
      <c r="S23" t="s">
        <v>2036</v>
      </c>
      <c r="T23">
        <v>202109</v>
      </c>
      <c r="U23" t="s">
        <v>190</v>
      </c>
      <c r="V23">
        <v>334918</v>
      </c>
    </row>
    <row r="24" spans="1:22">
      <c r="A24">
        <v>5352</v>
      </c>
      <c r="B24" t="s">
        <v>2625</v>
      </c>
      <c r="C24">
        <v>5697</v>
      </c>
      <c r="D24" t="s">
        <v>2344</v>
      </c>
      <c r="E24" t="s">
        <v>2036</v>
      </c>
      <c r="F24">
        <v>202108</v>
      </c>
      <c r="G24" t="s">
        <v>184</v>
      </c>
      <c r="H24">
        <v>31567</v>
      </c>
      <c r="O24">
        <v>5352</v>
      </c>
      <c r="P24" t="s">
        <v>2625</v>
      </c>
      <c r="Q24">
        <v>5697</v>
      </c>
      <c r="R24" t="s">
        <v>2344</v>
      </c>
      <c r="S24" t="s">
        <v>2036</v>
      </c>
      <c r="T24">
        <v>202109</v>
      </c>
      <c r="U24" t="s">
        <v>191</v>
      </c>
      <c r="V24">
        <v>46378</v>
      </c>
    </row>
    <row r="25" spans="1:22">
      <c r="A25">
        <v>5352</v>
      </c>
      <c r="B25" t="s">
        <v>2625</v>
      </c>
      <c r="C25">
        <v>5697</v>
      </c>
      <c r="D25" t="s">
        <v>2344</v>
      </c>
      <c r="E25" t="s">
        <v>2036</v>
      </c>
      <c r="F25">
        <v>202108</v>
      </c>
      <c r="G25" t="s">
        <v>184</v>
      </c>
      <c r="H25">
        <v>38419</v>
      </c>
      <c r="O25">
        <v>5352</v>
      </c>
      <c r="P25" t="s">
        <v>2625</v>
      </c>
      <c r="Q25">
        <v>5697</v>
      </c>
      <c r="R25" t="s">
        <v>2344</v>
      </c>
      <c r="S25" t="s">
        <v>2036</v>
      </c>
      <c r="T25">
        <v>202109</v>
      </c>
      <c r="U25" t="s">
        <v>178</v>
      </c>
      <c r="V25">
        <v>937</v>
      </c>
    </row>
    <row r="26" spans="1:22">
      <c r="A26">
        <v>5352</v>
      </c>
      <c r="B26" t="s">
        <v>2625</v>
      </c>
      <c r="C26">
        <v>5697</v>
      </c>
      <c r="D26" t="s">
        <v>2344</v>
      </c>
      <c r="E26" t="s">
        <v>2036</v>
      </c>
      <c r="F26">
        <v>202108</v>
      </c>
      <c r="G26" t="s">
        <v>184</v>
      </c>
      <c r="H26">
        <v>18532</v>
      </c>
      <c r="O26">
        <v>5352</v>
      </c>
      <c r="P26" t="s">
        <v>2625</v>
      </c>
      <c r="Q26">
        <v>5697</v>
      </c>
      <c r="R26" t="s">
        <v>2344</v>
      </c>
      <c r="S26" t="s">
        <v>2036</v>
      </c>
      <c r="T26">
        <v>202109</v>
      </c>
      <c r="U26" t="s">
        <v>180</v>
      </c>
      <c r="V26">
        <v>898</v>
      </c>
    </row>
    <row r="27" spans="1:22">
      <c r="A27">
        <v>5352</v>
      </c>
      <c r="B27" t="s">
        <v>2625</v>
      </c>
      <c r="C27">
        <v>5697</v>
      </c>
      <c r="D27" t="s">
        <v>2344</v>
      </c>
      <c r="E27" t="s">
        <v>2036</v>
      </c>
      <c r="F27">
        <v>202108</v>
      </c>
      <c r="G27" t="s">
        <v>192</v>
      </c>
      <c r="H27">
        <v>0</v>
      </c>
      <c r="O27">
        <v>5352</v>
      </c>
      <c r="P27" t="s">
        <v>2625</v>
      </c>
      <c r="Q27">
        <v>5697</v>
      </c>
      <c r="R27" t="s">
        <v>2344</v>
      </c>
      <c r="S27" t="s">
        <v>2036</v>
      </c>
      <c r="T27">
        <v>202109</v>
      </c>
      <c r="U27" t="s">
        <v>182</v>
      </c>
      <c r="V27">
        <v>334918</v>
      </c>
    </row>
    <row r="28" spans="1:22">
      <c r="A28">
        <v>5352</v>
      </c>
      <c r="B28" t="s">
        <v>2625</v>
      </c>
      <c r="C28">
        <v>5697</v>
      </c>
      <c r="D28" t="s">
        <v>2344</v>
      </c>
      <c r="E28" t="s">
        <v>2036</v>
      </c>
      <c r="F28">
        <v>202108</v>
      </c>
      <c r="G28" t="s">
        <v>2170</v>
      </c>
      <c r="H28">
        <v>130.86000000000001</v>
      </c>
      <c r="O28">
        <v>5352</v>
      </c>
      <c r="P28" t="s">
        <v>2625</v>
      </c>
      <c r="Q28">
        <v>5697</v>
      </c>
      <c r="R28" t="s">
        <v>2344</v>
      </c>
      <c r="S28" t="s">
        <v>2036</v>
      </c>
      <c r="T28">
        <v>202109</v>
      </c>
      <c r="U28" t="s">
        <v>184</v>
      </c>
      <c r="V28">
        <v>46378</v>
      </c>
    </row>
    <row r="29" spans="1:22">
      <c r="A29">
        <v>5352</v>
      </c>
      <c r="B29" t="s">
        <v>2625</v>
      </c>
      <c r="C29">
        <v>5697</v>
      </c>
      <c r="D29" t="s">
        <v>2344</v>
      </c>
      <c r="E29" t="s">
        <v>2036</v>
      </c>
      <c r="F29">
        <v>202108</v>
      </c>
      <c r="G29" t="s">
        <v>186</v>
      </c>
      <c r="H29">
        <v>0</v>
      </c>
      <c r="O29">
        <v>5352</v>
      </c>
      <c r="P29" t="s">
        <v>2625</v>
      </c>
      <c r="Q29">
        <v>5697</v>
      </c>
      <c r="R29" t="s">
        <v>2344</v>
      </c>
      <c r="S29" t="s">
        <v>2036</v>
      </c>
      <c r="T29">
        <v>202109</v>
      </c>
      <c r="U29" t="s">
        <v>186</v>
      </c>
      <c r="V29">
        <v>0</v>
      </c>
    </row>
    <row r="30" spans="1:22">
      <c r="A30">
        <v>5352</v>
      </c>
      <c r="B30" t="s">
        <v>2625</v>
      </c>
      <c r="C30">
        <v>5697</v>
      </c>
      <c r="D30" t="s">
        <v>2344</v>
      </c>
      <c r="E30" t="s">
        <v>2036</v>
      </c>
      <c r="F30">
        <v>202108</v>
      </c>
      <c r="G30" t="s">
        <v>186</v>
      </c>
      <c r="H30">
        <v>0</v>
      </c>
      <c r="O30">
        <v>5352</v>
      </c>
      <c r="P30" t="s">
        <v>2625</v>
      </c>
      <c r="Q30">
        <v>5697</v>
      </c>
      <c r="R30" t="s">
        <v>2344</v>
      </c>
      <c r="S30" t="s">
        <v>2036</v>
      </c>
      <c r="T30">
        <v>202109</v>
      </c>
      <c r="U30" t="s">
        <v>190</v>
      </c>
      <c r="V30">
        <v>774183</v>
      </c>
    </row>
    <row r="31" spans="1:22">
      <c r="A31">
        <v>5352</v>
      </c>
      <c r="B31" t="s">
        <v>2625</v>
      </c>
      <c r="C31">
        <v>5697</v>
      </c>
      <c r="D31" t="s">
        <v>2344</v>
      </c>
      <c r="E31" t="s">
        <v>2036</v>
      </c>
      <c r="F31">
        <v>202108</v>
      </c>
      <c r="G31" t="s">
        <v>186</v>
      </c>
      <c r="H31">
        <v>0</v>
      </c>
      <c r="O31">
        <v>5352</v>
      </c>
      <c r="P31" t="s">
        <v>2625</v>
      </c>
      <c r="Q31">
        <v>5697</v>
      </c>
      <c r="R31" t="s">
        <v>2344</v>
      </c>
      <c r="S31" t="s">
        <v>2036</v>
      </c>
      <c r="T31">
        <v>202109</v>
      </c>
      <c r="U31" t="s">
        <v>191</v>
      </c>
      <c r="V31">
        <v>133616</v>
      </c>
    </row>
    <row r="32" spans="1:22">
      <c r="A32">
        <v>5352</v>
      </c>
      <c r="B32" t="s">
        <v>2625</v>
      </c>
      <c r="C32">
        <v>5697</v>
      </c>
      <c r="D32" t="s">
        <v>2344</v>
      </c>
      <c r="E32" t="s">
        <v>2036</v>
      </c>
      <c r="F32">
        <v>202108</v>
      </c>
      <c r="G32" t="s">
        <v>186</v>
      </c>
      <c r="H32">
        <v>0</v>
      </c>
      <c r="O32">
        <v>5352</v>
      </c>
      <c r="P32" t="s">
        <v>2625</v>
      </c>
      <c r="Q32">
        <v>5697</v>
      </c>
      <c r="R32" t="s">
        <v>2344</v>
      </c>
      <c r="S32" t="s">
        <v>2036</v>
      </c>
      <c r="T32">
        <v>202109</v>
      </c>
      <c r="U32" t="s">
        <v>178</v>
      </c>
      <c r="V32">
        <v>2400</v>
      </c>
    </row>
    <row r="33" spans="1:22">
      <c r="A33">
        <v>5352</v>
      </c>
      <c r="B33" t="s">
        <v>2625</v>
      </c>
      <c r="C33">
        <v>5697</v>
      </c>
      <c r="D33" t="s">
        <v>2344</v>
      </c>
      <c r="E33" t="s">
        <v>2036</v>
      </c>
      <c r="F33">
        <v>202108</v>
      </c>
      <c r="G33" t="s">
        <v>2169</v>
      </c>
      <c r="H33">
        <v>99.17</v>
      </c>
      <c r="O33">
        <v>5352</v>
      </c>
      <c r="P33" t="s">
        <v>2625</v>
      </c>
      <c r="Q33">
        <v>5697</v>
      </c>
      <c r="R33" t="s">
        <v>2344</v>
      </c>
      <c r="S33" t="s">
        <v>2036</v>
      </c>
      <c r="T33">
        <v>202109</v>
      </c>
      <c r="U33" t="s">
        <v>180</v>
      </c>
      <c r="V33">
        <v>2400</v>
      </c>
    </row>
    <row r="34" spans="1:22">
      <c r="A34">
        <v>5352</v>
      </c>
      <c r="B34" t="s">
        <v>2625</v>
      </c>
      <c r="C34">
        <v>5697</v>
      </c>
      <c r="D34" t="s">
        <v>2344</v>
      </c>
      <c r="E34" t="s">
        <v>2036</v>
      </c>
      <c r="F34">
        <v>202108</v>
      </c>
      <c r="G34" t="s">
        <v>2169</v>
      </c>
      <c r="H34">
        <v>99.17</v>
      </c>
      <c r="O34">
        <v>5352</v>
      </c>
      <c r="P34" t="s">
        <v>2625</v>
      </c>
      <c r="Q34">
        <v>5697</v>
      </c>
      <c r="R34" t="s">
        <v>2344</v>
      </c>
      <c r="S34" t="s">
        <v>2036</v>
      </c>
      <c r="T34">
        <v>202109</v>
      </c>
      <c r="U34" t="s">
        <v>182</v>
      </c>
      <c r="V34">
        <v>859326</v>
      </c>
    </row>
    <row r="35" spans="1:22">
      <c r="A35">
        <v>5352</v>
      </c>
      <c r="B35" t="s">
        <v>2625</v>
      </c>
      <c r="C35">
        <v>5697</v>
      </c>
      <c r="D35" t="s">
        <v>2344</v>
      </c>
      <c r="E35" t="s">
        <v>2036</v>
      </c>
      <c r="F35">
        <v>202108</v>
      </c>
      <c r="G35" t="s">
        <v>2169</v>
      </c>
      <c r="H35">
        <v>99.17</v>
      </c>
      <c r="O35">
        <v>5352</v>
      </c>
      <c r="P35" t="s">
        <v>2625</v>
      </c>
      <c r="Q35">
        <v>5697</v>
      </c>
      <c r="R35" t="s">
        <v>2344</v>
      </c>
      <c r="S35" t="s">
        <v>2036</v>
      </c>
      <c r="T35">
        <v>202109</v>
      </c>
      <c r="U35" t="s">
        <v>184</v>
      </c>
      <c r="V35">
        <v>133616</v>
      </c>
    </row>
    <row r="36" spans="1:22">
      <c r="A36">
        <v>5352</v>
      </c>
      <c r="B36" t="s">
        <v>2625</v>
      </c>
      <c r="C36">
        <v>5697</v>
      </c>
      <c r="D36" t="s">
        <v>2344</v>
      </c>
      <c r="E36" t="s">
        <v>2036</v>
      </c>
      <c r="F36">
        <v>202108</v>
      </c>
      <c r="G36" t="s">
        <v>2169</v>
      </c>
      <c r="H36">
        <v>99.17</v>
      </c>
      <c r="O36">
        <v>5352</v>
      </c>
      <c r="P36" t="s">
        <v>2625</v>
      </c>
      <c r="Q36">
        <v>5697</v>
      </c>
      <c r="R36" t="s">
        <v>2344</v>
      </c>
      <c r="S36" t="s">
        <v>2036</v>
      </c>
      <c r="T36">
        <v>202109</v>
      </c>
      <c r="U36" t="s">
        <v>186</v>
      </c>
      <c r="V36">
        <v>85143</v>
      </c>
    </row>
    <row r="37" spans="1:22">
      <c r="A37">
        <v>5352</v>
      </c>
      <c r="B37" t="s">
        <v>2625</v>
      </c>
      <c r="C37">
        <v>5697</v>
      </c>
      <c r="D37" t="s">
        <v>2344</v>
      </c>
      <c r="E37" t="s">
        <v>2036</v>
      </c>
      <c r="F37">
        <v>202108</v>
      </c>
      <c r="G37" t="s">
        <v>2166</v>
      </c>
      <c r="H37">
        <v>12.33</v>
      </c>
      <c r="O37">
        <v>5352</v>
      </c>
      <c r="P37" t="s">
        <v>2625</v>
      </c>
      <c r="Q37">
        <v>5697</v>
      </c>
      <c r="R37" t="s">
        <v>2344</v>
      </c>
      <c r="S37" t="s">
        <v>2036</v>
      </c>
      <c r="T37">
        <v>202109</v>
      </c>
      <c r="U37" t="s">
        <v>190</v>
      </c>
      <c r="V37">
        <v>485506</v>
      </c>
    </row>
    <row r="38" spans="1:22">
      <c r="A38">
        <v>5352</v>
      </c>
      <c r="B38" t="s">
        <v>2625</v>
      </c>
      <c r="C38">
        <v>5697</v>
      </c>
      <c r="D38" t="s">
        <v>2344</v>
      </c>
      <c r="E38" t="s">
        <v>2036</v>
      </c>
      <c r="F38">
        <v>202108</v>
      </c>
      <c r="G38" t="s">
        <v>2166</v>
      </c>
      <c r="H38">
        <v>12.33</v>
      </c>
      <c r="O38">
        <v>5352</v>
      </c>
      <c r="P38" t="s">
        <v>2625</v>
      </c>
      <c r="Q38">
        <v>5697</v>
      </c>
      <c r="R38" t="s">
        <v>2344</v>
      </c>
      <c r="S38" t="s">
        <v>2036</v>
      </c>
      <c r="T38">
        <v>202109</v>
      </c>
      <c r="U38" t="s">
        <v>191</v>
      </c>
      <c r="V38">
        <v>74234</v>
      </c>
    </row>
    <row r="39" spans="1:22">
      <c r="A39">
        <v>5352</v>
      </c>
      <c r="B39" t="s">
        <v>2625</v>
      </c>
      <c r="C39">
        <v>5697</v>
      </c>
      <c r="D39" t="s">
        <v>2344</v>
      </c>
      <c r="E39" t="s">
        <v>2036</v>
      </c>
      <c r="F39">
        <v>202108</v>
      </c>
      <c r="G39" t="s">
        <v>2166</v>
      </c>
      <c r="H39">
        <v>12.33</v>
      </c>
      <c r="O39">
        <v>5352</v>
      </c>
      <c r="P39" t="s">
        <v>2625</v>
      </c>
      <c r="Q39">
        <v>5697</v>
      </c>
      <c r="R39" t="s">
        <v>2344</v>
      </c>
      <c r="S39" t="s">
        <v>2036</v>
      </c>
      <c r="T39">
        <v>202109</v>
      </c>
      <c r="U39" t="s">
        <v>178</v>
      </c>
      <c r="V39">
        <v>1357</v>
      </c>
    </row>
    <row r="40" spans="1:22">
      <c r="A40">
        <v>5352</v>
      </c>
      <c r="B40" t="s">
        <v>2625</v>
      </c>
      <c r="C40">
        <v>5697</v>
      </c>
      <c r="D40" t="s">
        <v>2344</v>
      </c>
      <c r="E40" t="s">
        <v>2036</v>
      </c>
      <c r="F40">
        <v>202108</v>
      </c>
      <c r="G40" t="s">
        <v>2166</v>
      </c>
      <c r="H40">
        <v>12.33</v>
      </c>
      <c r="O40">
        <v>5352</v>
      </c>
      <c r="P40" t="s">
        <v>2625</v>
      </c>
      <c r="Q40">
        <v>5697</v>
      </c>
      <c r="R40" t="s">
        <v>2344</v>
      </c>
      <c r="S40" t="s">
        <v>2036</v>
      </c>
      <c r="T40">
        <v>202109</v>
      </c>
      <c r="U40" t="s">
        <v>180</v>
      </c>
      <c r="V40">
        <v>1361</v>
      </c>
    </row>
    <row r="41" spans="1:22">
      <c r="A41">
        <v>5352</v>
      </c>
      <c r="B41" t="s">
        <v>2625</v>
      </c>
      <c r="C41">
        <v>5697</v>
      </c>
      <c r="D41" t="s">
        <v>2344</v>
      </c>
      <c r="E41" t="s">
        <v>2036</v>
      </c>
      <c r="F41">
        <v>202108</v>
      </c>
      <c r="G41" t="s">
        <v>2167</v>
      </c>
      <c r="H41">
        <v>23.94</v>
      </c>
      <c r="O41">
        <v>5352</v>
      </c>
      <c r="P41" t="s">
        <v>2625</v>
      </c>
      <c r="Q41">
        <v>5697</v>
      </c>
      <c r="R41" t="s">
        <v>2344</v>
      </c>
      <c r="S41" t="s">
        <v>2036</v>
      </c>
      <c r="T41">
        <v>202109</v>
      </c>
      <c r="U41" t="s">
        <v>182</v>
      </c>
      <c r="V41">
        <v>485506</v>
      </c>
    </row>
    <row r="42" spans="1:22">
      <c r="A42">
        <v>5352</v>
      </c>
      <c r="B42" t="s">
        <v>2625</v>
      </c>
      <c r="C42">
        <v>5697</v>
      </c>
      <c r="D42" t="s">
        <v>2344</v>
      </c>
      <c r="E42" t="s">
        <v>2036</v>
      </c>
      <c r="F42">
        <v>202108</v>
      </c>
      <c r="G42" t="s">
        <v>2167</v>
      </c>
      <c r="H42">
        <v>23.94</v>
      </c>
      <c r="O42">
        <v>5352</v>
      </c>
      <c r="P42" t="s">
        <v>2625</v>
      </c>
      <c r="Q42">
        <v>5697</v>
      </c>
      <c r="R42" t="s">
        <v>2344</v>
      </c>
      <c r="S42" t="s">
        <v>2036</v>
      </c>
      <c r="T42">
        <v>202109</v>
      </c>
      <c r="U42" t="s">
        <v>184</v>
      </c>
      <c r="V42">
        <v>74234</v>
      </c>
    </row>
    <row r="43" spans="1:22">
      <c r="A43">
        <v>5352</v>
      </c>
      <c r="B43" t="s">
        <v>2625</v>
      </c>
      <c r="C43">
        <v>5697</v>
      </c>
      <c r="D43" t="s">
        <v>2344</v>
      </c>
      <c r="E43" t="s">
        <v>2036</v>
      </c>
      <c r="F43">
        <v>202108</v>
      </c>
      <c r="G43" t="s">
        <v>2167</v>
      </c>
      <c r="H43">
        <v>23.94</v>
      </c>
      <c r="O43">
        <v>5352</v>
      </c>
      <c r="P43" t="s">
        <v>2625</v>
      </c>
      <c r="Q43">
        <v>5697</v>
      </c>
      <c r="R43" t="s">
        <v>2344</v>
      </c>
      <c r="S43" t="s">
        <v>2036</v>
      </c>
      <c r="T43">
        <v>202109</v>
      </c>
      <c r="U43" t="s">
        <v>186</v>
      </c>
      <c r="V43">
        <v>0</v>
      </c>
    </row>
    <row r="44" spans="1:22">
      <c r="A44">
        <v>5352</v>
      </c>
      <c r="B44" t="s">
        <v>2625</v>
      </c>
      <c r="C44">
        <v>5697</v>
      </c>
      <c r="D44" t="s">
        <v>2344</v>
      </c>
      <c r="E44" t="s">
        <v>2036</v>
      </c>
      <c r="F44">
        <v>202108</v>
      </c>
      <c r="G44" t="s">
        <v>2167</v>
      </c>
      <c r="H44">
        <v>23.94</v>
      </c>
      <c r="O44">
        <v>5352</v>
      </c>
      <c r="P44" t="s">
        <v>2625</v>
      </c>
      <c r="Q44">
        <v>5697</v>
      </c>
      <c r="R44" t="s">
        <v>2344</v>
      </c>
      <c r="S44" t="s">
        <v>2036</v>
      </c>
      <c r="T44">
        <v>202109</v>
      </c>
      <c r="U44" t="s">
        <v>190</v>
      </c>
      <c r="V44">
        <v>83708</v>
      </c>
    </row>
    <row r="45" spans="1:22">
      <c r="A45">
        <v>5352</v>
      </c>
      <c r="B45" t="s">
        <v>2625</v>
      </c>
      <c r="C45">
        <v>5697</v>
      </c>
      <c r="D45" t="s">
        <v>2344</v>
      </c>
      <c r="E45" t="s">
        <v>2036</v>
      </c>
      <c r="F45">
        <v>202108</v>
      </c>
      <c r="G45" t="s">
        <v>2168</v>
      </c>
      <c r="H45">
        <v>10.17</v>
      </c>
      <c r="O45">
        <v>5352</v>
      </c>
      <c r="P45" t="s">
        <v>2625</v>
      </c>
      <c r="Q45">
        <v>5697</v>
      </c>
      <c r="R45" t="s">
        <v>2344</v>
      </c>
      <c r="S45" t="s">
        <v>2036</v>
      </c>
      <c r="T45">
        <v>202109</v>
      </c>
      <c r="U45" t="s">
        <v>191</v>
      </c>
      <c r="V45">
        <v>13632</v>
      </c>
    </row>
    <row r="46" spans="1:22">
      <c r="A46">
        <v>5352</v>
      </c>
      <c r="B46" t="s">
        <v>2625</v>
      </c>
      <c r="C46">
        <v>5697</v>
      </c>
      <c r="D46" t="s">
        <v>2344</v>
      </c>
      <c r="E46" t="s">
        <v>2036</v>
      </c>
      <c r="F46">
        <v>202108</v>
      </c>
      <c r="G46" t="s">
        <v>2168</v>
      </c>
      <c r="H46">
        <v>10.17</v>
      </c>
      <c r="O46">
        <v>5352</v>
      </c>
      <c r="P46" t="s">
        <v>2625</v>
      </c>
      <c r="Q46">
        <v>5697</v>
      </c>
      <c r="R46" t="s">
        <v>2344</v>
      </c>
      <c r="S46" t="s">
        <v>2036</v>
      </c>
      <c r="T46">
        <v>202109</v>
      </c>
      <c r="U46" t="s">
        <v>178</v>
      </c>
      <c r="V46">
        <v>350</v>
      </c>
    </row>
    <row r="47" spans="1:22">
      <c r="A47">
        <v>5352</v>
      </c>
      <c r="B47" t="s">
        <v>2625</v>
      </c>
      <c r="C47">
        <v>5697</v>
      </c>
      <c r="D47" t="s">
        <v>2344</v>
      </c>
      <c r="E47" t="s">
        <v>2036</v>
      </c>
      <c r="F47">
        <v>202108</v>
      </c>
      <c r="G47" t="s">
        <v>2168</v>
      </c>
      <c r="H47">
        <v>10.17</v>
      </c>
      <c r="O47">
        <v>5352</v>
      </c>
      <c r="P47" t="s">
        <v>2625</v>
      </c>
      <c r="Q47">
        <v>5697</v>
      </c>
      <c r="R47" t="s">
        <v>2344</v>
      </c>
      <c r="S47" t="s">
        <v>2036</v>
      </c>
      <c r="T47">
        <v>202109</v>
      </c>
      <c r="U47" t="s">
        <v>180</v>
      </c>
      <c r="V47">
        <v>350</v>
      </c>
    </row>
    <row r="48" spans="1:22">
      <c r="A48">
        <v>5352</v>
      </c>
      <c r="B48" t="s">
        <v>2625</v>
      </c>
      <c r="C48">
        <v>5697</v>
      </c>
      <c r="D48" t="s">
        <v>2344</v>
      </c>
      <c r="E48" t="s">
        <v>2036</v>
      </c>
      <c r="F48">
        <v>202108</v>
      </c>
      <c r="G48" t="s">
        <v>2168</v>
      </c>
      <c r="H48">
        <v>10.17</v>
      </c>
      <c r="O48">
        <v>5352</v>
      </c>
      <c r="P48" t="s">
        <v>2625</v>
      </c>
      <c r="Q48">
        <v>5697</v>
      </c>
      <c r="R48" t="s">
        <v>2344</v>
      </c>
      <c r="S48" t="s">
        <v>2036</v>
      </c>
      <c r="T48">
        <v>202109</v>
      </c>
      <c r="U48" t="s">
        <v>182</v>
      </c>
      <c r="V48">
        <v>83708</v>
      </c>
    </row>
    <row r="49" spans="1:22">
      <c r="A49">
        <v>5352</v>
      </c>
      <c r="B49" t="s">
        <v>2625</v>
      </c>
      <c r="C49">
        <v>5697</v>
      </c>
      <c r="D49" t="s">
        <v>2344</v>
      </c>
      <c r="E49" t="s">
        <v>2036</v>
      </c>
      <c r="F49">
        <v>202108</v>
      </c>
      <c r="G49" t="s">
        <v>2171</v>
      </c>
      <c r="H49">
        <v>72701.91</v>
      </c>
      <c r="O49">
        <v>5352</v>
      </c>
      <c r="P49" t="s">
        <v>2625</v>
      </c>
      <c r="Q49">
        <v>5697</v>
      </c>
      <c r="R49" t="s">
        <v>2344</v>
      </c>
      <c r="S49" t="s">
        <v>2036</v>
      </c>
      <c r="T49">
        <v>202109</v>
      </c>
      <c r="U49" t="s">
        <v>184</v>
      </c>
      <c r="V49">
        <v>13632</v>
      </c>
    </row>
    <row r="50" spans="1:22">
      <c r="A50">
        <v>5352</v>
      </c>
      <c r="B50" t="s">
        <v>2625</v>
      </c>
      <c r="C50">
        <v>5697</v>
      </c>
      <c r="D50" t="s">
        <v>2344</v>
      </c>
      <c r="E50" t="s">
        <v>2036</v>
      </c>
      <c r="F50">
        <v>202109</v>
      </c>
      <c r="G50" t="s">
        <v>190</v>
      </c>
      <c r="H50">
        <v>125980</v>
      </c>
      <c r="O50">
        <v>5352</v>
      </c>
      <c r="P50" t="s">
        <v>2625</v>
      </c>
      <c r="Q50">
        <v>5697</v>
      </c>
      <c r="R50" t="s">
        <v>2344</v>
      </c>
      <c r="S50" t="s">
        <v>2036</v>
      </c>
      <c r="T50">
        <v>202109</v>
      </c>
      <c r="U50" t="s">
        <v>186</v>
      </c>
      <c r="V50">
        <v>0</v>
      </c>
    </row>
    <row r="51" spans="1:22">
      <c r="A51">
        <v>5352</v>
      </c>
      <c r="B51" t="s">
        <v>2625</v>
      </c>
      <c r="C51">
        <v>5697</v>
      </c>
      <c r="D51" t="s">
        <v>2344</v>
      </c>
      <c r="E51" t="s">
        <v>2036</v>
      </c>
      <c r="F51">
        <v>202109</v>
      </c>
      <c r="G51" t="s">
        <v>191</v>
      </c>
      <c r="H51">
        <v>18185</v>
      </c>
      <c r="O51">
        <v>5352</v>
      </c>
      <c r="P51" t="s">
        <v>2625</v>
      </c>
      <c r="Q51">
        <v>5697</v>
      </c>
      <c r="R51" t="s">
        <v>2344</v>
      </c>
      <c r="S51" t="s">
        <v>2036</v>
      </c>
      <c r="T51">
        <v>202109</v>
      </c>
      <c r="U51" t="s">
        <v>190</v>
      </c>
      <c r="V51">
        <v>175415</v>
      </c>
    </row>
    <row r="52" spans="1:22">
      <c r="A52">
        <v>5352</v>
      </c>
      <c r="B52" t="s">
        <v>2625</v>
      </c>
      <c r="C52">
        <v>5697</v>
      </c>
      <c r="D52" t="s">
        <v>2344</v>
      </c>
      <c r="E52" t="s">
        <v>2036</v>
      </c>
      <c r="F52">
        <v>202109</v>
      </c>
      <c r="G52" t="s">
        <v>176</v>
      </c>
      <c r="H52">
        <v>0</v>
      </c>
      <c r="O52">
        <v>5352</v>
      </c>
      <c r="P52" t="s">
        <v>2625</v>
      </c>
      <c r="Q52">
        <v>5697</v>
      </c>
      <c r="R52" t="s">
        <v>2344</v>
      </c>
      <c r="S52" t="s">
        <v>2036</v>
      </c>
      <c r="T52">
        <v>202109</v>
      </c>
      <c r="U52" t="s">
        <v>191</v>
      </c>
      <c r="V52">
        <v>27447</v>
      </c>
    </row>
    <row r="53" spans="1:22">
      <c r="A53">
        <v>5352</v>
      </c>
      <c r="B53" t="s">
        <v>2625</v>
      </c>
      <c r="C53">
        <v>5697</v>
      </c>
      <c r="D53" t="s">
        <v>2344</v>
      </c>
      <c r="E53" t="s">
        <v>2036</v>
      </c>
      <c r="F53">
        <v>202109</v>
      </c>
      <c r="G53" t="s">
        <v>178</v>
      </c>
      <c r="H53">
        <v>450</v>
      </c>
      <c r="O53">
        <v>5352</v>
      </c>
      <c r="P53" t="s">
        <v>2625</v>
      </c>
      <c r="Q53">
        <v>5697</v>
      </c>
      <c r="R53" t="s">
        <v>2344</v>
      </c>
      <c r="S53" t="s">
        <v>2036</v>
      </c>
      <c r="T53">
        <v>202109</v>
      </c>
      <c r="U53" t="s">
        <v>178</v>
      </c>
      <c r="V53">
        <v>600</v>
      </c>
    </row>
    <row r="54" spans="1:22">
      <c r="A54">
        <v>5352</v>
      </c>
      <c r="B54" t="s">
        <v>2625</v>
      </c>
      <c r="C54">
        <v>5697</v>
      </c>
      <c r="D54" t="s">
        <v>2344</v>
      </c>
      <c r="E54" t="s">
        <v>2036</v>
      </c>
      <c r="F54">
        <v>202109</v>
      </c>
      <c r="G54" t="s">
        <v>180</v>
      </c>
      <c r="H54">
        <v>450</v>
      </c>
      <c r="O54">
        <v>5352</v>
      </c>
      <c r="P54" t="s">
        <v>2625</v>
      </c>
      <c r="Q54">
        <v>5697</v>
      </c>
      <c r="R54" t="s">
        <v>2344</v>
      </c>
      <c r="S54" t="s">
        <v>2036</v>
      </c>
      <c r="T54">
        <v>202109</v>
      </c>
      <c r="U54" t="s">
        <v>180</v>
      </c>
      <c r="V54">
        <v>593</v>
      </c>
    </row>
    <row r="55" spans="1:22">
      <c r="A55">
        <v>5352</v>
      </c>
      <c r="B55" t="s">
        <v>2625</v>
      </c>
      <c r="C55">
        <v>5697</v>
      </c>
      <c r="D55" t="s">
        <v>2344</v>
      </c>
      <c r="E55" t="s">
        <v>2036</v>
      </c>
      <c r="F55">
        <v>202109</v>
      </c>
      <c r="G55" t="s">
        <v>182</v>
      </c>
      <c r="H55">
        <v>125980</v>
      </c>
      <c r="O55">
        <v>5352</v>
      </c>
      <c r="P55" t="s">
        <v>2625</v>
      </c>
      <c r="Q55">
        <v>5697</v>
      </c>
      <c r="R55" t="s">
        <v>2344</v>
      </c>
      <c r="S55" t="s">
        <v>2036</v>
      </c>
      <c r="T55">
        <v>202109</v>
      </c>
      <c r="U55" t="s">
        <v>182</v>
      </c>
      <c r="V55">
        <v>175415</v>
      </c>
    </row>
    <row r="56" spans="1:22">
      <c r="A56">
        <v>5352</v>
      </c>
      <c r="B56" t="s">
        <v>2625</v>
      </c>
      <c r="C56">
        <v>5697</v>
      </c>
      <c r="D56" t="s">
        <v>2344</v>
      </c>
      <c r="E56" t="s">
        <v>2036</v>
      </c>
      <c r="F56">
        <v>202109</v>
      </c>
      <c r="G56" t="s">
        <v>184</v>
      </c>
      <c r="H56">
        <v>18185</v>
      </c>
      <c r="O56">
        <v>5352</v>
      </c>
      <c r="P56" t="s">
        <v>2625</v>
      </c>
      <c r="Q56">
        <v>5697</v>
      </c>
      <c r="R56" t="s">
        <v>2344</v>
      </c>
      <c r="S56" t="s">
        <v>2036</v>
      </c>
      <c r="T56">
        <v>202109</v>
      </c>
      <c r="U56" t="s">
        <v>184</v>
      </c>
      <c r="V56">
        <v>27447</v>
      </c>
    </row>
    <row r="57" spans="1:22">
      <c r="A57">
        <v>5352</v>
      </c>
      <c r="B57" t="s">
        <v>2625</v>
      </c>
      <c r="C57">
        <v>5697</v>
      </c>
      <c r="D57" t="s">
        <v>2344</v>
      </c>
      <c r="E57" t="s">
        <v>2036</v>
      </c>
      <c r="F57">
        <v>202109</v>
      </c>
      <c r="G57" t="s">
        <v>192</v>
      </c>
      <c r="H57">
        <v>0</v>
      </c>
      <c r="O57">
        <v>5352</v>
      </c>
      <c r="P57" t="s">
        <v>2625</v>
      </c>
      <c r="Q57">
        <v>5697</v>
      </c>
      <c r="R57" t="s">
        <v>2344</v>
      </c>
      <c r="S57" t="s">
        <v>2036</v>
      </c>
      <c r="T57">
        <v>202109</v>
      </c>
      <c r="U57" t="s">
        <v>186</v>
      </c>
      <c r="V57">
        <v>0</v>
      </c>
    </row>
    <row r="58" spans="1:22">
      <c r="A58">
        <v>5352</v>
      </c>
      <c r="B58" t="s">
        <v>2625</v>
      </c>
      <c r="C58">
        <v>5697</v>
      </c>
      <c r="D58" t="s">
        <v>2344</v>
      </c>
      <c r="E58" t="s">
        <v>2036</v>
      </c>
      <c r="F58">
        <v>202109</v>
      </c>
      <c r="G58" t="s">
        <v>2170</v>
      </c>
      <c r="H58">
        <v>128.84</v>
      </c>
      <c r="O58">
        <v>5352</v>
      </c>
      <c r="P58" t="s">
        <v>2625</v>
      </c>
      <c r="Q58">
        <v>5697</v>
      </c>
      <c r="R58" t="s">
        <v>2344</v>
      </c>
      <c r="S58" t="s">
        <v>2036</v>
      </c>
      <c r="T58">
        <v>202109</v>
      </c>
      <c r="U58" t="s">
        <v>190</v>
      </c>
      <c r="V58">
        <v>28339</v>
      </c>
    </row>
    <row r="59" spans="1:22">
      <c r="A59">
        <v>5352</v>
      </c>
      <c r="B59" t="s">
        <v>2625</v>
      </c>
      <c r="C59">
        <v>5697</v>
      </c>
      <c r="D59" t="s">
        <v>2344</v>
      </c>
      <c r="E59" t="s">
        <v>2036</v>
      </c>
      <c r="F59">
        <v>202109</v>
      </c>
      <c r="G59" t="s">
        <v>186</v>
      </c>
      <c r="H59">
        <v>0</v>
      </c>
      <c r="O59">
        <v>5352</v>
      </c>
      <c r="P59" t="s">
        <v>2625</v>
      </c>
      <c r="Q59">
        <v>5697</v>
      </c>
      <c r="R59" t="s">
        <v>2344</v>
      </c>
      <c r="S59" t="s">
        <v>2036</v>
      </c>
      <c r="T59">
        <v>202109</v>
      </c>
      <c r="U59" t="s">
        <v>191</v>
      </c>
      <c r="V59">
        <v>4554</v>
      </c>
    </row>
    <row r="60" spans="1:22">
      <c r="A60">
        <v>5352</v>
      </c>
      <c r="B60" t="s">
        <v>2625</v>
      </c>
      <c r="C60">
        <v>5697</v>
      </c>
      <c r="D60" t="s">
        <v>2344</v>
      </c>
      <c r="E60" t="s">
        <v>2036</v>
      </c>
      <c r="F60">
        <v>202109</v>
      </c>
      <c r="G60" t="s">
        <v>2169</v>
      </c>
      <c r="H60">
        <v>99.17</v>
      </c>
      <c r="O60">
        <v>5352</v>
      </c>
      <c r="P60" t="s">
        <v>2625</v>
      </c>
      <c r="Q60">
        <v>5697</v>
      </c>
      <c r="R60" t="s">
        <v>2344</v>
      </c>
      <c r="S60" t="s">
        <v>2036</v>
      </c>
      <c r="T60">
        <v>202109</v>
      </c>
      <c r="U60" t="s">
        <v>178</v>
      </c>
      <c r="V60">
        <v>113</v>
      </c>
    </row>
    <row r="61" spans="1:22">
      <c r="A61">
        <v>5352</v>
      </c>
      <c r="B61" t="s">
        <v>2625</v>
      </c>
      <c r="C61">
        <v>5697</v>
      </c>
      <c r="D61" t="s">
        <v>2344</v>
      </c>
      <c r="E61" t="s">
        <v>2036</v>
      </c>
      <c r="F61">
        <v>202109</v>
      </c>
      <c r="G61" t="s">
        <v>2166</v>
      </c>
      <c r="H61">
        <v>12.33</v>
      </c>
      <c r="O61">
        <v>5352</v>
      </c>
      <c r="P61" t="s">
        <v>2625</v>
      </c>
      <c r="Q61">
        <v>5697</v>
      </c>
      <c r="R61" t="s">
        <v>2344</v>
      </c>
      <c r="S61" t="s">
        <v>2036</v>
      </c>
      <c r="T61">
        <v>202109</v>
      </c>
      <c r="U61" t="s">
        <v>180</v>
      </c>
      <c r="V61">
        <v>97</v>
      </c>
    </row>
    <row r="62" spans="1:22">
      <c r="A62">
        <v>5352</v>
      </c>
      <c r="B62" t="s">
        <v>2625</v>
      </c>
      <c r="C62">
        <v>5697</v>
      </c>
      <c r="D62" t="s">
        <v>2344</v>
      </c>
      <c r="E62" t="s">
        <v>2036</v>
      </c>
      <c r="F62">
        <v>202109</v>
      </c>
      <c r="G62" t="s">
        <v>2167</v>
      </c>
      <c r="H62">
        <v>23.94</v>
      </c>
      <c r="O62">
        <v>5352</v>
      </c>
      <c r="P62" t="s">
        <v>2625</v>
      </c>
      <c r="Q62">
        <v>5697</v>
      </c>
      <c r="R62" t="s">
        <v>2344</v>
      </c>
      <c r="S62" t="s">
        <v>2036</v>
      </c>
      <c r="T62">
        <v>202109</v>
      </c>
      <c r="U62" t="s">
        <v>182</v>
      </c>
      <c r="V62">
        <v>28339</v>
      </c>
    </row>
    <row r="63" spans="1:22">
      <c r="A63">
        <v>5352</v>
      </c>
      <c r="B63" t="s">
        <v>2625</v>
      </c>
      <c r="C63">
        <v>5697</v>
      </c>
      <c r="D63" t="s">
        <v>2344</v>
      </c>
      <c r="E63" t="s">
        <v>2036</v>
      </c>
      <c r="F63">
        <v>202109</v>
      </c>
      <c r="G63" t="s">
        <v>2168</v>
      </c>
      <c r="H63">
        <v>10.17</v>
      </c>
      <c r="O63">
        <v>5352</v>
      </c>
      <c r="P63" t="s">
        <v>2625</v>
      </c>
      <c r="Q63">
        <v>5697</v>
      </c>
      <c r="R63" t="s">
        <v>2344</v>
      </c>
      <c r="S63" t="s">
        <v>2036</v>
      </c>
      <c r="T63">
        <v>202109</v>
      </c>
      <c r="U63" t="s">
        <v>184</v>
      </c>
      <c r="V63">
        <v>4554</v>
      </c>
    </row>
    <row r="64" spans="1:22">
      <c r="A64">
        <v>5352</v>
      </c>
      <c r="B64" t="s">
        <v>2625</v>
      </c>
      <c r="C64">
        <v>5697</v>
      </c>
      <c r="D64" t="s">
        <v>2344</v>
      </c>
      <c r="E64" t="s">
        <v>2036</v>
      </c>
      <c r="F64">
        <v>202109</v>
      </c>
      <c r="G64" t="s">
        <v>2171</v>
      </c>
      <c r="H64">
        <v>32213.32</v>
      </c>
      <c r="O64">
        <v>5352</v>
      </c>
      <c r="P64" t="s">
        <v>2625</v>
      </c>
      <c r="Q64">
        <v>5697</v>
      </c>
      <c r="R64" t="s">
        <v>2344</v>
      </c>
      <c r="S64" t="s">
        <v>2036</v>
      </c>
      <c r="T64">
        <v>202109</v>
      </c>
      <c r="U64" t="s">
        <v>186</v>
      </c>
      <c r="V64">
        <v>0</v>
      </c>
    </row>
    <row r="65" spans="1:22">
      <c r="A65">
        <v>5352</v>
      </c>
      <c r="B65" t="s">
        <v>2625</v>
      </c>
      <c r="C65">
        <v>5697</v>
      </c>
      <c r="D65" t="s">
        <v>2344</v>
      </c>
      <c r="E65" t="s">
        <v>2036</v>
      </c>
      <c r="F65">
        <v>202108</v>
      </c>
      <c r="G65" t="s">
        <v>190</v>
      </c>
      <c r="H65">
        <v>175218</v>
      </c>
      <c r="O65">
        <v>5352</v>
      </c>
      <c r="P65" t="s">
        <v>2625</v>
      </c>
      <c r="Q65">
        <v>5697</v>
      </c>
      <c r="R65" t="s">
        <v>2344</v>
      </c>
      <c r="S65" t="s">
        <v>2036</v>
      </c>
      <c r="T65">
        <v>202109</v>
      </c>
      <c r="U65" t="s">
        <v>190</v>
      </c>
      <c r="V65">
        <v>159542</v>
      </c>
    </row>
    <row r="66" spans="1:22">
      <c r="A66">
        <v>5352</v>
      </c>
      <c r="B66" t="s">
        <v>2625</v>
      </c>
      <c r="C66">
        <v>5697</v>
      </c>
      <c r="D66" t="s">
        <v>2344</v>
      </c>
      <c r="E66" t="s">
        <v>2036</v>
      </c>
      <c r="F66">
        <v>202108</v>
      </c>
      <c r="G66" t="s">
        <v>191</v>
      </c>
      <c r="H66">
        <v>27527</v>
      </c>
      <c r="O66">
        <v>5352</v>
      </c>
      <c r="P66" t="s">
        <v>2625</v>
      </c>
      <c r="Q66">
        <v>5697</v>
      </c>
      <c r="R66" t="s">
        <v>2344</v>
      </c>
      <c r="S66" t="s">
        <v>2036</v>
      </c>
      <c r="T66">
        <v>202109</v>
      </c>
      <c r="U66" t="s">
        <v>191</v>
      </c>
      <c r="V66">
        <v>23077</v>
      </c>
    </row>
    <row r="67" spans="1:22">
      <c r="A67">
        <v>5352</v>
      </c>
      <c r="B67" t="s">
        <v>2625</v>
      </c>
      <c r="C67">
        <v>5697</v>
      </c>
      <c r="D67" t="s">
        <v>2344</v>
      </c>
      <c r="E67" t="s">
        <v>2036</v>
      </c>
      <c r="F67">
        <v>202108</v>
      </c>
      <c r="G67" t="s">
        <v>176</v>
      </c>
      <c r="H67">
        <v>0</v>
      </c>
      <c r="O67">
        <v>5352</v>
      </c>
      <c r="P67" t="s">
        <v>2625</v>
      </c>
      <c r="Q67">
        <v>5697</v>
      </c>
      <c r="R67" t="s">
        <v>2344</v>
      </c>
      <c r="S67" t="s">
        <v>2036</v>
      </c>
      <c r="T67">
        <v>202109</v>
      </c>
      <c r="U67" t="s">
        <v>178</v>
      </c>
      <c r="V67">
        <v>580</v>
      </c>
    </row>
    <row r="68" spans="1:22">
      <c r="A68">
        <v>5352</v>
      </c>
      <c r="B68" t="s">
        <v>2625</v>
      </c>
      <c r="C68">
        <v>5697</v>
      </c>
      <c r="D68" t="s">
        <v>2344</v>
      </c>
      <c r="E68" t="s">
        <v>2036</v>
      </c>
      <c r="F68">
        <v>202108</v>
      </c>
      <c r="G68" t="s">
        <v>178</v>
      </c>
      <c r="H68">
        <v>735</v>
      </c>
      <c r="O68">
        <v>5352</v>
      </c>
      <c r="P68" t="s">
        <v>2625</v>
      </c>
      <c r="Q68">
        <v>5697</v>
      </c>
      <c r="R68" t="s">
        <v>2344</v>
      </c>
      <c r="S68" t="s">
        <v>2036</v>
      </c>
      <c r="T68">
        <v>202109</v>
      </c>
      <c r="U68" t="s">
        <v>180</v>
      </c>
      <c r="V68">
        <v>580</v>
      </c>
    </row>
    <row r="69" spans="1:22">
      <c r="A69">
        <v>5352</v>
      </c>
      <c r="B69" t="s">
        <v>2625</v>
      </c>
      <c r="C69">
        <v>5697</v>
      </c>
      <c r="D69" t="s">
        <v>2344</v>
      </c>
      <c r="E69" t="s">
        <v>2036</v>
      </c>
      <c r="F69">
        <v>202108</v>
      </c>
      <c r="G69" t="s">
        <v>180</v>
      </c>
      <c r="H69">
        <v>650</v>
      </c>
      <c r="O69">
        <v>5352</v>
      </c>
      <c r="P69" t="s">
        <v>2625</v>
      </c>
      <c r="Q69">
        <v>5697</v>
      </c>
      <c r="R69" t="s">
        <v>2344</v>
      </c>
      <c r="S69" t="s">
        <v>2036</v>
      </c>
      <c r="T69">
        <v>202109</v>
      </c>
      <c r="U69" t="s">
        <v>182</v>
      </c>
      <c r="V69">
        <v>159542</v>
      </c>
    </row>
    <row r="70" spans="1:22">
      <c r="A70">
        <v>5352</v>
      </c>
      <c r="B70" t="s">
        <v>2625</v>
      </c>
      <c r="C70">
        <v>5697</v>
      </c>
      <c r="D70" t="s">
        <v>2344</v>
      </c>
      <c r="E70" t="s">
        <v>2036</v>
      </c>
      <c r="F70">
        <v>202108</v>
      </c>
      <c r="G70" t="s">
        <v>182</v>
      </c>
      <c r="H70">
        <v>175218</v>
      </c>
      <c r="O70">
        <v>5352</v>
      </c>
      <c r="P70" t="s">
        <v>2625</v>
      </c>
      <c r="Q70">
        <v>5697</v>
      </c>
      <c r="R70" t="s">
        <v>2344</v>
      </c>
      <c r="S70" t="s">
        <v>2036</v>
      </c>
      <c r="T70">
        <v>202109</v>
      </c>
      <c r="U70" t="s">
        <v>184</v>
      </c>
      <c r="V70">
        <v>23077</v>
      </c>
    </row>
    <row r="71" spans="1:22">
      <c r="A71">
        <v>5352</v>
      </c>
      <c r="B71" t="s">
        <v>2625</v>
      </c>
      <c r="C71">
        <v>5697</v>
      </c>
      <c r="D71" t="s">
        <v>2344</v>
      </c>
      <c r="E71" t="s">
        <v>2036</v>
      </c>
      <c r="F71">
        <v>202108</v>
      </c>
      <c r="G71" t="s">
        <v>184</v>
      </c>
      <c r="H71">
        <v>27527</v>
      </c>
      <c r="O71">
        <v>5352</v>
      </c>
      <c r="P71" t="s">
        <v>2625</v>
      </c>
      <c r="Q71">
        <v>5697</v>
      </c>
      <c r="R71" t="s">
        <v>2344</v>
      </c>
      <c r="S71" t="s">
        <v>2036</v>
      </c>
      <c r="T71">
        <v>202109</v>
      </c>
      <c r="U71" t="s">
        <v>186</v>
      </c>
      <c r="V71">
        <v>0</v>
      </c>
    </row>
    <row r="72" spans="1:22">
      <c r="A72">
        <v>5352</v>
      </c>
      <c r="B72" t="s">
        <v>2625</v>
      </c>
      <c r="C72">
        <v>5697</v>
      </c>
      <c r="D72" t="s">
        <v>2344</v>
      </c>
      <c r="E72" t="s">
        <v>2036</v>
      </c>
      <c r="F72">
        <v>202108</v>
      </c>
      <c r="G72" t="s">
        <v>192</v>
      </c>
      <c r="H72">
        <v>0</v>
      </c>
      <c r="O72">
        <v>5352</v>
      </c>
      <c r="P72" t="s">
        <v>2625</v>
      </c>
      <c r="Q72">
        <v>5697</v>
      </c>
      <c r="R72" t="s">
        <v>2344</v>
      </c>
      <c r="S72" t="s">
        <v>2036</v>
      </c>
      <c r="T72">
        <v>202109</v>
      </c>
      <c r="U72" t="s">
        <v>190</v>
      </c>
      <c r="V72">
        <v>176948</v>
      </c>
    </row>
    <row r="73" spans="1:22">
      <c r="A73">
        <v>5352</v>
      </c>
      <c r="B73" t="s">
        <v>2625</v>
      </c>
      <c r="C73">
        <v>5697</v>
      </c>
      <c r="D73" t="s">
        <v>2344</v>
      </c>
      <c r="E73" t="s">
        <v>2036</v>
      </c>
      <c r="F73">
        <v>202108</v>
      </c>
      <c r="G73" t="s">
        <v>2170</v>
      </c>
      <c r="H73">
        <v>84.37</v>
      </c>
      <c r="O73">
        <v>5352</v>
      </c>
      <c r="P73" t="s">
        <v>2625</v>
      </c>
      <c r="Q73">
        <v>5697</v>
      </c>
      <c r="R73" t="s">
        <v>2344</v>
      </c>
      <c r="S73" t="s">
        <v>2036</v>
      </c>
      <c r="T73">
        <v>202109</v>
      </c>
      <c r="U73" t="s">
        <v>191</v>
      </c>
      <c r="V73">
        <v>28227</v>
      </c>
    </row>
    <row r="74" spans="1:22">
      <c r="A74">
        <v>5352</v>
      </c>
      <c r="B74" t="s">
        <v>2625</v>
      </c>
      <c r="C74">
        <v>5697</v>
      </c>
      <c r="D74" t="s">
        <v>2344</v>
      </c>
      <c r="E74" t="s">
        <v>2036</v>
      </c>
      <c r="F74">
        <v>202108</v>
      </c>
      <c r="G74" t="s">
        <v>186</v>
      </c>
      <c r="H74">
        <v>0</v>
      </c>
      <c r="O74">
        <v>5352</v>
      </c>
      <c r="P74" t="s">
        <v>2625</v>
      </c>
      <c r="Q74">
        <v>5697</v>
      </c>
      <c r="R74" t="s">
        <v>2344</v>
      </c>
      <c r="S74" t="s">
        <v>2036</v>
      </c>
      <c r="T74">
        <v>202109</v>
      </c>
      <c r="U74" t="s">
        <v>178</v>
      </c>
      <c r="V74">
        <v>735</v>
      </c>
    </row>
    <row r="75" spans="1:22">
      <c r="A75">
        <v>5352</v>
      </c>
      <c r="B75" t="s">
        <v>2625</v>
      </c>
      <c r="C75">
        <v>5697</v>
      </c>
      <c r="D75" t="s">
        <v>2344</v>
      </c>
      <c r="E75" t="s">
        <v>2036</v>
      </c>
      <c r="F75">
        <v>202108</v>
      </c>
      <c r="G75" t="s">
        <v>2169</v>
      </c>
      <c r="H75">
        <v>99.17</v>
      </c>
      <c r="O75">
        <v>5352</v>
      </c>
      <c r="P75" t="s">
        <v>2625</v>
      </c>
      <c r="Q75">
        <v>5697</v>
      </c>
      <c r="R75" t="s">
        <v>2344</v>
      </c>
      <c r="S75" t="s">
        <v>2036</v>
      </c>
      <c r="T75">
        <v>202109</v>
      </c>
      <c r="U75" t="s">
        <v>180</v>
      </c>
      <c r="V75">
        <v>650</v>
      </c>
    </row>
    <row r="76" spans="1:22">
      <c r="A76">
        <v>5352</v>
      </c>
      <c r="B76" t="s">
        <v>2625</v>
      </c>
      <c r="C76">
        <v>5697</v>
      </c>
      <c r="D76" t="s">
        <v>2344</v>
      </c>
      <c r="E76" t="s">
        <v>2036</v>
      </c>
      <c r="F76">
        <v>202108</v>
      </c>
      <c r="G76" t="s">
        <v>2166</v>
      </c>
      <c r="H76">
        <v>12.33</v>
      </c>
      <c r="O76">
        <v>5352</v>
      </c>
      <c r="P76" t="s">
        <v>2625</v>
      </c>
      <c r="Q76">
        <v>5697</v>
      </c>
      <c r="R76" t="s">
        <v>2344</v>
      </c>
      <c r="S76" t="s">
        <v>2036</v>
      </c>
      <c r="T76">
        <v>202109</v>
      </c>
      <c r="U76" t="s">
        <v>182</v>
      </c>
      <c r="V76">
        <v>176948</v>
      </c>
    </row>
    <row r="77" spans="1:22">
      <c r="A77">
        <v>5352</v>
      </c>
      <c r="B77" t="s">
        <v>2625</v>
      </c>
      <c r="C77">
        <v>5697</v>
      </c>
      <c r="D77" t="s">
        <v>2344</v>
      </c>
      <c r="E77" t="s">
        <v>2036</v>
      </c>
      <c r="F77">
        <v>202108</v>
      </c>
      <c r="G77" t="s">
        <v>2167</v>
      </c>
      <c r="H77">
        <v>23.94</v>
      </c>
      <c r="O77">
        <v>5352</v>
      </c>
      <c r="P77" t="s">
        <v>2625</v>
      </c>
      <c r="Q77">
        <v>5697</v>
      </c>
      <c r="R77" t="s">
        <v>2344</v>
      </c>
      <c r="S77" t="s">
        <v>2036</v>
      </c>
      <c r="T77">
        <v>202109</v>
      </c>
      <c r="U77" t="s">
        <v>184</v>
      </c>
      <c r="V77">
        <v>28227</v>
      </c>
    </row>
    <row r="78" spans="1:22">
      <c r="A78">
        <v>5352</v>
      </c>
      <c r="B78" t="s">
        <v>2625</v>
      </c>
      <c r="C78">
        <v>5697</v>
      </c>
      <c r="D78" t="s">
        <v>2344</v>
      </c>
      <c r="E78" t="s">
        <v>2036</v>
      </c>
      <c r="F78">
        <v>202108</v>
      </c>
      <c r="G78" t="s">
        <v>2168</v>
      </c>
      <c r="H78">
        <v>10.17</v>
      </c>
      <c r="O78">
        <v>5352</v>
      </c>
      <c r="P78" t="s">
        <v>2625</v>
      </c>
      <c r="Q78">
        <v>5697</v>
      </c>
      <c r="R78" t="s">
        <v>2344</v>
      </c>
      <c r="S78" t="s">
        <v>2036</v>
      </c>
      <c r="T78">
        <v>202109</v>
      </c>
      <c r="U78" t="s">
        <v>186</v>
      </c>
      <c r="V78">
        <v>0</v>
      </c>
    </row>
    <row r="79" spans="1:22">
      <c r="A79">
        <v>5352</v>
      </c>
      <c r="B79" t="s">
        <v>2625</v>
      </c>
      <c r="C79">
        <v>5697</v>
      </c>
      <c r="D79" t="s">
        <v>2344</v>
      </c>
      <c r="E79" t="s">
        <v>2036</v>
      </c>
      <c r="F79">
        <v>202108</v>
      </c>
      <c r="G79" t="s">
        <v>2171</v>
      </c>
      <c r="H79">
        <v>39873.199999999997</v>
      </c>
      <c r="O79">
        <v>5352</v>
      </c>
      <c r="P79" t="s">
        <v>2625</v>
      </c>
      <c r="Q79">
        <v>5697</v>
      </c>
      <c r="R79" t="s">
        <v>2344</v>
      </c>
      <c r="S79" t="s">
        <v>2036</v>
      </c>
      <c r="T79">
        <v>202109</v>
      </c>
      <c r="U79" t="s">
        <v>190</v>
      </c>
      <c r="V79">
        <v>99126</v>
      </c>
    </row>
    <row r="80" spans="1:22">
      <c r="A80">
        <v>5352</v>
      </c>
      <c r="B80" t="s">
        <v>2625</v>
      </c>
      <c r="C80">
        <v>5697</v>
      </c>
      <c r="D80" t="s">
        <v>2344</v>
      </c>
      <c r="E80" t="s">
        <v>2036</v>
      </c>
      <c r="F80">
        <v>202106</v>
      </c>
      <c r="G80" t="s">
        <v>190</v>
      </c>
      <c r="H80">
        <v>147353</v>
      </c>
      <c r="O80">
        <v>5352</v>
      </c>
      <c r="P80" t="s">
        <v>2625</v>
      </c>
      <c r="Q80">
        <v>5697</v>
      </c>
      <c r="R80" t="s">
        <v>2344</v>
      </c>
      <c r="S80" t="s">
        <v>2036</v>
      </c>
      <c r="T80">
        <v>202109</v>
      </c>
      <c r="U80" t="s">
        <v>191</v>
      </c>
      <c r="V80">
        <v>14482</v>
      </c>
    </row>
    <row r="81" spans="1:22">
      <c r="A81">
        <v>5352</v>
      </c>
      <c r="B81" t="s">
        <v>2625</v>
      </c>
      <c r="C81">
        <v>5697</v>
      </c>
      <c r="D81" t="s">
        <v>2344</v>
      </c>
      <c r="E81" t="s">
        <v>2036</v>
      </c>
      <c r="F81">
        <v>202106</v>
      </c>
      <c r="G81" t="s">
        <v>191</v>
      </c>
      <c r="H81">
        <v>21413</v>
      </c>
      <c r="O81">
        <v>5352</v>
      </c>
      <c r="P81" t="s">
        <v>2625</v>
      </c>
      <c r="Q81">
        <v>5697</v>
      </c>
      <c r="R81" t="s">
        <v>2344</v>
      </c>
      <c r="S81" t="s">
        <v>2036</v>
      </c>
      <c r="T81">
        <v>202109</v>
      </c>
      <c r="U81" t="s">
        <v>178</v>
      </c>
      <c r="V81">
        <v>320</v>
      </c>
    </row>
    <row r="82" spans="1:22">
      <c r="A82">
        <v>5352</v>
      </c>
      <c r="B82" t="s">
        <v>2625</v>
      </c>
      <c r="C82">
        <v>5697</v>
      </c>
      <c r="D82" t="s">
        <v>2344</v>
      </c>
      <c r="E82" t="s">
        <v>2036</v>
      </c>
      <c r="F82">
        <v>202106</v>
      </c>
      <c r="G82" t="s">
        <v>176</v>
      </c>
      <c r="H82">
        <v>-1154.17</v>
      </c>
      <c r="O82">
        <v>5352</v>
      </c>
      <c r="P82" t="s">
        <v>2625</v>
      </c>
      <c r="Q82">
        <v>5697</v>
      </c>
      <c r="R82" t="s">
        <v>2344</v>
      </c>
      <c r="S82" t="s">
        <v>2036</v>
      </c>
      <c r="T82">
        <v>202109</v>
      </c>
      <c r="U82" t="s">
        <v>180</v>
      </c>
      <c r="V82">
        <v>320</v>
      </c>
    </row>
    <row r="83" spans="1:22">
      <c r="A83">
        <v>5352</v>
      </c>
      <c r="B83" t="s">
        <v>2625</v>
      </c>
      <c r="C83">
        <v>5697</v>
      </c>
      <c r="D83" t="s">
        <v>2344</v>
      </c>
      <c r="E83" t="s">
        <v>2036</v>
      </c>
      <c r="F83">
        <v>202106</v>
      </c>
      <c r="G83" t="s">
        <v>178</v>
      </c>
      <c r="H83">
        <v>470</v>
      </c>
      <c r="O83">
        <v>5352</v>
      </c>
      <c r="P83" t="s">
        <v>2625</v>
      </c>
      <c r="Q83">
        <v>5697</v>
      </c>
      <c r="R83" t="s">
        <v>2344</v>
      </c>
      <c r="S83" t="s">
        <v>2036</v>
      </c>
      <c r="T83">
        <v>202109</v>
      </c>
      <c r="U83" t="s">
        <v>182</v>
      </c>
      <c r="V83">
        <v>99126</v>
      </c>
    </row>
    <row r="84" spans="1:22">
      <c r="A84">
        <v>5352</v>
      </c>
      <c r="B84" t="s">
        <v>2625</v>
      </c>
      <c r="C84">
        <v>5697</v>
      </c>
      <c r="D84" t="s">
        <v>2344</v>
      </c>
      <c r="E84" t="s">
        <v>2036</v>
      </c>
      <c r="F84">
        <v>202106</v>
      </c>
      <c r="G84" t="s">
        <v>180</v>
      </c>
      <c r="H84">
        <v>530</v>
      </c>
      <c r="O84">
        <v>5352</v>
      </c>
      <c r="P84" t="s">
        <v>2625</v>
      </c>
      <c r="Q84">
        <v>5697</v>
      </c>
      <c r="R84" t="s">
        <v>2344</v>
      </c>
      <c r="S84" t="s">
        <v>2036</v>
      </c>
      <c r="T84">
        <v>202109</v>
      </c>
      <c r="U84" t="s">
        <v>184</v>
      </c>
      <c r="V84">
        <v>14482</v>
      </c>
    </row>
    <row r="85" spans="1:22">
      <c r="A85">
        <v>5352</v>
      </c>
      <c r="B85" t="s">
        <v>2625</v>
      </c>
      <c r="C85">
        <v>5697</v>
      </c>
      <c r="D85" t="s">
        <v>2344</v>
      </c>
      <c r="E85" t="s">
        <v>2036</v>
      </c>
      <c r="F85">
        <v>202106</v>
      </c>
      <c r="G85" t="s">
        <v>182</v>
      </c>
      <c r="H85">
        <v>147353</v>
      </c>
      <c r="O85">
        <v>5352</v>
      </c>
      <c r="P85" t="s">
        <v>2625</v>
      </c>
      <c r="Q85">
        <v>5697</v>
      </c>
      <c r="R85" t="s">
        <v>2344</v>
      </c>
      <c r="S85" t="s">
        <v>2036</v>
      </c>
      <c r="T85">
        <v>202109</v>
      </c>
      <c r="U85" t="s">
        <v>186</v>
      </c>
      <c r="V85">
        <v>0</v>
      </c>
    </row>
    <row r="86" spans="1:22">
      <c r="A86">
        <v>5352</v>
      </c>
      <c r="B86" t="s">
        <v>2625</v>
      </c>
      <c r="C86">
        <v>5697</v>
      </c>
      <c r="D86" t="s">
        <v>2344</v>
      </c>
      <c r="E86" t="s">
        <v>2036</v>
      </c>
      <c r="F86">
        <v>202106</v>
      </c>
      <c r="G86" t="s">
        <v>184</v>
      </c>
      <c r="H86">
        <v>21413</v>
      </c>
      <c r="O86">
        <v>5352</v>
      </c>
      <c r="P86" t="s">
        <v>2625</v>
      </c>
      <c r="Q86">
        <v>5697</v>
      </c>
      <c r="R86" t="s">
        <v>2344</v>
      </c>
      <c r="S86" t="s">
        <v>2036</v>
      </c>
      <c r="T86">
        <v>202109</v>
      </c>
      <c r="U86" t="s">
        <v>190</v>
      </c>
      <c r="V86">
        <v>157054</v>
      </c>
    </row>
    <row r="87" spans="1:22">
      <c r="A87">
        <v>5352</v>
      </c>
      <c r="B87" t="s">
        <v>2625</v>
      </c>
      <c r="C87">
        <v>5697</v>
      </c>
      <c r="D87" t="s">
        <v>2344</v>
      </c>
      <c r="E87" t="s">
        <v>2036</v>
      </c>
      <c r="F87">
        <v>202106</v>
      </c>
      <c r="G87" t="s">
        <v>192</v>
      </c>
      <c r="H87">
        <v>0</v>
      </c>
      <c r="O87">
        <v>5352</v>
      </c>
      <c r="P87" t="s">
        <v>2625</v>
      </c>
      <c r="Q87">
        <v>5697</v>
      </c>
      <c r="R87" t="s">
        <v>2344</v>
      </c>
      <c r="S87" t="s">
        <v>2036</v>
      </c>
      <c r="T87">
        <v>202109</v>
      </c>
      <c r="U87" t="s">
        <v>191</v>
      </c>
      <c r="V87">
        <v>22874</v>
      </c>
    </row>
    <row r="88" spans="1:22">
      <c r="A88">
        <v>5352</v>
      </c>
      <c r="B88" t="s">
        <v>2625</v>
      </c>
      <c r="C88">
        <v>5697</v>
      </c>
      <c r="D88" t="s">
        <v>2344</v>
      </c>
      <c r="E88" t="s">
        <v>2036</v>
      </c>
      <c r="F88">
        <v>202106</v>
      </c>
      <c r="G88" t="s">
        <v>2170</v>
      </c>
      <c r="H88">
        <v>2445.6</v>
      </c>
      <c r="O88">
        <v>5352</v>
      </c>
      <c r="P88" t="s">
        <v>2625</v>
      </c>
      <c r="Q88">
        <v>5697</v>
      </c>
      <c r="R88" t="s">
        <v>2344</v>
      </c>
      <c r="S88" t="s">
        <v>2036</v>
      </c>
      <c r="T88">
        <v>202109</v>
      </c>
      <c r="U88" t="s">
        <v>178</v>
      </c>
      <c r="V88">
        <v>600</v>
      </c>
    </row>
    <row r="89" spans="1:22">
      <c r="A89">
        <v>5352</v>
      </c>
      <c r="B89" t="s">
        <v>2625</v>
      </c>
      <c r="C89">
        <v>5697</v>
      </c>
      <c r="D89" t="s">
        <v>2344</v>
      </c>
      <c r="E89" t="s">
        <v>2036</v>
      </c>
      <c r="F89">
        <v>202106</v>
      </c>
      <c r="G89" t="s">
        <v>186</v>
      </c>
      <c r="H89">
        <v>0</v>
      </c>
      <c r="O89">
        <v>5352</v>
      </c>
      <c r="P89" t="s">
        <v>2625</v>
      </c>
      <c r="Q89">
        <v>5697</v>
      </c>
      <c r="R89" t="s">
        <v>2344</v>
      </c>
      <c r="S89" t="s">
        <v>2036</v>
      </c>
      <c r="T89">
        <v>202109</v>
      </c>
      <c r="U89" t="s">
        <v>180</v>
      </c>
      <c r="V89">
        <v>600</v>
      </c>
    </row>
    <row r="90" spans="1:22">
      <c r="A90">
        <v>5352</v>
      </c>
      <c r="B90" t="s">
        <v>2625</v>
      </c>
      <c r="C90">
        <v>5697</v>
      </c>
      <c r="D90" t="s">
        <v>2344</v>
      </c>
      <c r="E90" t="s">
        <v>2036</v>
      </c>
      <c r="F90">
        <v>202106</v>
      </c>
      <c r="G90" t="s">
        <v>2169</v>
      </c>
      <c r="H90">
        <v>99.17</v>
      </c>
      <c r="O90">
        <v>5352</v>
      </c>
      <c r="P90" t="s">
        <v>2625</v>
      </c>
      <c r="Q90">
        <v>5697</v>
      </c>
      <c r="R90" t="s">
        <v>2344</v>
      </c>
      <c r="S90" t="s">
        <v>2036</v>
      </c>
      <c r="T90">
        <v>202109</v>
      </c>
      <c r="U90" t="s">
        <v>182</v>
      </c>
      <c r="V90">
        <v>157054</v>
      </c>
    </row>
    <row r="91" spans="1:22">
      <c r="A91">
        <v>5352</v>
      </c>
      <c r="B91" t="s">
        <v>2625</v>
      </c>
      <c r="C91">
        <v>5697</v>
      </c>
      <c r="D91" t="s">
        <v>2344</v>
      </c>
      <c r="E91" t="s">
        <v>2036</v>
      </c>
      <c r="F91">
        <v>202106</v>
      </c>
      <c r="G91" t="s">
        <v>2166</v>
      </c>
      <c r="H91">
        <v>12.33</v>
      </c>
      <c r="O91">
        <v>5352</v>
      </c>
      <c r="P91" t="s">
        <v>2625</v>
      </c>
      <c r="Q91">
        <v>5697</v>
      </c>
      <c r="R91" t="s">
        <v>2344</v>
      </c>
      <c r="S91" t="s">
        <v>2036</v>
      </c>
      <c r="T91">
        <v>202109</v>
      </c>
      <c r="U91" t="s">
        <v>184</v>
      </c>
      <c r="V91">
        <v>22874</v>
      </c>
    </row>
    <row r="92" spans="1:22">
      <c r="A92">
        <v>5352</v>
      </c>
      <c r="B92" t="s">
        <v>2625</v>
      </c>
      <c r="C92">
        <v>5697</v>
      </c>
      <c r="D92" t="s">
        <v>2344</v>
      </c>
      <c r="E92" t="s">
        <v>2036</v>
      </c>
      <c r="F92">
        <v>202106</v>
      </c>
      <c r="G92" t="s">
        <v>2167</v>
      </c>
      <c r="H92">
        <v>23.94</v>
      </c>
      <c r="O92">
        <v>5352</v>
      </c>
      <c r="P92" t="s">
        <v>2625</v>
      </c>
      <c r="Q92">
        <v>5697</v>
      </c>
      <c r="R92" t="s">
        <v>2344</v>
      </c>
      <c r="S92" t="s">
        <v>2036</v>
      </c>
      <c r="T92">
        <v>202109</v>
      </c>
      <c r="U92" t="s">
        <v>186</v>
      </c>
      <c r="V92">
        <v>0</v>
      </c>
    </row>
    <row r="93" spans="1:22">
      <c r="A93">
        <v>5352</v>
      </c>
      <c r="B93" t="s">
        <v>2625</v>
      </c>
      <c r="C93">
        <v>5697</v>
      </c>
      <c r="D93" t="s">
        <v>2344</v>
      </c>
      <c r="E93" t="s">
        <v>2036</v>
      </c>
      <c r="F93">
        <v>202106</v>
      </c>
      <c r="G93" t="s">
        <v>2168</v>
      </c>
      <c r="H93">
        <v>10.17</v>
      </c>
      <c r="O93">
        <v>5352</v>
      </c>
      <c r="P93" t="s">
        <v>2625</v>
      </c>
      <c r="Q93">
        <v>5697</v>
      </c>
      <c r="R93" t="s">
        <v>2344</v>
      </c>
      <c r="S93" t="s">
        <v>2036</v>
      </c>
      <c r="T93">
        <v>202109</v>
      </c>
      <c r="U93" t="s">
        <v>190</v>
      </c>
      <c r="V93">
        <v>283091</v>
      </c>
    </row>
    <row r="94" spans="1:22">
      <c r="A94">
        <v>5352</v>
      </c>
      <c r="B94" t="s">
        <v>2625</v>
      </c>
      <c r="C94">
        <v>5697</v>
      </c>
      <c r="D94" t="s">
        <v>2344</v>
      </c>
      <c r="E94" t="s">
        <v>2036</v>
      </c>
      <c r="F94">
        <v>202106</v>
      </c>
      <c r="G94" t="s">
        <v>2171</v>
      </c>
      <c r="H94">
        <v>38227.589999999997</v>
      </c>
      <c r="O94">
        <v>5352</v>
      </c>
      <c r="P94" t="s">
        <v>2625</v>
      </c>
      <c r="Q94">
        <v>5697</v>
      </c>
      <c r="R94" t="s">
        <v>2344</v>
      </c>
      <c r="S94" t="s">
        <v>2036</v>
      </c>
      <c r="T94">
        <v>202109</v>
      </c>
      <c r="U94" t="s">
        <v>191</v>
      </c>
      <c r="V94">
        <v>39084</v>
      </c>
    </row>
    <row r="95" spans="1:22">
      <c r="A95">
        <v>5352</v>
      </c>
      <c r="B95" t="s">
        <v>2625</v>
      </c>
      <c r="C95">
        <v>5697</v>
      </c>
      <c r="D95" t="s">
        <v>2344</v>
      </c>
      <c r="E95" t="s">
        <v>2036</v>
      </c>
      <c r="F95">
        <v>202106</v>
      </c>
      <c r="G95" t="s">
        <v>190</v>
      </c>
      <c r="H95">
        <v>187881</v>
      </c>
      <c r="O95">
        <v>5352</v>
      </c>
      <c r="P95" t="s">
        <v>2625</v>
      </c>
      <c r="Q95">
        <v>5697</v>
      </c>
      <c r="R95" t="s">
        <v>2344</v>
      </c>
      <c r="S95" t="s">
        <v>2036</v>
      </c>
      <c r="T95">
        <v>202109</v>
      </c>
      <c r="U95" t="s">
        <v>178</v>
      </c>
      <c r="V95">
        <v>820</v>
      </c>
    </row>
    <row r="96" spans="1:22">
      <c r="A96">
        <v>5352</v>
      </c>
      <c r="B96" t="s">
        <v>2625</v>
      </c>
      <c r="C96">
        <v>5697</v>
      </c>
      <c r="D96" t="s">
        <v>2344</v>
      </c>
      <c r="E96" t="s">
        <v>2036</v>
      </c>
      <c r="F96">
        <v>202106</v>
      </c>
      <c r="G96" t="s">
        <v>191</v>
      </c>
      <c r="H96">
        <v>25796</v>
      </c>
      <c r="O96">
        <v>5352</v>
      </c>
      <c r="P96" t="s">
        <v>2625</v>
      </c>
      <c r="Q96">
        <v>5697</v>
      </c>
      <c r="R96" t="s">
        <v>2344</v>
      </c>
      <c r="S96" t="s">
        <v>2036</v>
      </c>
      <c r="T96">
        <v>202109</v>
      </c>
      <c r="U96" t="s">
        <v>180</v>
      </c>
      <c r="V96">
        <v>820</v>
      </c>
    </row>
    <row r="97" spans="1:22">
      <c r="A97">
        <v>5352</v>
      </c>
      <c r="B97" t="s">
        <v>2625</v>
      </c>
      <c r="C97">
        <v>5697</v>
      </c>
      <c r="D97" t="s">
        <v>2344</v>
      </c>
      <c r="E97" t="s">
        <v>2036</v>
      </c>
      <c r="F97">
        <v>202106</v>
      </c>
      <c r="G97" t="s">
        <v>176</v>
      </c>
      <c r="H97">
        <v>-18.77</v>
      </c>
      <c r="O97">
        <v>5352</v>
      </c>
      <c r="P97" t="s">
        <v>2625</v>
      </c>
      <c r="Q97">
        <v>5697</v>
      </c>
      <c r="R97" t="s">
        <v>2344</v>
      </c>
      <c r="S97" t="s">
        <v>2036</v>
      </c>
      <c r="T97">
        <v>202109</v>
      </c>
      <c r="U97" t="s">
        <v>182</v>
      </c>
      <c r="V97">
        <v>283091</v>
      </c>
    </row>
    <row r="98" spans="1:22">
      <c r="A98">
        <v>5352</v>
      </c>
      <c r="B98" t="s">
        <v>2625</v>
      </c>
      <c r="C98">
        <v>5697</v>
      </c>
      <c r="D98" t="s">
        <v>2344</v>
      </c>
      <c r="E98" t="s">
        <v>2036</v>
      </c>
      <c r="F98">
        <v>202106</v>
      </c>
      <c r="G98" t="s">
        <v>178</v>
      </c>
      <c r="H98">
        <v>573</v>
      </c>
      <c r="O98">
        <v>5352</v>
      </c>
      <c r="P98" t="s">
        <v>2625</v>
      </c>
      <c r="Q98">
        <v>5697</v>
      </c>
      <c r="R98" t="s">
        <v>2344</v>
      </c>
      <c r="S98" t="s">
        <v>2036</v>
      </c>
      <c r="T98">
        <v>202109</v>
      </c>
      <c r="U98" t="s">
        <v>184</v>
      </c>
      <c r="V98">
        <v>39084</v>
      </c>
    </row>
    <row r="99" spans="1:22">
      <c r="A99">
        <v>5352</v>
      </c>
      <c r="B99" t="s">
        <v>2625</v>
      </c>
      <c r="C99">
        <v>5697</v>
      </c>
      <c r="D99" t="s">
        <v>2344</v>
      </c>
      <c r="E99" t="s">
        <v>2036</v>
      </c>
      <c r="F99">
        <v>202106</v>
      </c>
      <c r="G99" t="s">
        <v>180</v>
      </c>
      <c r="H99">
        <v>560</v>
      </c>
      <c r="O99">
        <v>5352</v>
      </c>
      <c r="P99" t="s">
        <v>2625</v>
      </c>
      <c r="Q99">
        <v>5697</v>
      </c>
      <c r="R99" t="s">
        <v>2344</v>
      </c>
      <c r="S99" t="s">
        <v>2036</v>
      </c>
      <c r="T99">
        <v>202109</v>
      </c>
      <c r="U99" t="s">
        <v>186</v>
      </c>
      <c r="V99">
        <v>0</v>
      </c>
    </row>
    <row r="100" spans="1:22">
      <c r="A100">
        <v>5352</v>
      </c>
      <c r="B100" t="s">
        <v>2625</v>
      </c>
      <c r="C100">
        <v>5697</v>
      </c>
      <c r="D100" t="s">
        <v>2344</v>
      </c>
      <c r="E100" t="s">
        <v>2036</v>
      </c>
      <c r="F100">
        <v>202106</v>
      </c>
      <c r="G100" t="s">
        <v>182</v>
      </c>
      <c r="H100">
        <v>187881</v>
      </c>
      <c r="O100">
        <v>5352</v>
      </c>
      <c r="P100" t="s">
        <v>2625</v>
      </c>
      <c r="Q100">
        <v>5697</v>
      </c>
      <c r="R100" t="s">
        <v>2344</v>
      </c>
      <c r="S100" t="s">
        <v>2036</v>
      </c>
      <c r="T100">
        <v>202109</v>
      </c>
      <c r="U100" t="s">
        <v>190</v>
      </c>
      <c r="V100">
        <v>175464</v>
      </c>
    </row>
    <row r="101" spans="1:22">
      <c r="A101">
        <v>5352</v>
      </c>
      <c r="B101" t="s">
        <v>2625</v>
      </c>
      <c r="C101">
        <v>5697</v>
      </c>
      <c r="D101" t="s">
        <v>2344</v>
      </c>
      <c r="E101" t="s">
        <v>2036</v>
      </c>
      <c r="F101">
        <v>202106</v>
      </c>
      <c r="G101" t="s">
        <v>184</v>
      </c>
      <c r="H101">
        <v>25796</v>
      </c>
      <c r="O101">
        <v>5352</v>
      </c>
      <c r="P101" t="s">
        <v>2625</v>
      </c>
      <c r="Q101">
        <v>5697</v>
      </c>
      <c r="R101" t="s">
        <v>2344</v>
      </c>
      <c r="S101" t="s">
        <v>2036</v>
      </c>
      <c r="T101">
        <v>202109</v>
      </c>
      <c r="U101" t="s">
        <v>191</v>
      </c>
      <c r="V101">
        <v>30937</v>
      </c>
    </row>
    <row r="102" spans="1:22">
      <c r="A102">
        <v>5352</v>
      </c>
      <c r="B102" t="s">
        <v>2625</v>
      </c>
      <c r="C102">
        <v>5697</v>
      </c>
      <c r="D102" t="s">
        <v>2344</v>
      </c>
      <c r="E102" t="s">
        <v>2036</v>
      </c>
      <c r="F102">
        <v>202106</v>
      </c>
      <c r="G102" t="s">
        <v>192</v>
      </c>
      <c r="H102">
        <v>0</v>
      </c>
      <c r="O102">
        <v>5352</v>
      </c>
      <c r="P102" t="s">
        <v>2625</v>
      </c>
      <c r="Q102">
        <v>5697</v>
      </c>
      <c r="R102" t="s">
        <v>2344</v>
      </c>
      <c r="S102" t="s">
        <v>2036</v>
      </c>
      <c r="T102">
        <v>202109</v>
      </c>
      <c r="U102" t="s">
        <v>178</v>
      </c>
      <c r="V102">
        <v>1300</v>
      </c>
    </row>
    <row r="103" spans="1:22">
      <c r="A103">
        <v>5352</v>
      </c>
      <c r="B103" t="s">
        <v>2625</v>
      </c>
      <c r="C103">
        <v>5697</v>
      </c>
      <c r="D103" t="s">
        <v>2344</v>
      </c>
      <c r="E103" t="s">
        <v>2036</v>
      </c>
      <c r="F103">
        <v>202106</v>
      </c>
      <c r="G103" t="s">
        <v>2170</v>
      </c>
      <c r="H103">
        <v>2902.01</v>
      </c>
      <c r="O103">
        <v>5352</v>
      </c>
      <c r="P103" t="s">
        <v>2625</v>
      </c>
      <c r="Q103">
        <v>5697</v>
      </c>
      <c r="R103" t="s">
        <v>2344</v>
      </c>
      <c r="S103" t="s">
        <v>2036</v>
      </c>
      <c r="T103">
        <v>202109</v>
      </c>
      <c r="U103" t="s">
        <v>180</v>
      </c>
      <c r="V103">
        <v>1350</v>
      </c>
    </row>
    <row r="104" spans="1:22">
      <c r="A104">
        <v>5352</v>
      </c>
      <c r="B104" t="s">
        <v>2625</v>
      </c>
      <c r="C104">
        <v>5697</v>
      </c>
      <c r="D104" t="s">
        <v>2344</v>
      </c>
      <c r="E104" t="s">
        <v>2036</v>
      </c>
      <c r="F104">
        <v>202106</v>
      </c>
      <c r="G104" t="s">
        <v>186</v>
      </c>
      <c r="H104">
        <v>0</v>
      </c>
      <c r="O104">
        <v>5352</v>
      </c>
      <c r="P104" t="s">
        <v>2625</v>
      </c>
      <c r="Q104">
        <v>5697</v>
      </c>
      <c r="R104" t="s">
        <v>2344</v>
      </c>
      <c r="S104" t="s">
        <v>2036</v>
      </c>
      <c r="T104">
        <v>202109</v>
      </c>
      <c r="U104" t="s">
        <v>182</v>
      </c>
      <c r="V104">
        <v>175464</v>
      </c>
    </row>
    <row r="105" spans="1:22">
      <c r="A105">
        <v>5352</v>
      </c>
      <c r="B105" t="s">
        <v>2625</v>
      </c>
      <c r="C105">
        <v>5697</v>
      </c>
      <c r="D105" t="s">
        <v>2344</v>
      </c>
      <c r="E105" t="s">
        <v>2036</v>
      </c>
      <c r="F105">
        <v>202106</v>
      </c>
      <c r="G105" t="s">
        <v>2169</v>
      </c>
      <c r="H105">
        <v>99.17</v>
      </c>
      <c r="O105">
        <v>5352</v>
      </c>
      <c r="P105" t="s">
        <v>2625</v>
      </c>
      <c r="Q105">
        <v>5697</v>
      </c>
      <c r="R105" t="s">
        <v>2344</v>
      </c>
      <c r="S105" t="s">
        <v>2036</v>
      </c>
      <c r="T105">
        <v>202109</v>
      </c>
      <c r="U105" t="s">
        <v>184</v>
      </c>
      <c r="V105">
        <v>30937</v>
      </c>
    </row>
    <row r="106" spans="1:22">
      <c r="A106">
        <v>5352</v>
      </c>
      <c r="B106" t="s">
        <v>2625</v>
      </c>
      <c r="C106">
        <v>5697</v>
      </c>
      <c r="D106" t="s">
        <v>2344</v>
      </c>
      <c r="E106" t="s">
        <v>2036</v>
      </c>
      <c r="F106">
        <v>202106</v>
      </c>
      <c r="G106" t="s">
        <v>2166</v>
      </c>
      <c r="H106">
        <v>12.33</v>
      </c>
      <c r="O106">
        <v>5352</v>
      </c>
      <c r="P106" t="s">
        <v>2625</v>
      </c>
      <c r="Q106">
        <v>5697</v>
      </c>
      <c r="R106" t="s">
        <v>2344</v>
      </c>
      <c r="S106" t="s">
        <v>2036</v>
      </c>
      <c r="T106">
        <v>202109</v>
      </c>
      <c r="U106" t="s">
        <v>186</v>
      </c>
      <c r="V106">
        <v>0</v>
      </c>
    </row>
    <row r="107" spans="1:22">
      <c r="A107">
        <v>5352</v>
      </c>
      <c r="B107" t="s">
        <v>2625</v>
      </c>
      <c r="C107">
        <v>5697</v>
      </c>
      <c r="D107" t="s">
        <v>2344</v>
      </c>
      <c r="E107" t="s">
        <v>2036</v>
      </c>
      <c r="F107">
        <v>202106</v>
      </c>
      <c r="G107" t="s">
        <v>2167</v>
      </c>
      <c r="H107">
        <v>23.94</v>
      </c>
      <c r="O107">
        <v>5352</v>
      </c>
      <c r="P107" t="s">
        <v>2625</v>
      </c>
      <c r="Q107">
        <v>5697</v>
      </c>
      <c r="R107" t="s">
        <v>2344</v>
      </c>
      <c r="S107" t="s">
        <v>2036</v>
      </c>
      <c r="T107">
        <v>202109</v>
      </c>
      <c r="U107" t="s">
        <v>190</v>
      </c>
      <c r="V107">
        <v>174010</v>
      </c>
    </row>
    <row r="108" spans="1:22">
      <c r="A108">
        <v>5352</v>
      </c>
      <c r="B108" t="s">
        <v>2625</v>
      </c>
      <c r="C108">
        <v>5697</v>
      </c>
      <c r="D108" t="s">
        <v>2344</v>
      </c>
      <c r="E108" t="s">
        <v>2036</v>
      </c>
      <c r="F108">
        <v>202106</v>
      </c>
      <c r="G108" t="s">
        <v>2168</v>
      </c>
      <c r="H108">
        <v>10.17</v>
      </c>
      <c r="O108">
        <v>5352</v>
      </c>
      <c r="P108" t="s">
        <v>2625</v>
      </c>
      <c r="Q108">
        <v>5697</v>
      </c>
      <c r="R108" t="s">
        <v>2344</v>
      </c>
      <c r="S108" t="s">
        <v>2036</v>
      </c>
      <c r="T108">
        <v>202109</v>
      </c>
      <c r="U108" t="s">
        <v>191</v>
      </c>
      <c r="V108">
        <v>30989</v>
      </c>
    </row>
    <row r="109" spans="1:22">
      <c r="A109">
        <v>5352</v>
      </c>
      <c r="B109" t="s">
        <v>2625</v>
      </c>
      <c r="C109">
        <v>5697</v>
      </c>
      <c r="D109" t="s">
        <v>2344</v>
      </c>
      <c r="E109" t="s">
        <v>2036</v>
      </c>
      <c r="F109">
        <v>202106</v>
      </c>
      <c r="G109" t="s">
        <v>2171</v>
      </c>
      <c r="H109">
        <v>46712.46</v>
      </c>
      <c r="O109">
        <v>5352</v>
      </c>
      <c r="P109" t="s">
        <v>2625</v>
      </c>
      <c r="Q109">
        <v>5697</v>
      </c>
      <c r="R109" t="s">
        <v>2344</v>
      </c>
      <c r="S109" t="s">
        <v>2036</v>
      </c>
      <c r="T109">
        <v>202109</v>
      </c>
      <c r="U109" t="s">
        <v>178</v>
      </c>
      <c r="V109">
        <v>810</v>
      </c>
    </row>
    <row r="110" spans="1:22">
      <c r="A110">
        <v>5352</v>
      </c>
      <c r="B110" t="s">
        <v>2625</v>
      </c>
      <c r="C110">
        <v>5697</v>
      </c>
      <c r="D110" t="s">
        <v>2344</v>
      </c>
      <c r="E110" t="s">
        <v>2036</v>
      </c>
      <c r="F110">
        <v>202106</v>
      </c>
      <c r="G110" t="s">
        <v>190</v>
      </c>
      <c r="H110">
        <v>660104</v>
      </c>
      <c r="O110">
        <v>5352</v>
      </c>
      <c r="P110" t="s">
        <v>2625</v>
      </c>
      <c r="Q110">
        <v>5697</v>
      </c>
      <c r="R110" t="s">
        <v>2344</v>
      </c>
      <c r="S110" t="s">
        <v>2036</v>
      </c>
      <c r="T110">
        <v>202109</v>
      </c>
      <c r="U110" t="s">
        <v>180</v>
      </c>
      <c r="V110">
        <v>930</v>
      </c>
    </row>
    <row r="111" spans="1:22">
      <c r="A111">
        <v>5352</v>
      </c>
      <c r="B111" t="s">
        <v>2625</v>
      </c>
      <c r="C111">
        <v>5697</v>
      </c>
      <c r="D111" t="s">
        <v>2344</v>
      </c>
      <c r="E111" t="s">
        <v>2036</v>
      </c>
      <c r="F111">
        <v>202106</v>
      </c>
      <c r="G111" t="s">
        <v>191</v>
      </c>
      <c r="H111">
        <v>32722</v>
      </c>
      <c r="O111">
        <v>5352</v>
      </c>
      <c r="P111" t="s">
        <v>2625</v>
      </c>
      <c r="Q111">
        <v>5697</v>
      </c>
      <c r="R111" t="s">
        <v>2344</v>
      </c>
      <c r="S111" t="s">
        <v>2036</v>
      </c>
      <c r="T111">
        <v>202109</v>
      </c>
      <c r="U111" t="s">
        <v>182</v>
      </c>
      <c r="V111">
        <v>174010</v>
      </c>
    </row>
    <row r="112" spans="1:22">
      <c r="A112">
        <v>5352</v>
      </c>
      <c r="B112" t="s">
        <v>2625</v>
      </c>
      <c r="C112">
        <v>5697</v>
      </c>
      <c r="D112" t="s">
        <v>2344</v>
      </c>
      <c r="E112" t="s">
        <v>2036</v>
      </c>
      <c r="F112">
        <v>202106</v>
      </c>
      <c r="G112" t="s">
        <v>176</v>
      </c>
      <c r="H112">
        <v>-4324.99</v>
      </c>
      <c r="O112">
        <v>5352</v>
      </c>
      <c r="P112" t="s">
        <v>2625</v>
      </c>
      <c r="Q112">
        <v>5697</v>
      </c>
      <c r="R112" t="s">
        <v>2344</v>
      </c>
      <c r="S112" t="s">
        <v>2036</v>
      </c>
      <c r="T112">
        <v>202109</v>
      </c>
      <c r="U112" t="s">
        <v>184</v>
      </c>
      <c r="V112">
        <v>30989</v>
      </c>
    </row>
    <row r="113" spans="1:22">
      <c r="A113">
        <v>5352</v>
      </c>
      <c r="B113" t="s">
        <v>2625</v>
      </c>
      <c r="C113">
        <v>5697</v>
      </c>
      <c r="D113" t="s">
        <v>2344</v>
      </c>
      <c r="E113" t="s">
        <v>2036</v>
      </c>
      <c r="F113">
        <v>202106</v>
      </c>
      <c r="G113" t="s">
        <v>178</v>
      </c>
      <c r="H113">
        <v>1360</v>
      </c>
      <c r="O113">
        <v>5352</v>
      </c>
      <c r="P113" t="s">
        <v>2625</v>
      </c>
      <c r="Q113">
        <v>5697</v>
      </c>
      <c r="R113" t="s">
        <v>2344</v>
      </c>
      <c r="S113" t="s">
        <v>2036</v>
      </c>
      <c r="T113">
        <v>202109</v>
      </c>
      <c r="U113" t="s">
        <v>186</v>
      </c>
      <c r="V113">
        <v>0</v>
      </c>
    </row>
    <row r="114" spans="1:22">
      <c r="A114">
        <v>5352</v>
      </c>
      <c r="B114" t="s">
        <v>2625</v>
      </c>
      <c r="C114">
        <v>5697</v>
      </c>
      <c r="D114" t="s">
        <v>2344</v>
      </c>
      <c r="E114" t="s">
        <v>2036</v>
      </c>
      <c r="F114">
        <v>202106</v>
      </c>
      <c r="G114" t="s">
        <v>180</v>
      </c>
      <c r="H114">
        <v>1250</v>
      </c>
      <c r="O114">
        <v>5352</v>
      </c>
      <c r="P114" t="s">
        <v>2625</v>
      </c>
      <c r="Q114">
        <v>5697</v>
      </c>
      <c r="R114" t="s">
        <v>2344</v>
      </c>
      <c r="S114" t="s">
        <v>2036</v>
      </c>
      <c r="T114">
        <v>202109</v>
      </c>
      <c r="U114" t="s">
        <v>190</v>
      </c>
      <c r="V114">
        <v>54891</v>
      </c>
    </row>
    <row r="115" spans="1:22">
      <c r="A115">
        <v>5352</v>
      </c>
      <c r="B115" t="s">
        <v>2625</v>
      </c>
      <c r="C115">
        <v>5697</v>
      </c>
      <c r="D115" t="s">
        <v>2344</v>
      </c>
      <c r="E115" t="s">
        <v>2036</v>
      </c>
      <c r="F115">
        <v>202106</v>
      </c>
      <c r="G115" t="s">
        <v>182</v>
      </c>
      <c r="H115">
        <v>660104</v>
      </c>
      <c r="O115">
        <v>5352</v>
      </c>
      <c r="P115" t="s">
        <v>2625</v>
      </c>
      <c r="Q115">
        <v>5697</v>
      </c>
      <c r="R115" t="s">
        <v>2344</v>
      </c>
      <c r="S115" t="s">
        <v>2036</v>
      </c>
      <c r="T115">
        <v>202109</v>
      </c>
      <c r="U115" t="s">
        <v>191</v>
      </c>
      <c r="V115">
        <v>8448</v>
      </c>
    </row>
    <row r="116" spans="1:22">
      <c r="A116">
        <v>5352</v>
      </c>
      <c r="B116" t="s">
        <v>2625</v>
      </c>
      <c r="C116">
        <v>5697</v>
      </c>
      <c r="D116" t="s">
        <v>2344</v>
      </c>
      <c r="E116" t="s">
        <v>2036</v>
      </c>
      <c r="F116">
        <v>202106</v>
      </c>
      <c r="G116" t="s">
        <v>184</v>
      </c>
      <c r="H116">
        <v>32722</v>
      </c>
      <c r="O116">
        <v>5352</v>
      </c>
      <c r="P116" t="s">
        <v>2625</v>
      </c>
      <c r="Q116">
        <v>5697</v>
      </c>
      <c r="R116" t="s">
        <v>2344</v>
      </c>
      <c r="S116" t="s">
        <v>2036</v>
      </c>
      <c r="T116">
        <v>202109</v>
      </c>
      <c r="U116" t="s">
        <v>178</v>
      </c>
      <c r="V116">
        <v>250</v>
      </c>
    </row>
    <row r="117" spans="1:22">
      <c r="A117">
        <v>5352</v>
      </c>
      <c r="B117" t="s">
        <v>2625</v>
      </c>
      <c r="C117">
        <v>5697</v>
      </c>
      <c r="D117" t="s">
        <v>2344</v>
      </c>
      <c r="E117" t="s">
        <v>2036</v>
      </c>
      <c r="F117">
        <v>202106</v>
      </c>
      <c r="G117" t="s">
        <v>192</v>
      </c>
      <c r="H117">
        <v>0</v>
      </c>
      <c r="O117">
        <v>5352</v>
      </c>
      <c r="P117" t="s">
        <v>2625</v>
      </c>
      <c r="Q117">
        <v>5697</v>
      </c>
      <c r="R117" t="s">
        <v>2344</v>
      </c>
      <c r="S117" t="s">
        <v>2036</v>
      </c>
      <c r="T117">
        <v>202109</v>
      </c>
      <c r="U117" t="s">
        <v>180</v>
      </c>
      <c r="V117">
        <v>250</v>
      </c>
    </row>
    <row r="118" spans="1:22">
      <c r="A118">
        <v>5352</v>
      </c>
      <c r="B118" t="s">
        <v>2625</v>
      </c>
      <c r="C118">
        <v>5697</v>
      </c>
      <c r="D118" t="s">
        <v>2344</v>
      </c>
      <c r="E118" t="s">
        <v>2036</v>
      </c>
      <c r="F118">
        <v>202106</v>
      </c>
      <c r="G118" t="s">
        <v>2170</v>
      </c>
      <c r="H118">
        <v>8107.44</v>
      </c>
      <c r="O118">
        <v>5352</v>
      </c>
      <c r="P118" t="s">
        <v>2625</v>
      </c>
      <c r="Q118">
        <v>5697</v>
      </c>
      <c r="R118" t="s">
        <v>2344</v>
      </c>
      <c r="S118" t="s">
        <v>2036</v>
      </c>
      <c r="T118">
        <v>202109</v>
      </c>
      <c r="U118" t="s">
        <v>182</v>
      </c>
      <c r="V118">
        <v>54891</v>
      </c>
    </row>
    <row r="119" spans="1:22">
      <c r="A119">
        <v>5352</v>
      </c>
      <c r="B119" t="s">
        <v>2625</v>
      </c>
      <c r="C119">
        <v>5697</v>
      </c>
      <c r="D119" t="s">
        <v>2344</v>
      </c>
      <c r="E119" t="s">
        <v>2036</v>
      </c>
      <c r="F119">
        <v>202106</v>
      </c>
      <c r="G119" t="s">
        <v>186</v>
      </c>
      <c r="H119">
        <v>0</v>
      </c>
      <c r="O119">
        <v>5352</v>
      </c>
      <c r="P119" t="s">
        <v>2625</v>
      </c>
      <c r="Q119">
        <v>5697</v>
      </c>
      <c r="R119" t="s">
        <v>2344</v>
      </c>
      <c r="S119" t="s">
        <v>2036</v>
      </c>
      <c r="T119">
        <v>202109</v>
      </c>
      <c r="U119" t="s">
        <v>184</v>
      </c>
      <c r="V119">
        <v>8448</v>
      </c>
    </row>
    <row r="120" spans="1:22">
      <c r="A120">
        <v>5352</v>
      </c>
      <c r="B120" t="s">
        <v>2625</v>
      </c>
      <c r="C120">
        <v>5697</v>
      </c>
      <c r="D120" t="s">
        <v>2344</v>
      </c>
      <c r="E120" t="s">
        <v>2036</v>
      </c>
      <c r="F120">
        <v>202106</v>
      </c>
      <c r="G120" t="s">
        <v>2169</v>
      </c>
      <c r="H120">
        <v>99.17</v>
      </c>
      <c r="O120">
        <v>5352</v>
      </c>
      <c r="P120" t="s">
        <v>2625</v>
      </c>
      <c r="Q120">
        <v>5697</v>
      </c>
      <c r="R120" t="s">
        <v>2344</v>
      </c>
      <c r="S120" t="s">
        <v>2036</v>
      </c>
      <c r="T120">
        <v>202109</v>
      </c>
      <c r="U120" t="s">
        <v>186</v>
      </c>
      <c r="V120">
        <v>0</v>
      </c>
    </row>
    <row r="121" spans="1:22">
      <c r="A121">
        <v>5352</v>
      </c>
      <c r="B121" t="s">
        <v>2625</v>
      </c>
      <c r="C121">
        <v>5697</v>
      </c>
      <c r="D121" t="s">
        <v>2344</v>
      </c>
      <c r="E121" t="s">
        <v>2036</v>
      </c>
      <c r="F121">
        <v>202106</v>
      </c>
      <c r="G121" t="s">
        <v>2166</v>
      </c>
      <c r="H121">
        <v>12.33</v>
      </c>
      <c r="O121">
        <v>5352</v>
      </c>
      <c r="P121" t="s">
        <v>2625</v>
      </c>
      <c r="Q121">
        <v>5697</v>
      </c>
      <c r="R121" t="s">
        <v>2344</v>
      </c>
      <c r="S121" t="s">
        <v>2036</v>
      </c>
      <c r="T121">
        <v>202110</v>
      </c>
      <c r="U121" t="s">
        <v>190</v>
      </c>
      <c r="V121">
        <v>137565</v>
      </c>
    </row>
    <row r="122" spans="1:22">
      <c r="A122">
        <v>5352</v>
      </c>
      <c r="B122" t="s">
        <v>2625</v>
      </c>
      <c r="C122">
        <v>5697</v>
      </c>
      <c r="D122" t="s">
        <v>2344</v>
      </c>
      <c r="E122" t="s">
        <v>2036</v>
      </c>
      <c r="F122">
        <v>202106</v>
      </c>
      <c r="G122" t="s">
        <v>2167</v>
      </c>
      <c r="H122">
        <v>23.94</v>
      </c>
      <c r="O122">
        <v>5352</v>
      </c>
      <c r="P122" t="s">
        <v>2625</v>
      </c>
      <c r="Q122">
        <v>5697</v>
      </c>
      <c r="R122" t="s">
        <v>2344</v>
      </c>
      <c r="S122" t="s">
        <v>2036</v>
      </c>
      <c r="T122">
        <v>202110</v>
      </c>
      <c r="U122" t="s">
        <v>191</v>
      </c>
      <c r="V122">
        <v>21138</v>
      </c>
    </row>
    <row r="123" spans="1:22">
      <c r="A123">
        <v>5352</v>
      </c>
      <c r="B123" t="s">
        <v>2625</v>
      </c>
      <c r="C123">
        <v>5697</v>
      </c>
      <c r="D123" t="s">
        <v>2344</v>
      </c>
      <c r="E123" t="s">
        <v>2036</v>
      </c>
      <c r="F123">
        <v>202106</v>
      </c>
      <c r="G123" t="s">
        <v>2168</v>
      </c>
      <c r="H123">
        <v>10.17</v>
      </c>
      <c r="O123">
        <v>5352</v>
      </c>
      <c r="P123" t="s">
        <v>2625</v>
      </c>
      <c r="Q123">
        <v>5697</v>
      </c>
      <c r="R123" t="s">
        <v>2344</v>
      </c>
      <c r="S123" t="s">
        <v>2036</v>
      </c>
      <c r="T123">
        <v>202110</v>
      </c>
      <c r="U123" t="s">
        <v>178</v>
      </c>
      <c r="V123">
        <v>470</v>
      </c>
    </row>
    <row r="124" spans="1:22">
      <c r="A124">
        <v>5352</v>
      </c>
      <c r="B124" t="s">
        <v>2625</v>
      </c>
      <c r="C124">
        <v>5697</v>
      </c>
      <c r="D124" t="s">
        <v>2344</v>
      </c>
      <c r="E124" t="s">
        <v>2036</v>
      </c>
      <c r="F124">
        <v>202106</v>
      </c>
      <c r="G124" t="s">
        <v>2171</v>
      </c>
      <c r="H124">
        <v>126299.83</v>
      </c>
      <c r="O124">
        <v>5352</v>
      </c>
      <c r="P124" t="s">
        <v>2625</v>
      </c>
      <c r="Q124">
        <v>5697</v>
      </c>
      <c r="R124" t="s">
        <v>2344</v>
      </c>
      <c r="S124" t="s">
        <v>2036</v>
      </c>
      <c r="T124">
        <v>202110</v>
      </c>
      <c r="U124" t="s">
        <v>180</v>
      </c>
      <c r="V124">
        <v>530</v>
      </c>
    </row>
    <row r="125" spans="1:22">
      <c r="A125">
        <v>5352</v>
      </c>
      <c r="B125" t="s">
        <v>2625</v>
      </c>
      <c r="C125">
        <v>5697</v>
      </c>
      <c r="D125" t="s">
        <v>2344</v>
      </c>
      <c r="E125" t="s">
        <v>2036</v>
      </c>
      <c r="F125">
        <v>202106</v>
      </c>
      <c r="G125" t="s">
        <v>190</v>
      </c>
      <c r="H125">
        <v>761035</v>
      </c>
      <c r="O125">
        <v>5352</v>
      </c>
      <c r="P125" t="s">
        <v>2625</v>
      </c>
      <c r="Q125">
        <v>5697</v>
      </c>
      <c r="R125" t="s">
        <v>2344</v>
      </c>
      <c r="S125" t="s">
        <v>2036</v>
      </c>
      <c r="T125">
        <v>202110</v>
      </c>
      <c r="U125" t="s">
        <v>182</v>
      </c>
      <c r="V125">
        <v>137565</v>
      </c>
    </row>
    <row r="126" spans="1:22">
      <c r="A126">
        <v>5352</v>
      </c>
      <c r="B126" t="s">
        <v>2625</v>
      </c>
      <c r="C126">
        <v>5697</v>
      </c>
      <c r="D126" t="s">
        <v>2344</v>
      </c>
      <c r="E126" t="s">
        <v>2036</v>
      </c>
      <c r="F126">
        <v>202106</v>
      </c>
      <c r="G126" t="s">
        <v>191</v>
      </c>
      <c r="H126">
        <v>121005</v>
      </c>
      <c r="O126">
        <v>5352</v>
      </c>
      <c r="P126" t="s">
        <v>2625</v>
      </c>
      <c r="Q126">
        <v>5697</v>
      </c>
      <c r="R126" t="s">
        <v>2344</v>
      </c>
      <c r="S126" t="s">
        <v>2036</v>
      </c>
      <c r="T126">
        <v>202110</v>
      </c>
      <c r="U126" t="s">
        <v>184</v>
      </c>
      <c r="V126">
        <v>21138</v>
      </c>
    </row>
    <row r="127" spans="1:22">
      <c r="A127">
        <v>5352</v>
      </c>
      <c r="B127" t="s">
        <v>2625</v>
      </c>
      <c r="C127">
        <v>5697</v>
      </c>
      <c r="D127" t="s">
        <v>2344</v>
      </c>
      <c r="E127" t="s">
        <v>2036</v>
      </c>
      <c r="F127">
        <v>202106</v>
      </c>
      <c r="G127" t="s">
        <v>176</v>
      </c>
      <c r="H127">
        <v>-38944.22</v>
      </c>
      <c r="O127">
        <v>5352</v>
      </c>
      <c r="P127" t="s">
        <v>2625</v>
      </c>
      <c r="Q127">
        <v>5697</v>
      </c>
      <c r="R127" t="s">
        <v>2344</v>
      </c>
      <c r="S127" t="s">
        <v>2036</v>
      </c>
      <c r="T127">
        <v>202110</v>
      </c>
      <c r="U127" t="s">
        <v>190</v>
      </c>
      <c r="V127">
        <v>325533</v>
      </c>
    </row>
    <row r="128" spans="1:22">
      <c r="A128">
        <v>5352</v>
      </c>
      <c r="B128" t="s">
        <v>2625</v>
      </c>
      <c r="C128">
        <v>5697</v>
      </c>
      <c r="D128" t="s">
        <v>2344</v>
      </c>
      <c r="E128" t="s">
        <v>2036</v>
      </c>
      <c r="F128">
        <v>202106</v>
      </c>
      <c r="G128" t="s">
        <v>178</v>
      </c>
      <c r="H128">
        <v>2400</v>
      </c>
      <c r="O128">
        <v>5352</v>
      </c>
      <c r="P128" t="s">
        <v>2625</v>
      </c>
      <c r="Q128">
        <v>5697</v>
      </c>
      <c r="R128" t="s">
        <v>2344</v>
      </c>
      <c r="S128" t="s">
        <v>2036</v>
      </c>
      <c r="T128">
        <v>202110</v>
      </c>
      <c r="U128" t="s">
        <v>191</v>
      </c>
      <c r="V128">
        <v>47418</v>
      </c>
    </row>
    <row r="129" spans="1:22">
      <c r="A129">
        <v>5352</v>
      </c>
      <c r="B129" t="s">
        <v>2625</v>
      </c>
      <c r="C129">
        <v>5697</v>
      </c>
      <c r="D129" t="s">
        <v>2344</v>
      </c>
      <c r="E129" t="s">
        <v>2036</v>
      </c>
      <c r="F129">
        <v>202106</v>
      </c>
      <c r="G129" t="s">
        <v>180</v>
      </c>
      <c r="H129">
        <v>2400</v>
      </c>
      <c r="O129">
        <v>5352</v>
      </c>
      <c r="P129" t="s">
        <v>2625</v>
      </c>
      <c r="Q129">
        <v>5697</v>
      </c>
      <c r="R129" t="s">
        <v>2344</v>
      </c>
      <c r="S129" t="s">
        <v>2036</v>
      </c>
      <c r="T129">
        <v>202110</v>
      </c>
      <c r="U129" t="s">
        <v>178</v>
      </c>
      <c r="V129">
        <v>890</v>
      </c>
    </row>
    <row r="130" spans="1:22">
      <c r="A130">
        <v>5352</v>
      </c>
      <c r="B130" t="s">
        <v>2625</v>
      </c>
      <c r="C130">
        <v>5697</v>
      </c>
      <c r="D130" t="s">
        <v>2344</v>
      </c>
      <c r="E130" t="s">
        <v>2036</v>
      </c>
      <c r="F130">
        <v>202106</v>
      </c>
      <c r="G130" t="s">
        <v>182</v>
      </c>
      <c r="H130">
        <v>842703</v>
      </c>
      <c r="O130">
        <v>5352</v>
      </c>
      <c r="P130" t="s">
        <v>2625</v>
      </c>
      <c r="Q130">
        <v>5697</v>
      </c>
      <c r="R130" t="s">
        <v>2344</v>
      </c>
      <c r="S130" t="s">
        <v>2036</v>
      </c>
      <c r="T130">
        <v>202110</v>
      </c>
      <c r="U130" t="s">
        <v>180</v>
      </c>
      <c r="V130">
        <v>890</v>
      </c>
    </row>
    <row r="131" spans="1:22">
      <c r="A131">
        <v>5352</v>
      </c>
      <c r="B131" t="s">
        <v>2625</v>
      </c>
      <c r="C131">
        <v>5697</v>
      </c>
      <c r="D131" t="s">
        <v>2344</v>
      </c>
      <c r="E131" t="s">
        <v>2036</v>
      </c>
      <c r="F131">
        <v>202106</v>
      </c>
      <c r="G131" t="s">
        <v>184</v>
      </c>
      <c r="H131">
        <v>121005</v>
      </c>
      <c r="O131">
        <v>5352</v>
      </c>
      <c r="P131" t="s">
        <v>2625</v>
      </c>
      <c r="Q131">
        <v>5697</v>
      </c>
      <c r="R131" t="s">
        <v>2344</v>
      </c>
      <c r="S131" t="s">
        <v>2036</v>
      </c>
      <c r="T131">
        <v>202110</v>
      </c>
      <c r="U131" t="s">
        <v>182</v>
      </c>
      <c r="V131">
        <v>325533</v>
      </c>
    </row>
    <row r="132" spans="1:22">
      <c r="A132">
        <v>5352</v>
      </c>
      <c r="B132" t="s">
        <v>2625</v>
      </c>
      <c r="C132">
        <v>5697</v>
      </c>
      <c r="D132" t="s">
        <v>2344</v>
      </c>
      <c r="E132" t="s">
        <v>2036</v>
      </c>
      <c r="F132">
        <v>202106</v>
      </c>
      <c r="G132" t="s">
        <v>192</v>
      </c>
      <c r="H132">
        <v>0</v>
      </c>
      <c r="O132">
        <v>5352</v>
      </c>
      <c r="P132" t="s">
        <v>2625</v>
      </c>
      <c r="Q132">
        <v>5697</v>
      </c>
      <c r="R132" t="s">
        <v>2344</v>
      </c>
      <c r="S132" t="s">
        <v>2036</v>
      </c>
      <c r="T132">
        <v>202110</v>
      </c>
      <c r="U132" t="s">
        <v>184</v>
      </c>
      <c r="V132">
        <v>47418</v>
      </c>
    </row>
    <row r="133" spans="1:22">
      <c r="A133">
        <v>5352</v>
      </c>
      <c r="B133" t="s">
        <v>2625</v>
      </c>
      <c r="C133">
        <v>5697</v>
      </c>
      <c r="D133" t="s">
        <v>2344</v>
      </c>
      <c r="E133" t="s">
        <v>2036</v>
      </c>
      <c r="F133">
        <v>202106</v>
      </c>
      <c r="G133" t="s">
        <v>2170</v>
      </c>
      <c r="H133">
        <v>12204.2</v>
      </c>
      <c r="O133">
        <v>5352</v>
      </c>
      <c r="P133" t="s">
        <v>2625</v>
      </c>
      <c r="Q133">
        <v>5697</v>
      </c>
      <c r="R133" t="s">
        <v>2344</v>
      </c>
      <c r="S133" t="s">
        <v>2036</v>
      </c>
      <c r="T133">
        <v>202110</v>
      </c>
      <c r="U133" t="s">
        <v>186</v>
      </c>
      <c r="V133">
        <v>0</v>
      </c>
    </row>
    <row r="134" spans="1:22">
      <c r="A134">
        <v>5352</v>
      </c>
      <c r="B134" t="s">
        <v>2625</v>
      </c>
      <c r="C134">
        <v>5697</v>
      </c>
      <c r="D134" t="s">
        <v>2344</v>
      </c>
      <c r="E134" t="s">
        <v>2036</v>
      </c>
      <c r="F134">
        <v>202106</v>
      </c>
      <c r="G134" t="s">
        <v>186</v>
      </c>
      <c r="H134">
        <v>81668</v>
      </c>
      <c r="O134">
        <v>5352</v>
      </c>
      <c r="P134" t="s">
        <v>2625</v>
      </c>
      <c r="Q134">
        <v>5697</v>
      </c>
      <c r="R134" t="s">
        <v>2344</v>
      </c>
      <c r="S134" t="s">
        <v>2036</v>
      </c>
      <c r="T134">
        <v>202110</v>
      </c>
      <c r="U134" t="s">
        <v>190</v>
      </c>
      <c r="V134">
        <v>623401</v>
      </c>
    </row>
    <row r="135" spans="1:22">
      <c r="A135">
        <v>5352</v>
      </c>
      <c r="B135" t="s">
        <v>2625</v>
      </c>
      <c r="C135">
        <v>5697</v>
      </c>
      <c r="D135" t="s">
        <v>2344</v>
      </c>
      <c r="E135" t="s">
        <v>2036</v>
      </c>
      <c r="F135">
        <v>202106</v>
      </c>
      <c r="G135" t="s">
        <v>2169</v>
      </c>
      <c r="H135">
        <v>99.17</v>
      </c>
      <c r="O135">
        <v>5352</v>
      </c>
      <c r="P135" t="s">
        <v>2625</v>
      </c>
      <c r="Q135">
        <v>5697</v>
      </c>
      <c r="R135" t="s">
        <v>2344</v>
      </c>
      <c r="S135" t="s">
        <v>2036</v>
      </c>
      <c r="T135">
        <v>202110</v>
      </c>
      <c r="U135" t="s">
        <v>191</v>
      </c>
      <c r="V135">
        <v>46691</v>
      </c>
    </row>
    <row r="136" spans="1:22">
      <c r="A136">
        <v>5352</v>
      </c>
      <c r="B136" t="s">
        <v>2625</v>
      </c>
      <c r="C136">
        <v>5697</v>
      </c>
      <c r="D136" t="s">
        <v>2344</v>
      </c>
      <c r="E136" t="s">
        <v>2036</v>
      </c>
      <c r="F136">
        <v>202106</v>
      </c>
      <c r="G136" t="s">
        <v>2166</v>
      </c>
      <c r="H136">
        <v>12.33</v>
      </c>
      <c r="O136">
        <v>5352</v>
      </c>
      <c r="P136" t="s">
        <v>2625</v>
      </c>
      <c r="Q136">
        <v>5697</v>
      </c>
      <c r="R136" t="s">
        <v>2344</v>
      </c>
      <c r="S136" t="s">
        <v>2036</v>
      </c>
      <c r="T136">
        <v>202110</v>
      </c>
      <c r="U136" t="s">
        <v>178</v>
      </c>
      <c r="V136">
        <v>1360</v>
      </c>
    </row>
    <row r="137" spans="1:22">
      <c r="A137">
        <v>5352</v>
      </c>
      <c r="B137" t="s">
        <v>2625</v>
      </c>
      <c r="C137">
        <v>5697</v>
      </c>
      <c r="D137" t="s">
        <v>2344</v>
      </c>
      <c r="E137" t="s">
        <v>2036</v>
      </c>
      <c r="F137">
        <v>202106</v>
      </c>
      <c r="G137" t="s">
        <v>2167</v>
      </c>
      <c r="H137">
        <v>23.94</v>
      </c>
      <c r="O137">
        <v>5352</v>
      </c>
      <c r="P137" t="s">
        <v>2625</v>
      </c>
      <c r="Q137">
        <v>5697</v>
      </c>
      <c r="R137" t="s">
        <v>2344</v>
      </c>
      <c r="S137" t="s">
        <v>2036</v>
      </c>
      <c r="T137">
        <v>202110</v>
      </c>
      <c r="U137" t="s">
        <v>180</v>
      </c>
      <c r="V137">
        <v>1250</v>
      </c>
    </row>
    <row r="138" spans="1:22">
      <c r="A138">
        <v>5352</v>
      </c>
      <c r="B138" t="s">
        <v>2625</v>
      </c>
      <c r="C138">
        <v>5697</v>
      </c>
      <c r="D138" t="s">
        <v>2344</v>
      </c>
      <c r="E138" t="s">
        <v>2036</v>
      </c>
      <c r="F138">
        <v>202106</v>
      </c>
      <c r="G138" t="s">
        <v>2168</v>
      </c>
      <c r="H138">
        <v>10.17</v>
      </c>
      <c r="O138">
        <v>5352</v>
      </c>
      <c r="P138" t="s">
        <v>2625</v>
      </c>
      <c r="Q138">
        <v>5697</v>
      </c>
      <c r="R138" t="s">
        <v>2344</v>
      </c>
      <c r="S138" t="s">
        <v>2036</v>
      </c>
      <c r="T138">
        <v>202110</v>
      </c>
      <c r="U138" t="s">
        <v>182</v>
      </c>
      <c r="V138">
        <v>623401</v>
      </c>
    </row>
    <row r="139" spans="1:22">
      <c r="A139">
        <v>5352</v>
      </c>
      <c r="B139" t="s">
        <v>2625</v>
      </c>
      <c r="C139">
        <v>5697</v>
      </c>
      <c r="D139" t="s">
        <v>2344</v>
      </c>
      <c r="E139" t="s">
        <v>2036</v>
      </c>
      <c r="F139">
        <v>202106</v>
      </c>
      <c r="G139" t="s">
        <v>2171</v>
      </c>
      <c r="H139">
        <v>157580.78</v>
      </c>
      <c r="O139">
        <v>5352</v>
      </c>
      <c r="P139" t="s">
        <v>2625</v>
      </c>
      <c r="Q139">
        <v>5697</v>
      </c>
      <c r="R139" t="s">
        <v>2344</v>
      </c>
      <c r="S139" t="s">
        <v>2036</v>
      </c>
      <c r="T139">
        <v>202110</v>
      </c>
      <c r="U139" t="s">
        <v>184</v>
      </c>
      <c r="V139">
        <v>46691</v>
      </c>
    </row>
    <row r="140" spans="1:22">
      <c r="A140">
        <v>5352</v>
      </c>
      <c r="B140" t="s">
        <v>2625</v>
      </c>
      <c r="C140">
        <v>5697</v>
      </c>
      <c r="D140" t="s">
        <v>2344</v>
      </c>
      <c r="E140" t="s">
        <v>2036</v>
      </c>
      <c r="F140">
        <v>202106</v>
      </c>
      <c r="G140" t="s">
        <v>190</v>
      </c>
      <c r="H140">
        <v>480650</v>
      </c>
      <c r="O140">
        <v>5352</v>
      </c>
      <c r="P140" t="s">
        <v>2625</v>
      </c>
      <c r="Q140">
        <v>5697</v>
      </c>
      <c r="R140" t="s">
        <v>2344</v>
      </c>
      <c r="S140" t="s">
        <v>2036</v>
      </c>
      <c r="T140">
        <v>202110</v>
      </c>
      <c r="U140" t="s">
        <v>186</v>
      </c>
      <c r="V140">
        <v>0</v>
      </c>
    </row>
    <row r="141" spans="1:22">
      <c r="A141">
        <v>5352</v>
      </c>
      <c r="B141" t="s">
        <v>2625</v>
      </c>
      <c r="C141">
        <v>5697</v>
      </c>
      <c r="D141" t="s">
        <v>2344</v>
      </c>
      <c r="E141" t="s">
        <v>2036</v>
      </c>
      <c r="F141">
        <v>202106</v>
      </c>
      <c r="G141" t="s">
        <v>191</v>
      </c>
      <c r="H141">
        <v>67688</v>
      </c>
      <c r="O141">
        <v>5352</v>
      </c>
      <c r="P141" t="s">
        <v>2625</v>
      </c>
      <c r="Q141">
        <v>5697</v>
      </c>
      <c r="R141" t="s">
        <v>2344</v>
      </c>
      <c r="S141" t="s">
        <v>2036</v>
      </c>
      <c r="T141">
        <v>202110</v>
      </c>
      <c r="U141" t="s">
        <v>190</v>
      </c>
      <c r="V141">
        <v>757733</v>
      </c>
    </row>
    <row r="142" spans="1:22">
      <c r="A142">
        <v>5352</v>
      </c>
      <c r="B142" t="s">
        <v>2625</v>
      </c>
      <c r="C142">
        <v>5697</v>
      </c>
      <c r="D142" t="s">
        <v>2344</v>
      </c>
      <c r="E142" t="s">
        <v>2036</v>
      </c>
      <c r="F142">
        <v>202106</v>
      </c>
      <c r="G142" t="s">
        <v>176</v>
      </c>
      <c r="H142">
        <v>0</v>
      </c>
      <c r="O142">
        <v>5352</v>
      </c>
      <c r="P142" t="s">
        <v>2625</v>
      </c>
      <c r="Q142">
        <v>5697</v>
      </c>
      <c r="R142" t="s">
        <v>2344</v>
      </c>
      <c r="S142" t="s">
        <v>2036</v>
      </c>
      <c r="T142">
        <v>202110</v>
      </c>
      <c r="U142" t="s">
        <v>191</v>
      </c>
      <c r="V142">
        <v>125715</v>
      </c>
    </row>
    <row r="143" spans="1:22">
      <c r="A143">
        <v>5352</v>
      </c>
      <c r="B143" t="s">
        <v>2625</v>
      </c>
      <c r="C143">
        <v>5697</v>
      </c>
      <c r="D143" t="s">
        <v>2344</v>
      </c>
      <c r="E143" t="s">
        <v>2036</v>
      </c>
      <c r="F143">
        <v>202106</v>
      </c>
      <c r="G143" t="s">
        <v>178</v>
      </c>
      <c r="H143">
        <v>1351</v>
      </c>
      <c r="O143">
        <v>5352</v>
      </c>
      <c r="P143" t="s">
        <v>2625</v>
      </c>
      <c r="Q143">
        <v>5697</v>
      </c>
      <c r="R143" t="s">
        <v>2344</v>
      </c>
      <c r="S143" t="s">
        <v>2036</v>
      </c>
      <c r="T143">
        <v>202110</v>
      </c>
      <c r="U143" t="s">
        <v>178</v>
      </c>
      <c r="V143">
        <v>2400</v>
      </c>
    </row>
    <row r="144" spans="1:22">
      <c r="A144">
        <v>5352</v>
      </c>
      <c r="B144" t="s">
        <v>2625</v>
      </c>
      <c r="C144">
        <v>5697</v>
      </c>
      <c r="D144" t="s">
        <v>2344</v>
      </c>
      <c r="E144" t="s">
        <v>2036</v>
      </c>
      <c r="F144">
        <v>202106</v>
      </c>
      <c r="G144" t="s">
        <v>180</v>
      </c>
      <c r="H144">
        <v>1270</v>
      </c>
      <c r="O144">
        <v>5352</v>
      </c>
      <c r="P144" t="s">
        <v>2625</v>
      </c>
      <c r="Q144">
        <v>5697</v>
      </c>
      <c r="R144" t="s">
        <v>2344</v>
      </c>
      <c r="S144" t="s">
        <v>2036</v>
      </c>
      <c r="T144">
        <v>202110</v>
      </c>
      <c r="U144" t="s">
        <v>180</v>
      </c>
      <c r="V144">
        <v>2400</v>
      </c>
    </row>
    <row r="145" spans="1:22">
      <c r="A145">
        <v>5352</v>
      </c>
      <c r="B145" t="s">
        <v>2625</v>
      </c>
      <c r="C145">
        <v>5697</v>
      </c>
      <c r="D145" t="s">
        <v>2344</v>
      </c>
      <c r="E145" t="s">
        <v>2036</v>
      </c>
      <c r="F145">
        <v>202106</v>
      </c>
      <c r="G145" t="s">
        <v>182</v>
      </c>
      <c r="H145">
        <v>480650</v>
      </c>
      <c r="O145">
        <v>5352</v>
      </c>
      <c r="P145" t="s">
        <v>2625</v>
      </c>
      <c r="Q145">
        <v>5697</v>
      </c>
      <c r="R145" t="s">
        <v>2344</v>
      </c>
      <c r="S145" t="s">
        <v>2036</v>
      </c>
      <c r="T145">
        <v>202110</v>
      </c>
      <c r="U145" t="s">
        <v>182</v>
      </c>
      <c r="V145">
        <v>842857</v>
      </c>
    </row>
    <row r="146" spans="1:22">
      <c r="A146">
        <v>5352</v>
      </c>
      <c r="B146" t="s">
        <v>2625</v>
      </c>
      <c r="C146">
        <v>5697</v>
      </c>
      <c r="D146" t="s">
        <v>2344</v>
      </c>
      <c r="E146" t="s">
        <v>2036</v>
      </c>
      <c r="F146">
        <v>202106</v>
      </c>
      <c r="G146" t="s">
        <v>184</v>
      </c>
      <c r="H146">
        <v>67688</v>
      </c>
      <c r="O146">
        <v>5352</v>
      </c>
      <c r="P146" t="s">
        <v>2625</v>
      </c>
      <c r="Q146">
        <v>5697</v>
      </c>
      <c r="R146" t="s">
        <v>2344</v>
      </c>
      <c r="S146" t="s">
        <v>2036</v>
      </c>
      <c r="T146">
        <v>202110</v>
      </c>
      <c r="U146" t="s">
        <v>184</v>
      </c>
      <c r="V146">
        <v>125715</v>
      </c>
    </row>
    <row r="147" spans="1:22">
      <c r="A147">
        <v>5352</v>
      </c>
      <c r="B147" t="s">
        <v>2625</v>
      </c>
      <c r="C147">
        <v>5697</v>
      </c>
      <c r="D147" t="s">
        <v>2344</v>
      </c>
      <c r="E147" t="s">
        <v>2036</v>
      </c>
      <c r="F147">
        <v>202106</v>
      </c>
      <c r="G147" t="s">
        <v>192</v>
      </c>
      <c r="H147">
        <v>0</v>
      </c>
      <c r="O147">
        <v>5352</v>
      </c>
      <c r="P147" t="s">
        <v>2625</v>
      </c>
      <c r="Q147">
        <v>5697</v>
      </c>
      <c r="R147" t="s">
        <v>2344</v>
      </c>
      <c r="S147" t="s">
        <v>2036</v>
      </c>
      <c r="T147">
        <v>202110</v>
      </c>
      <c r="U147" t="s">
        <v>186</v>
      </c>
      <c r="V147">
        <v>85124</v>
      </c>
    </row>
    <row r="148" spans="1:22">
      <c r="A148">
        <v>5352</v>
      </c>
      <c r="B148" t="s">
        <v>2625</v>
      </c>
      <c r="C148">
        <v>5697</v>
      </c>
      <c r="D148" t="s">
        <v>2344</v>
      </c>
      <c r="E148" t="s">
        <v>2036</v>
      </c>
      <c r="F148">
        <v>202106</v>
      </c>
      <c r="G148" t="s">
        <v>2170</v>
      </c>
      <c r="H148">
        <v>7331.75</v>
      </c>
      <c r="O148">
        <v>5352</v>
      </c>
      <c r="P148" t="s">
        <v>2625</v>
      </c>
      <c r="Q148">
        <v>5697</v>
      </c>
      <c r="R148" t="s">
        <v>2344</v>
      </c>
      <c r="S148" t="s">
        <v>2036</v>
      </c>
      <c r="T148">
        <v>202110</v>
      </c>
      <c r="U148" t="s">
        <v>190</v>
      </c>
      <c r="V148">
        <v>486955</v>
      </c>
    </row>
    <row r="149" spans="1:22">
      <c r="A149">
        <v>5352</v>
      </c>
      <c r="B149" t="s">
        <v>2625</v>
      </c>
      <c r="C149">
        <v>5697</v>
      </c>
      <c r="D149" t="s">
        <v>2344</v>
      </c>
      <c r="E149" t="s">
        <v>2036</v>
      </c>
      <c r="F149">
        <v>202106</v>
      </c>
      <c r="G149" t="s">
        <v>186</v>
      </c>
      <c r="H149">
        <v>0</v>
      </c>
      <c r="O149">
        <v>5352</v>
      </c>
      <c r="P149" t="s">
        <v>2625</v>
      </c>
      <c r="Q149">
        <v>5697</v>
      </c>
      <c r="R149" t="s">
        <v>2344</v>
      </c>
      <c r="S149" t="s">
        <v>2036</v>
      </c>
      <c r="T149">
        <v>202110</v>
      </c>
      <c r="U149" t="s">
        <v>191</v>
      </c>
      <c r="V149">
        <v>70427</v>
      </c>
    </row>
    <row r="150" spans="1:22">
      <c r="A150">
        <v>5352</v>
      </c>
      <c r="B150" t="s">
        <v>2625</v>
      </c>
      <c r="C150">
        <v>5697</v>
      </c>
      <c r="D150" t="s">
        <v>2344</v>
      </c>
      <c r="E150" t="s">
        <v>2036</v>
      </c>
      <c r="F150">
        <v>202106</v>
      </c>
      <c r="G150" t="s">
        <v>2169</v>
      </c>
      <c r="H150">
        <v>99.17</v>
      </c>
      <c r="O150">
        <v>5352</v>
      </c>
      <c r="P150" t="s">
        <v>2625</v>
      </c>
      <c r="Q150">
        <v>5697</v>
      </c>
      <c r="R150" t="s">
        <v>2344</v>
      </c>
      <c r="S150" t="s">
        <v>2036</v>
      </c>
      <c r="T150">
        <v>202110</v>
      </c>
      <c r="U150" t="s">
        <v>178</v>
      </c>
      <c r="V150">
        <v>1284</v>
      </c>
    </row>
    <row r="151" spans="1:22">
      <c r="A151">
        <v>5352</v>
      </c>
      <c r="B151" t="s">
        <v>2625</v>
      </c>
      <c r="C151">
        <v>5697</v>
      </c>
      <c r="D151" t="s">
        <v>2344</v>
      </c>
      <c r="E151" t="s">
        <v>2036</v>
      </c>
      <c r="F151">
        <v>202106</v>
      </c>
      <c r="G151" t="s">
        <v>2166</v>
      </c>
      <c r="H151">
        <v>12.33</v>
      </c>
      <c r="O151">
        <v>5352</v>
      </c>
      <c r="P151" t="s">
        <v>2625</v>
      </c>
      <c r="Q151">
        <v>5697</v>
      </c>
      <c r="R151" t="s">
        <v>2344</v>
      </c>
      <c r="S151" t="s">
        <v>2036</v>
      </c>
      <c r="T151">
        <v>202110</v>
      </c>
      <c r="U151" t="s">
        <v>180</v>
      </c>
      <c r="V151">
        <v>1332</v>
      </c>
    </row>
    <row r="152" spans="1:22">
      <c r="A152">
        <v>5352</v>
      </c>
      <c r="B152" t="s">
        <v>2625</v>
      </c>
      <c r="C152">
        <v>5697</v>
      </c>
      <c r="D152" t="s">
        <v>2344</v>
      </c>
      <c r="E152" t="s">
        <v>2036</v>
      </c>
      <c r="F152">
        <v>202106</v>
      </c>
      <c r="G152" t="s">
        <v>2167</v>
      </c>
      <c r="H152">
        <v>23.94</v>
      </c>
      <c r="O152">
        <v>5352</v>
      </c>
      <c r="P152" t="s">
        <v>2625</v>
      </c>
      <c r="Q152">
        <v>5697</v>
      </c>
      <c r="R152" t="s">
        <v>2344</v>
      </c>
      <c r="S152" t="s">
        <v>2036</v>
      </c>
      <c r="T152">
        <v>202110</v>
      </c>
      <c r="U152" t="s">
        <v>182</v>
      </c>
      <c r="V152">
        <v>486955</v>
      </c>
    </row>
    <row r="153" spans="1:22">
      <c r="A153">
        <v>5352</v>
      </c>
      <c r="B153" t="s">
        <v>2625</v>
      </c>
      <c r="C153">
        <v>5697</v>
      </c>
      <c r="D153" t="s">
        <v>2344</v>
      </c>
      <c r="E153" t="s">
        <v>2036</v>
      </c>
      <c r="F153">
        <v>202106</v>
      </c>
      <c r="G153" t="s">
        <v>2168</v>
      </c>
      <c r="H153">
        <v>10.17</v>
      </c>
      <c r="O153">
        <v>5352</v>
      </c>
      <c r="P153" t="s">
        <v>2625</v>
      </c>
      <c r="Q153">
        <v>5697</v>
      </c>
      <c r="R153" t="s">
        <v>2344</v>
      </c>
      <c r="S153" t="s">
        <v>2036</v>
      </c>
      <c r="T153">
        <v>202110</v>
      </c>
      <c r="U153" t="s">
        <v>184</v>
      </c>
      <c r="V153">
        <v>70427</v>
      </c>
    </row>
    <row r="154" spans="1:22">
      <c r="A154">
        <v>5352</v>
      </c>
      <c r="B154" t="s">
        <v>2625</v>
      </c>
      <c r="C154">
        <v>5697</v>
      </c>
      <c r="D154" t="s">
        <v>2344</v>
      </c>
      <c r="E154" t="s">
        <v>2036</v>
      </c>
      <c r="F154">
        <v>202106</v>
      </c>
      <c r="G154" t="s">
        <v>2171</v>
      </c>
      <c r="H154">
        <v>118063.84</v>
      </c>
      <c r="O154">
        <v>5352</v>
      </c>
      <c r="P154" t="s">
        <v>2625</v>
      </c>
      <c r="Q154">
        <v>5697</v>
      </c>
      <c r="R154" t="s">
        <v>2344</v>
      </c>
      <c r="S154" t="s">
        <v>2036</v>
      </c>
      <c r="T154">
        <v>202110</v>
      </c>
      <c r="U154" t="s">
        <v>186</v>
      </c>
      <c r="V154">
        <v>0</v>
      </c>
    </row>
    <row r="155" spans="1:22">
      <c r="A155">
        <v>5352</v>
      </c>
      <c r="B155" t="s">
        <v>2625</v>
      </c>
      <c r="C155">
        <v>5697</v>
      </c>
      <c r="D155" t="s">
        <v>2344</v>
      </c>
      <c r="E155" t="s">
        <v>2036</v>
      </c>
      <c r="F155">
        <v>202106</v>
      </c>
      <c r="G155" t="s">
        <v>190</v>
      </c>
      <c r="H155">
        <v>104535</v>
      </c>
      <c r="O155">
        <v>5352</v>
      </c>
      <c r="P155" t="s">
        <v>2625</v>
      </c>
      <c r="Q155">
        <v>5697</v>
      </c>
      <c r="R155" t="s">
        <v>2344</v>
      </c>
      <c r="S155" t="s">
        <v>2036</v>
      </c>
      <c r="T155">
        <v>202110</v>
      </c>
      <c r="U155" t="s">
        <v>190</v>
      </c>
      <c r="V155">
        <v>85061</v>
      </c>
    </row>
    <row r="156" spans="1:22">
      <c r="A156">
        <v>5352</v>
      </c>
      <c r="B156" t="s">
        <v>2625</v>
      </c>
      <c r="C156">
        <v>5697</v>
      </c>
      <c r="D156" t="s">
        <v>2344</v>
      </c>
      <c r="E156" t="s">
        <v>2036</v>
      </c>
      <c r="F156">
        <v>202106</v>
      </c>
      <c r="G156" t="s">
        <v>191</v>
      </c>
      <c r="H156">
        <v>14646</v>
      </c>
      <c r="O156">
        <v>5352</v>
      </c>
      <c r="P156" t="s">
        <v>2625</v>
      </c>
      <c r="Q156">
        <v>5697</v>
      </c>
      <c r="R156" t="s">
        <v>2344</v>
      </c>
      <c r="S156" t="s">
        <v>2036</v>
      </c>
      <c r="T156">
        <v>202110</v>
      </c>
      <c r="U156" t="s">
        <v>191</v>
      </c>
      <c r="V156">
        <v>13460</v>
      </c>
    </row>
    <row r="157" spans="1:22">
      <c r="A157">
        <v>5352</v>
      </c>
      <c r="B157" t="s">
        <v>2625</v>
      </c>
      <c r="C157">
        <v>5697</v>
      </c>
      <c r="D157" t="s">
        <v>2344</v>
      </c>
      <c r="E157" t="s">
        <v>2036</v>
      </c>
      <c r="F157">
        <v>202106</v>
      </c>
      <c r="G157" t="s">
        <v>176</v>
      </c>
      <c r="H157">
        <v>-473.03</v>
      </c>
      <c r="O157">
        <v>5352</v>
      </c>
      <c r="P157" t="s">
        <v>2625</v>
      </c>
      <c r="Q157">
        <v>5697</v>
      </c>
      <c r="R157" t="s">
        <v>2344</v>
      </c>
      <c r="S157" t="s">
        <v>2036</v>
      </c>
      <c r="T157">
        <v>202110</v>
      </c>
      <c r="U157" t="s">
        <v>178</v>
      </c>
      <c r="V157">
        <v>350</v>
      </c>
    </row>
    <row r="158" spans="1:22">
      <c r="A158">
        <v>5352</v>
      </c>
      <c r="B158" t="s">
        <v>2625</v>
      </c>
      <c r="C158">
        <v>5697</v>
      </c>
      <c r="D158" t="s">
        <v>2344</v>
      </c>
      <c r="E158" t="s">
        <v>2036</v>
      </c>
      <c r="F158">
        <v>202106</v>
      </c>
      <c r="G158" t="s">
        <v>178</v>
      </c>
      <c r="H158">
        <v>350</v>
      </c>
      <c r="O158">
        <v>5352</v>
      </c>
      <c r="P158" t="s">
        <v>2625</v>
      </c>
      <c r="Q158">
        <v>5697</v>
      </c>
      <c r="R158" t="s">
        <v>2344</v>
      </c>
      <c r="S158" t="s">
        <v>2036</v>
      </c>
      <c r="T158">
        <v>202110</v>
      </c>
      <c r="U158" t="s">
        <v>180</v>
      </c>
      <c r="V158">
        <v>350</v>
      </c>
    </row>
    <row r="159" spans="1:22">
      <c r="A159">
        <v>5352</v>
      </c>
      <c r="B159" t="s">
        <v>2625</v>
      </c>
      <c r="C159">
        <v>5697</v>
      </c>
      <c r="D159" t="s">
        <v>2344</v>
      </c>
      <c r="E159" t="s">
        <v>2036</v>
      </c>
      <c r="F159">
        <v>202106</v>
      </c>
      <c r="G159" t="s">
        <v>180</v>
      </c>
      <c r="H159">
        <v>350</v>
      </c>
      <c r="O159">
        <v>5352</v>
      </c>
      <c r="P159" t="s">
        <v>2625</v>
      </c>
      <c r="Q159">
        <v>5697</v>
      </c>
      <c r="R159" t="s">
        <v>2344</v>
      </c>
      <c r="S159" t="s">
        <v>2036</v>
      </c>
      <c r="T159">
        <v>202110</v>
      </c>
      <c r="U159" t="s">
        <v>182</v>
      </c>
      <c r="V159">
        <v>85061</v>
      </c>
    </row>
    <row r="160" spans="1:22">
      <c r="A160">
        <v>5352</v>
      </c>
      <c r="B160" t="s">
        <v>2625</v>
      </c>
      <c r="C160">
        <v>5697</v>
      </c>
      <c r="D160" t="s">
        <v>2344</v>
      </c>
      <c r="E160" t="s">
        <v>2036</v>
      </c>
      <c r="F160">
        <v>202106</v>
      </c>
      <c r="G160" t="s">
        <v>182</v>
      </c>
      <c r="H160">
        <v>104535</v>
      </c>
      <c r="O160">
        <v>5352</v>
      </c>
      <c r="P160" t="s">
        <v>2625</v>
      </c>
      <c r="Q160">
        <v>5697</v>
      </c>
      <c r="R160" t="s">
        <v>2344</v>
      </c>
      <c r="S160" t="s">
        <v>2036</v>
      </c>
      <c r="T160">
        <v>202110</v>
      </c>
      <c r="U160" t="s">
        <v>184</v>
      </c>
      <c r="V160">
        <v>13460</v>
      </c>
    </row>
    <row r="161" spans="1:22">
      <c r="A161">
        <v>5352</v>
      </c>
      <c r="B161" t="s">
        <v>2625</v>
      </c>
      <c r="C161">
        <v>5697</v>
      </c>
      <c r="D161" t="s">
        <v>2344</v>
      </c>
      <c r="E161" t="s">
        <v>2036</v>
      </c>
      <c r="F161">
        <v>202106</v>
      </c>
      <c r="G161" t="s">
        <v>184</v>
      </c>
      <c r="H161">
        <v>14646</v>
      </c>
      <c r="O161">
        <v>5352</v>
      </c>
      <c r="P161" t="s">
        <v>2625</v>
      </c>
      <c r="Q161">
        <v>5697</v>
      </c>
      <c r="R161" t="s">
        <v>2344</v>
      </c>
      <c r="S161" t="s">
        <v>2036</v>
      </c>
      <c r="T161">
        <v>202110</v>
      </c>
      <c r="U161" t="s">
        <v>186</v>
      </c>
      <c r="V161">
        <v>0</v>
      </c>
    </row>
    <row r="162" spans="1:22">
      <c r="A162">
        <v>5352</v>
      </c>
      <c r="B162" t="s">
        <v>2625</v>
      </c>
      <c r="C162">
        <v>5697</v>
      </c>
      <c r="D162" t="s">
        <v>2344</v>
      </c>
      <c r="E162" t="s">
        <v>2036</v>
      </c>
      <c r="F162">
        <v>202106</v>
      </c>
      <c r="G162" t="s">
        <v>192</v>
      </c>
      <c r="H162">
        <v>0</v>
      </c>
      <c r="O162">
        <v>5352</v>
      </c>
      <c r="P162" t="s">
        <v>2625</v>
      </c>
      <c r="Q162">
        <v>5697</v>
      </c>
      <c r="R162" t="s">
        <v>2344</v>
      </c>
      <c r="S162" t="s">
        <v>2036</v>
      </c>
      <c r="T162">
        <v>202110</v>
      </c>
      <c r="U162" t="s">
        <v>190</v>
      </c>
      <c r="V162">
        <v>170801</v>
      </c>
    </row>
    <row r="163" spans="1:22">
      <c r="A163">
        <v>5352</v>
      </c>
      <c r="B163" t="s">
        <v>2625</v>
      </c>
      <c r="C163">
        <v>5697</v>
      </c>
      <c r="D163" t="s">
        <v>2344</v>
      </c>
      <c r="E163" t="s">
        <v>2036</v>
      </c>
      <c r="F163">
        <v>202106</v>
      </c>
      <c r="G163" t="s">
        <v>2170</v>
      </c>
      <c r="H163">
        <v>1703.33</v>
      </c>
      <c r="O163">
        <v>5352</v>
      </c>
      <c r="P163" t="s">
        <v>2625</v>
      </c>
      <c r="Q163">
        <v>5697</v>
      </c>
      <c r="R163" t="s">
        <v>2344</v>
      </c>
      <c r="S163" t="s">
        <v>2036</v>
      </c>
      <c r="T163">
        <v>202110</v>
      </c>
      <c r="U163" t="s">
        <v>191</v>
      </c>
      <c r="V163">
        <v>26028</v>
      </c>
    </row>
    <row r="164" spans="1:22">
      <c r="A164">
        <v>5352</v>
      </c>
      <c r="B164" t="s">
        <v>2625</v>
      </c>
      <c r="C164">
        <v>5697</v>
      </c>
      <c r="D164" t="s">
        <v>2344</v>
      </c>
      <c r="E164" t="s">
        <v>2036</v>
      </c>
      <c r="F164">
        <v>202106</v>
      </c>
      <c r="G164" t="s">
        <v>186</v>
      </c>
      <c r="H164">
        <v>0</v>
      </c>
      <c r="O164">
        <v>5352</v>
      </c>
      <c r="P164" t="s">
        <v>2625</v>
      </c>
      <c r="Q164">
        <v>5697</v>
      </c>
      <c r="R164" t="s">
        <v>2344</v>
      </c>
      <c r="S164" t="s">
        <v>2036</v>
      </c>
      <c r="T164">
        <v>202110</v>
      </c>
      <c r="U164" t="s">
        <v>178</v>
      </c>
      <c r="V164">
        <v>579</v>
      </c>
    </row>
    <row r="165" spans="1:22">
      <c r="A165">
        <v>5352</v>
      </c>
      <c r="B165" t="s">
        <v>2625</v>
      </c>
      <c r="C165">
        <v>5697</v>
      </c>
      <c r="D165" t="s">
        <v>2344</v>
      </c>
      <c r="E165" t="s">
        <v>2036</v>
      </c>
      <c r="F165">
        <v>202106</v>
      </c>
      <c r="G165" t="s">
        <v>2169</v>
      </c>
      <c r="H165">
        <v>99.17</v>
      </c>
      <c r="O165">
        <v>5352</v>
      </c>
      <c r="P165" t="s">
        <v>2625</v>
      </c>
      <c r="Q165">
        <v>5697</v>
      </c>
      <c r="R165" t="s">
        <v>2344</v>
      </c>
      <c r="S165" t="s">
        <v>2036</v>
      </c>
      <c r="T165">
        <v>202110</v>
      </c>
      <c r="U165" t="s">
        <v>180</v>
      </c>
      <c r="V165">
        <v>560</v>
      </c>
    </row>
    <row r="166" spans="1:22">
      <c r="A166">
        <v>5352</v>
      </c>
      <c r="B166" t="s">
        <v>2625</v>
      </c>
      <c r="C166">
        <v>5697</v>
      </c>
      <c r="D166" t="s">
        <v>2344</v>
      </c>
      <c r="E166" t="s">
        <v>2036</v>
      </c>
      <c r="F166">
        <v>202106</v>
      </c>
      <c r="G166" t="s">
        <v>2166</v>
      </c>
      <c r="H166">
        <v>12.33</v>
      </c>
      <c r="O166">
        <v>5352</v>
      </c>
      <c r="P166" t="s">
        <v>2625</v>
      </c>
      <c r="Q166">
        <v>5697</v>
      </c>
      <c r="R166" t="s">
        <v>2344</v>
      </c>
      <c r="S166" t="s">
        <v>2036</v>
      </c>
      <c r="T166">
        <v>202110</v>
      </c>
      <c r="U166" t="s">
        <v>182</v>
      </c>
      <c r="V166">
        <v>170801</v>
      </c>
    </row>
    <row r="167" spans="1:22">
      <c r="A167">
        <v>5352</v>
      </c>
      <c r="B167" t="s">
        <v>2625</v>
      </c>
      <c r="C167">
        <v>5697</v>
      </c>
      <c r="D167" t="s">
        <v>2344</v>
      </c>
      <c r="E167" t="s">
        <v>2036</v>
      </c>
      <c r="F167">
        <v>202106</v>
      </c>
      <c r="G167" t="s">
        <v>2167</v>
      </c>
      <c r="H167">
        <v>23.94</v>
      </c>
      <c r="O167">
        <v>5352</v>
      </c>
      <c r="P167" t="s">
        <v>2625</v>
      </c>
      <c r="Q167">
        <v>5697</v>
      </c>
      <c r="R167" t="s">
        <v>2344</v>
      </c>
      <c r="S167" t="s">
        <v>2036</v>
      </c>
      <c r="T167">
        <v>202110</v>
      </c>
      <c r="U167" t="s">
        <v>184</v>
      </c>
      <c r="V167">
        <v>26028</v>
      </c>
    </row>
    <row r="168" spans="1:22">
      <c r="A168">
        <v>5352</v>
      </c>
      <c r="B168" t="s">
        <v>2625</v>
      </c>
      <c r="C168">
        <v>5697</v>
      </c>
      <c r="D168" t="s">
        <v>2344</v>
      </c>
      <c r="E168" t="s">
        <v>2036</v>
      </c>
      <c r="F168">
        <v>202106</v>
      </c>
      <c r="G168" t="s">
        <v>2168</v>
      </c>
      <c r="H168">
        <v>10.17</v>
      </c>
      <c r="O168">
        <v>5352</v>
      </c>
      <c r="P168" t="s">
        <v>2625</v>
      </c>
      <c r="Q168">
        <v>5697</v>
      </c>
      <c r="R168" t="s">
        <v>2344</v>
      </c>
      <c r="S168" t="s">
        <v>2036</v>
      </c>
      <c r="T168">
        <v>202110</v>
      </c>
      <c r="U168" t="s">
        <v>186</v>
      </c>
      <c r="V168">
        <v>0</v>
      </c>
    </row>
    <row r="169" spans="1:22">
      <c r="A169">
        <v>5352</v>
      </c>
      <c r="B169" t="s">
        <v>2625</v>
      </c>
      <c r="C169">
        <v>5697</v>
      </c>
      <c r="D169" t="s">
        <v>2344</v>
      </c>
      <c r="E169" t="s">
        <v>2036</v>
      </c>
      <c r="F169">
        <v>202106</v>
      </c>
      <c r="G169" t="s">
        <v>2171</v>
      </c>
      <c r="H169">
        <v>26956.03</v>
      </c>
      <c r="O169">
        <v>5352</v>
      </c>
      <c r="P169" t="s">
        <v>2625</v>
      </c>
      <c r="Q169">
        <v>5697</v>
      </c>
      <c r="R169" t="s">
        <v>2344</v>
      </c>
      <c r="S169" t="s">
        <v>2036</v>
      </c>
      <c r="T169">
        <v>202110</v>
      </c>
      <c r="U169" t="s">
        <v>190</v>
      </c>
      <c r="V169">
        <v>26758</v>
      </c>
    </row>
    <row r="170" spans="1:22">
      <c r="A170">
        <v>5352</v>
      </c>
      <c r="B170" t="s">
        <v>2625</v>
      </c>
      <c r="C170">
        <v>5697</v>
      </c>
      <c r="D170" t="s">
        <v>2344</v>
      </c>
      <c r="E170" t="s">
        <v>2036</v>
      </c>
      <c r="F170">
        <v>202106</v>
      </c>
      <c r="G170" t="s">
        <v>190</v>
      </c>
      <c r="H170">
        <v>27634</v>
      </c>
      <c r="O170">
        <v>5352</v>
      </c>
      <c r="P170" t="s">
        <v>2625</v>
      </c>
      <c r="Q170">
        <v>5697</v>
      </c>
      <c r="R170" t="s">
        <v>2344</v>
      </c>
      <c r="S170" t="s">
        <v>2036</v>
      </c>
      <c r="T170">
        <v>202110</v>
      </c>
      <c r="U170" t="s">
        <v>191</v>
      </c>
      <c r="V170">
        <v>4335</v>
      </c>
    </row>
    <row r="171" spans="1:22">
      <c r="A171">
        <v>5352</v>
      </c>
      <c r="B171" t="s">
        <v>2625</v>
      </c>
      <c r="C171">
        <v>5697</v>
      </c>
      <c r="D171" t="s">
        <v>2344</v>
      </c>
      <c r="E171" t="s">
        <v>2036</v>
      </c>
      <c r="F171">
        <v>202106</v>
      </c>
      <c r="G171" t="s">
        <v>191</v>
      </c>
      <c r="H171">
        <v>4014</v>
      </c>
      <c r="O171">
        <v>5352</v>
      </c>
      <c r="P171" t="s">
        <v>2625</v>
      </c>
      <c r="Q171">
        <v>5697</v>
      </c>
      <c r="R171" t="s">
        <v>2344</v>
      </c>
      <c r="S171" t="s">
        <v>2036</v>
      </c>
      <c r="T171">
        <v>202110</v>
      </c>
      <c r="U171" t="s">
        <v>178</v>
      </c>
      <c r="V171">
        <v>100</v>
      </c>
    </row>
    <row r="172" spans="1:22">
      <c r="A172">
        <v>5352</v>
      </c>
      <c r="B172" t="s">
        <v>2625</v>
      </c>
      <c r="C172">
        <v>5697</v>
      </c>
      <c r="D172" t="s">
        <v>2344</v>
      </c>
      <c r="E172" t="s">
        <v>2036</v>
      </c>
      <c r="F172">
        <v>202106</v>
      </c>
      <c r="G172" t="s">
        <v>176</v>
      </c>
      <c r="H172">
        <v>0</v>
      </c>
      <c r="O172">
        <v>5352</v>
      </c>
      <c r="P172" t="s">
        <v>2625</v>
      </c>
      <c r="Q172">
        <v>5697</v>
      </c>
      <c r="R172" t="s">
        <v>2344</v>
      </c>
      <c r="S172" t="s">
        <v>2036</v>
      </c>
      <c r="T172">
        <v>202110</v>
      </c>
      <c r="U172" t="s">
        <v>180</v>
      </c>
      <c r="V172">
        <v>112</v>
      </c>
    </row>
    <row r="173" spans="1:22">
      <c r="A173">
        <v>5352</v>
      </c>
      <c r="B173" t="s">
        <v>2625</v>
      </c>
      <c r="C173">
        <v>5697</v>
      </c>
      <c r="D173" t="s">
        <v>2344</v>
      </c>
      <c r="E173" t="s">
        <v>2036</v>
      </c>
      <c r="F173">
        <v>202106</v>
      </c>
      <c r="G173" t="s">
        <v>178</v>
      </c>
      <c r="H173">
        <v>103</v>
      </c>
      <c r="O173">
        <v>5352</v>
      </c>
      <c r="P173" t="s">
        <v>2625</v>
      </c>
      <c r="Q173">
        <v>5697</v>
      </c>
      <c r="R173" t="s">
        <v>2344</v>
      </c>
      <c r="S173" t="s">
        <v>2036</v>
      </c>
      <c r="T173">
        <v>202110</v>
      </c>
      <c r="U173" t="s">
        <v>182</v>
      </c>
      <c r="V173">
        <v>26758</v>
      </c>
    </row>
    <row r="174" spans="1:22">
      <c r="A174">
        <v>5352</v>
      </c>
      <c r="B174" t="s">
        <v>2625</v>
      </c>
      <c r="C174">
        <v>5697</v>
      </c>
      <c r="D174" t="s">
        <v>2344</v>
      </c>
      <c r="E174" t="s">
        <v>2036</v>
      </c>
      <c r="F174">
        <v>202106</v>
      </c>
      <c r="G174" t="s">
        <v>180</v>
      </c>
      <c r="H174">
        <v>96</v>
      </c>
      <c r="O174">
        <v>5352</v>
      </c>
      <c r="P174" t="s">
        <v>2625</v>
      </c>
      <c r="Q174">
        <v>5697</v>
      </c>
      <c r="R174" t="s">
        <v>2344</v>
      </c>
      <c r="S174" t="s">
        <v>2036</v>
      </c>
      <c r="T174">
        <v>202110</v>
      </c>
      <c r="U174" t="s">
        <v>184</v>
      </c>
      <c r="V174">
        <v>4335</v>
      </c>
    </row>
    <row r="175" spans="1:22">
      <c r="A175">
        <v>5352</v>
      </c>
      <c r="B175" t="s">
        <v>2625</v>
      </c>
      <c r="C175">
        <v>5697</v>
      </c>
      <c r="D175" t="s">
        <v>2344</v>
      </c>
      <c r="E175" t="s">
        <v>2036</v>
      </c>
      <c r="F175">
        <v>202106</v>
      </c>
      <c r="G175" t="s">
        <v>182</v>
      </c>
      <c r="H175">
        <v>27634</v>
      </c>
      <c r="O175">
        <v>5352</v>
      </c>
      <c r="P175" t="s">
        <v>2625</v>
      </c>
      <c r="Q175">
        <v>5697</v>
      </c>
      <c r="R175" t="s">
        <v>2344</v>
      </c>
      <c r="S175" t="s">
        <v>2036</v>
      </c>
      <c r="T175">
        <v>202110</v>
      </c>
      <c r="U175" t="s">
        <v>186</v>
      </c>
      <c r="V175">
        <v>0</v>
      </c>
    </row>
    <row r="176" spans="1:22">
      <c r="A176">
        <v>5352</v>
      </c>
      <c r="B176" t="s">
        <v>2625</v>
      </c>
      <c r="C176">
        <v>5697</v>
      </c>
      <c r="D176" t="s">
        <v>2344</v>
      </c>
      <c r="E176" t="s">
        <v>2036</v>
      </c>
      <c r="F176">
        <v>202106</v>
      </c>
      <c r="G176" t="s">
        <v>184</v>
      </c>
      <c r="H176">
        <v>4014</v>
      </c>
      <c r="O176">
        <v>5352</v>
      </c>
      <c r="P176" t="s">
        <v>2625</v>
      </c>
      <c r="Q176">
        <v>5697</v>
      </c>
      <c r="R176" t="s">
        <v>2344</v>
      </c>
      <c r="S176" t="s">
        <v>2036</v>
      </c>
      <c r="T176">
        <v>202110</v>
      </c>
      <c r="U176" t="s">
        <v>190</v>
      </c>
      <c r="V176">
        <v>154390</v>
      </c>
    </row>
    <row r="177" spans="1:22">
      <c r="A177">
        <v>5352</v>
      </c>
      <c r="B177" t="s">
        <v>2625</v>
      </c>
      <c r="C177">
        <v>5697</v>
      </c>
      <c r="D177" t="s">
        <v>2344</v>
      </c>
      <c r="E177" t="s">
        <v>2036</v>
      </c>
      <c r="F177">
        <v>202106</v>
      </c>
      <c r="G177" t="s">
        <v>192</v>
      </c>
      <c r="H177">
        <v>0</v>
      </c>
      <c r="O177">
        <v>5352</v>
      </c>
      <c r="P177" t="s">
        <v>2625</v>
      </c>
      <c r="Q177">
        <v>5697</v>
      </c>
      <c r="R177" t="s">
        <v>2344</v>
      </c>
      <c r="S177" t="s">
        <v>2036</v>
      </c>
      <c r="T177">
        <v>202110</v>
      </c>
      <c r="U177" t="s">
        <v>191</v>
      </c>
      <c r="V177">
        <v>22183</v>
      </c>
    </row>
    <row r="178" spans="1:22">
      <c r="A178">
        <v>5352</v>
      </c>
      <c r="B178" t="s">
        <v>2625</v>
      </c>
      <c r="C178">
        <v>5697</v>
      </c>
      <c r="D178" t="s">
        <v>2344</v>
      </c>
      <c r="E178" t="s">
        <v>2036</v>
      </c>
      <c r="F178">
        <v>202106</v>
      </c>
      <c r="G178" t="s">
        <v>2170</v>
      </c>
      <c r="H178">
        <v>584.77</v>
      </c>
      <c r="O178">
        <v>5352</v>
      </c>
      <c r="P178" t="s">
        <v>2625</v>
      </c>
      <c r="Q178">
        <v>5697</v>
      </c>
      <c r="R178" t="s">
        <v>2344</v>
      </c>
      <c r="S178" t="s">
        <v>2036</v>
      </c>
      <c r="T178">
        <v>202110</v>
      </c>
      <c r="U178" t="s">
        <v>178</v>
      </c>
      <c r="V178">
        <v>580</v>
      </c>
    </row>
    <row r="179" spans="1:22">
      <c r="A179">
        <v>5352</v>
      </c>
      <c r="B179" t="s">
        <v>2625</v>
      </c>
      <c r="C179">
        <v>5697</v>
      </c>
      <c r="D179" t="s">
        <v>2344</v>
      </c>
      <c r="E179" t="s">
        <v>2036</v>
      </c>
      <c r="F179">
        <v>202106</v>
      </c>
      <c r="G179" t="s">
        <v>186</v>
      </c>
      <c r="H179">
        <v>0</v>
      </c>
      <c r="O179">
        <v>5352</v>
      </c>
      <c r="P179" t="s">
        <v>2625</v>
      </c>
      <c r="Q179">
        <v>5697</v>
      </c>
      <c r="R179" t="s">
        <v>2344</v>
      </c>
      <c r="S179" t="s">
        <v>2036</v>
      </c>
      <c r="T179">
        <v>202110</v>
      </c>
      <c r="U179" t="s">
        <v>180</v>
      </c>
      <c r="V179">
        <v>580</v>
      </c>
    </row>
    <row r="180" spans="1:22">
      <c r="A180">
        <v>5352</v>
      </c>
      <c r="B180" t="s">
        <v>2625</v>
      </c>
      <c r="C180">
        <v>5697</v>
      </c>
      <c r="D180" t="s">
        <v>2344</v>
      </c>
      <c r="E180" t="s">
        <v>2036</v>
      </c>
      <c r="F180">
        <v>202106</v>
      </c>
      <c r="G180" t="s">
        <v>2169</v>
      </c>
      <c r="H180">
        <v>99.17</v>
      </c>
      <c r="O180">
        <v>5352</v>
      </c>
      <c r="P180" t="s">
        <v>2625</v>
      </c>
      <c r="Q180">
        <v>5697</v>
      </c>
      <c r="R180" t="s">
        <v>2344</v>
      </c>
      <c r="S180" t="s">
        <v>2036</v>
      </c>
      <c r="T180">
        <v>202110</v>
      </c>
      <c r="U180" t="s">
        <v>182</v>
      </c>
      <c r="V180">
        <v>154390</v>
      </c>
    </row>
    <row r="181" spans="1:22">
      <c r="A181">
        <v>5352</v>
      </c>
      <c r="B181" t="s">
        <v>2625</v>
      </c>
      <c r="C181">
        <v>5697</v>
      </c>
      <c r="D181" t="s">
        <v>2344</v>
      </c>
      <c r="E181" t="s">
        <v>2036</v>
      </c>
      <c r="F181">
        <v>202106</v>
      </c>
      <c r="G181" t="s">
        <v>2166</v>
      </c>
      <c r="H181">
        <v>12.33</v>
      </c>
      <c r="O181">
        <v>5352</v>
      </c>
      <c r="P181" t="s">
        <v>2625</v>
      </c>
      <c r="Q181">
        <v>5697</v>
      </c>
      <c r="R181" t="s">
        <v>2344</v>
      </c>
      <c r="S181" t="s">
        <v>2036</v>
      </c>
      <c r="T181">
        <v>202110</v>
      </c>
      <c r="U181" t="s">
        <v>184</v>
      </c>
      <c r="V181">
        <v>22183</v>
      </c>
    </row>
    <row r="182" spans="1:22">
      <c r="A182">
        <v>5352</v>
      </c>
      <c r="B182" t="s">
        <v>2625</v>
      </c>
      <c r="C182">
        <v>5697</v>
      </c>
      <c r="D182" t="s">
        <v>2344</v>
      </c>
      <c r="E182" t="s">
        <v>2036</v>
      </c>
      <c r="F182">
        <v>202106</v>
      </c>
      <c r="G182" t="s">
        <v>2167</v>
      </c>
      <c r="H182">
        <v>23.94</v>
      </c>
      <c r="O182">
        <v>5352</v>
      </c>
      <c r="P182" t="s">
        <v>2625</v>
      </c>
      <c r="Q182">
        <v>5697</v>
      </c>
      <c r="R182" t="s">
        <v>2344</v>
      </c>
      <c r="S182" t="s">
        <v>2036</v>
      </c>
      <c r="T182">
        <v>202110</v>
      </c>
      <c r="U182" t="s">
        <v>186</v>
      </c>
      <c r="V182">
        <v>0</v>
      </c>
    </row>
    <row r="183" spans="1:22">
      <c r="A183">
        <v>5352</v>
      </c>
      <c r="B183" t="s">
        <v>2625</v>
      </c>
      <c r="C183">
        <v>5697</v>
      </c>
      <c r="D183" t="s">
        <v>2344</v>
      </c>
      <c r="E183" t="s">
        <v>2036</v>
      </c>
      <c r="F183">
        <v>202106</v>
      </c>
      <c r="G183" t="s">
        <v>2168</v>
      </c>
      <c r="H183">
        <v>10.17</v>
      </c>
      <c r="O183">
        <v>5352</v>
      </c>
      <c r="P183" t="s">
        <v>2625</v>
      </c>
      <c r="Q183">
        <v>5697</v>
      </c>
      <c r="R183" t="s">
        <v>2344</v>
      </c>
      <c r="S183" t="s">
        <v>2036</v>
      </c>
      <c r="T183">
        <v>202110</v>
      </c>
      <c r="U183" t="s">
        <v>190</v>
      </c>
      <c r="V183">
        <v>178858</v>
      </c>
    </row>
    <row r="184" spans="1:22">
      <c r="A184">
        <v>5352</v>
      </c>
      <c r="B184" t="s">
        <v>2625</v>
      </c>
      <c r="C184">
        <v>5697</v>
      </c>
      <c r="D184" t="s">
        <v>2344</v>
      </c>
      <c r="E184" t="s">
        <v>2036</v>
      </c>
      <c r="F184">
        <v>202106</v>
      </c>
      <c r="G184" t="s">
        <v>2171</v>
      </c>
      <c r="H184">
        <v>9416.75</v>
      </c>
      <c r="O184">
        <v>5352</v>
      </c>
      <c r="P184" t="s">
        <v>2625</v>
      </c>
      <c r="Q184">
        <v>5697</v>
      </c>
      <c r="R184" t="s">
        <v>2344</v>
      </c>
      <c r="S184" t="s">
        <v>2036</v>
      </c>
      <c r="T184">
        <v>202110</v>
      </c>
      <c r="U184" t="s">
        <v>191</v>
      </c>
      <c r="V184">
        <v>27159</v>
      </c>
    </row>
    <row r="185" spans="1:22">
      <c r="A185">
        <v>5352</v>
      </c>
      <c r="B185" t="s">
        <v>2625</v>
      </c>
      <c r="C185">
        <v>5697</v>
      </c>
      <c r="D185" t="s">
        <v>2344</v>
      </c>
      <c r="E185" t="s">
        <v>2036</v>
      </c>
      <c r="F185">
        <v>202106</v>
      </c>
      <c r="G185" t="s">
        <v>190</v>
      </c>
      <c r="H185">
        <v>158252</v>
      </c>
      <c r="O185">
        <v>5352</v>
      </c>
      <c r="P185" t="s">
        <v>2625</v>
      </c>
      <c r="Q185">
        <v>5697</v>
      </c>
      <c r="R185" t="s">
        <v>2344</v>
      </c>
      <c r="S185" t="s">
        <v>2036</v>
      </c>
      <c r="T185">
        <v>202110</v>
      </c>
      <c r="U185" t="s">
        <v>178</v>
      </c>
      <c r="V185">
        <v>735</v>
      </c>
    </row>
    <row r="186" spans="1:22">
      <c r="A186">
        <v>5352</v>
      </c>
      <c r="B186" t="s">
        <v>2625</v>
      </c>
      <c r="C186">
        <v>5697</v>
      </c>
      <c r="D186" t="s">
        <v>2344</v>
      </c>
      <c r="E186" t="s">
        <v>2036</v>
      </c>
      <c r="F186">
        <v>202106</v>
      </c>
      <c r="G186" t="s">
        <v>191</v>
      </c>
      <c r="H186">
        <v>21349</v>
      </c>
      <c r="O186">
        <v>5352</v>
      </c>
      <c r="P186" t="s">
        <v>2625</v>
      </c>
      <c r="Q186">
        <v>5697</v>
      </c>
      <c r="R186" t="s">
        <v>2344</v>
      </c>
      <c r="S186" t="s">
        <v>2036</v>
      </c>
      <c r="T186">
        <v>202110</v>
      </c>
      <c r="U186" t="s">
        <v>180</v>
      </c>
      <c r="V186">
        <v>650</v>
      </c>
    </row>
    <row r="187" spans="1:22">
      <c r="A187">
        <v>5352</v>
      </c>
      <c r="B187" t="s">
        <v>2625</v>
      </c>
      <c r="C187">
        <v>5697</v>
      </c>
      <c r="D187" t="s">
        <v>2344</v>
      </c>
      <c r="E187" t="s">
        <v>2036</v>
      </c>
      <c r="F187">
        <v>202106</v>
      </c>
      <c r="G187" t="s">
        <v>176</v>
      </c>
      <c r="H187">
        <v>-460.7</v>
      </c>
      <c r="O187">
        <v>5352</v>
      </c>
      <c r="P187" t="s">
        <v>2625</v>
      </c>
      <c r="Q187">
        <v>5697</v>
      </c>
      <c r="R187" t="s">
        <v>2344</v>
      </c>
      <c r="S187" t="s">
        <v>2036</v>
      </c>
      <c r="T187">
        <v>202110</v>
      </c>
      <c r="U187" t="s">
        <v>182</v>
      </c>
      <c r="V187">
        <v>178858</v>
      </c>
    </row>
    <row r="188" spans="1:22">
      <c r="A188">
        <v>5352</v>
      </c>
      <c r="B188" t="s">
        <v>2625</v>
      </c>
      <c r="C188">
        <v>5697</v>
      </c>
      <c r="D188" t="s">
        <v>2344</v>
      </c>
      <c r="E188" t="s">
        <v>2036</v>
      </c>
      <c r="F188">
        <v>202106</v>
      </c>
      <c r="G188" t="s">
        <v>178</v>
      </c>
      <c r="H188">
        <v>580</v>
      </c>
      <c r="O188">
        <v>5352</v>
      </c>
      <c r="P188" t="s">
        <v>2625</v>
      </c>
      <c r="Q188">
        <v>5697</v>
      </c>
      <c r="R188" t="s">
        <v>2344</v>
      </c>
      <c r="S188" t="s">
        <v>2036</v>
      </c>
      <c r="T188">
        <v>202110</v>
      </c>
      <c r="U188" t="s">
        <v>184</v>
      </c>
      <c r="V188">
        <v>27159</v>
      </c>
    </row>
    <row r="189" spans="1:22">
      <c r="A189">
        <v>5352</v>
      </c>
      <c r="B189" t="s">
        <v>2625</v>
      </c>
      <c r="C189">
        <v>5697</v>
      </c>
      <c r="D189" t="s">
        <v>2344</v>
      </c>
      <c r="E189" t="s">
        <v>2036</v>
      </c>
      <c r="F189">
        <v>202106</v>
      </c>
      <c r="G189" t="s">
        <v>180</v>
      </c>
      <c r="H189">
        <v>580</v>
      </c>
      <c r="O189">
        <v>5352</v>
      </c>
      <c r="P189" t="s">
        <v>2625</v>
      </c>
      <c r="Q189">
        <v>5697</v>
      </c>
      <c r="R189" t="s">
        <v>2344</v>
      </c>
      <c r="S189" t="s">
        <v>2036</v>
      </c>
      <c r="T189">
        <v>202110</v>
      </c>
      <c r="U189" t="s">
        <v>186</v>
      </c>
      <c r="V189">
        <v>0</v>
      </c>
    </row>
    <row r="190" spans="1:22">
      <c r="A190">
        <v>5352</v>
      </c>
      <c r="B190" t="s">
        <v>2625</v>
      </c>
      <c r="C190">
        <v>5697</v>
      </c>
      <c r="D190" t="s">
        <v>2344</v>
      </c>
      <c r="E190" t="s">
        <v>2036</v>
      </c>
      <c r="F190">
        <v>202106</v>
      </c>
      <c r="G190" t="s">
        <v>182</v>
      </c>
      <c r="H190">
        <v>158252</v>
      </c>
      <c r="O190">
        <v>5352</v>
      </c>
      <c r="P190" t="s">
        <v>2625</v>
      </c>
      <c r="Q190">
        <v>5697</v>
      </c>
      <c r="R190" t="s">
        <v>2344</v>
      </c>
      <c r="S190" t="s">
        <v>2036</v>
      </c>
      <c r="T190">
        <v>202110</v>
      </c>
      <c r="U190" t="s">
        <v>190</v>
      </c>
      <c r="V190">
        <v>96603</v>
      </c>
    </row>
    <row r="191" spans="1:22">
      <c r="A191">
        <v>5352</v>
      </c>
      <c r="B191" t="s">
        <v>2625</v>
      </c>
      <c r="C191">
        <v>5697</v>
      </c>
      <c r="D191" t="s">
        <v>2344</v>
      </c>
      <c r="E191" t="s">
        <v>2036</v>
      </c>
      <c r="F191">
        <v>202106</v>
      </c>
      <c r="G191" t="s">
        <v>184</v>
      </c>
      <c r="H191">
        <v>21349</v>
      </c>
      <c r="O191">
        <v>5352</v>
      </c>
      <c r="P191" t="s">
        <v>2625</v>
      </c>
      <c r="Q191">
        <v>5697</v>
      </c>
      <c r="R191" t="s">
        <v>2344</v>
      </c>
      <c r="S191" t="s">
        <v>2036</v>
      </c>
      <c r="T191">
        <v>202110</v>
      </c>
      <c r="U191" t="s">
        <v>191</v>
      </c>
      <c r="V191">
        <v>13589</v>
      </c>
    </row>
    <row r="192" spans="1:22">
      <c r="A192">
        <v>5352</v>
      </c>
      <c r="B192" t="s">
        <v>2625</v>
      </c>
      <c r="C192">
        <v>5697</v>
      </c>
      <c r="D192" t="s">
        <v>2344</v>
      </c>
      <c r="E192" t="s">
        <v>2036</v>
      </c>
      <c r="F192">
        <v>202106</v>
      </c>
      <c r="G192" t="s">
        <v>192</v>
      </c>
      <c r="H192">
        <v>0</v>
      </c>
      <c r="O192">
        <v>5352</v>
      </c>
      <c r="P192" t="s">
        <v>2625</v>
      </c>
      <c r="Q192">
        <v>5697</v>
      </c>
      <c r="R192" t="s">
        <v>2344</v>
      </c>
      <c r="S192" t="s">
        <v>2036</v>
      </c>
      <c r="T192">
        <v>202110</v>
      </c>
      <c r="U192" t="s">
        <v>178</v>
      </c>
      <c r="V192">
        <v>320</v>
      </c>
    </row>
    <row r="193" spans="1:22">
      <c r="A193">
        <v>5352</v>
      </c>
      <c r="B193" t="s">
        <v>2625</v>
      </c>
      <c r="C193">
        <v>5697</v>
      </c>
      <c r="D193" t="s">
        <v>2344</v>
      </c>
      <c r="E193" t="s">
        <v>2036</v>
      </c>
      <c r="F193">
        <v>202106</v>
      </c>
      <c r="G193" t="s">
        <v>2170</v>
      </c>
      <c r="H193">
        <v>2693.12</v>
      </c>
      <c r="O193">
        <v>5352</v>
      </c>
      <c r="P193" t="s">
        <v>2625</v>
      </c>
      <c r="Q193">
        <v>5697</v>
      </c>
      <c r="R193" t="s">
        <v>2344</v>
      </c>
      <c r="S193" t="s">
        <v>2036</v>
      </c>
      <c r="T193">
        <v>202110</v>
      </c>
      <c r="U193" t="s">
        <v>180</v>
      </c>
      <c r="V193">
        <v>320</v>
      </c>
    </row>
    <row r="194" spans="1:22">
      <c r="A194">
        <v>5352</v>
      </c>
      <c r="B194" t="s">
        <v>2625</v>
      </c>
      <c r="C194">
        <v>5697</v>
      </c>
      <c r="D194" t="s">
        <v>2344</v>
      </c>
      <c r="E194" t="s">
        <v>2036</v>
      </c>
      <c r="F194">
        <v>202106</v>
      </c>
      <c r="G194" t="s">
        <v>186</v>
      </c>
      <c r="H194">
        <v>0</v>
      </c>
      <c r="O194">
        <v>5352</v>
      </c>
      <c r="P194" t="s">
        <v>2625</v>
      </c>
      <c r="Q194">
        <v>5697</v>
      </c>
      <c r="R194" t="s">
        <v>2344</v>
      </c>
      <c r="S194" t="s">
        <v>2036</v>
      </c>
      <c r="T194">
        <v>202110</v>
      </c>
      <c r="U194" t="s">
        <v>182</v>
      </c>
      <c r="V194">
        <v>96603</v>
      </c>
    </row>
    <row r="195" spans="1:22">
      <c r="A195">
        <v>5352</v>
      </c>
      <c r="B195" t="s">
        <v>2625</v>
      </c>
      <c r="C195">
        <v>5697</v>
      </c>
      <c r="D195" t="s">
        <v>2344</v>
      </c>
      <c r="E195" t="s">
        <v>2036</v>
      </c>
      <c r="F195">
        <v>202106</v>
      </c>
      <c r="G195" t="s">
        <v>2169</v>
      </c>
      <c r="H195">
        <v>99.17</v>
      </c>
      <c r="O195">
        <v>5352</v>
      </c>
      <c r="P195" t="s">
        <v>2625</v>
      </c>
      <c r="Q195">
        <v>5697</v>
      </c>
      <c r="R195" t="s">
        <v>2344</v>
      </c>
      <c r="S195" t="s">
        <v>2036</v>
      </c>
      <c r="T195">
        <v>202110</v>
      </c>
      <c r="U195" t="s">
        <v>184</v>
      </c>
      <c r="V195">
        <v>13589</v>
      </c>
    </row>
    <row r="196" spans="1:22">
      <c r="A196">
        <v>5352</v>
      </c>
      <c r="B196" t="s">
        <v>2625</v>
      </c>
      <c r="C196">
        <v>5697</v>
      </c>
      <c r="D196" t="s">
        <v>2344</v>
      </c>
      <c r="E196" t="s">
        <v>2036</v>
      </c>
      <c r="F196">
        <v>202106</v>
      </c>
      <c r="G196" t="s">
        <v>2166</v>
      </c>
      <c r="H196">
        <v>12.33</v>
      </c>
      <c r="O196">
        <v>5352</v>
      </c>
      <c r="P196" t="s">
        <v>2625</v>
      </c>
      <c r="Q196">
        <v>5697</v>
      </c>
      <c r="R196" t="s">
        <v>2344</v>
      </c>
      <c r="S196" t="s">
        <v>2036</v>
      </c>
      <c r="T196">
        <v>202110</v>
      </c>
      <c r="U196" t="s">
        <v>186</v>
      </c>
      <c r="V196">
        <v>0</v>
      </c>
    </row>
    <row r="197" spans="1:22">
      <c r="A197">
        <v>5352</v>
      </c>
      <c r="B197" t="s">
        <v>2625</v>
      </c>
      <c r="C197">
        <v>5697</v>
      </c>
      <c r="D197" t="s">
        <v>2344</v>
      </c>
      <c r="E197" t="s">
        <v>2036</v>
      </c>
      <c r="F197">
        <v>202106</v>
      </c>
      <c r="G197" t="s">
        <v>2167</v>
      </c>
      <c r="H197">
        <v>23.94</v>
      </c>
      <c r="O197">
        <v>5352</v>
      </c>
      <c r="P197" t="s">
        <v>2625</v>
      </c>
      <c r="Q197">
        <v>5697</v>
      </c>
      <c r="R197" t="s">
        <v>2344</v>
      </c>
      <c r="S197" t="s">
        <v>2036</v>
      </c>
      <c r="T197">
        <v>202110</v>
      </c>
      <c r="U197" t="s">
        <v>190</v>
      </c>
      <c r="V197">
        <v>136900</v>
      </c>
    </row>
    <row r="198" spans="1:22">
      <c r="A198">
        <v>5352</v>
      </c>
      <c r="B198" t="s">
        <v>2625</v>
      </c>
      <c r="C198">
        <v>5697</v>
      </c>
      <c r="D198" t="s">
        <v>2344</v>
      </c>
      <c r="E198" t="s">
        <v>2036</v>
      </c>
      <c r="F198">
        <v>202106</v>
      </c>
      <c r="G198" t="s">
        <v>2168</v>
      </c>
      <c r="H198">
        <v>10.17</v>
      </c>
      <c r="O198">
        <v>5352</v>
      </c>
      <c r="P198" t="s">
        <v>2625</v>
      </c>
      <c r="Q198">
        <v>5697</v>
      </c>
      <c r="R198" t="s">
        <v>2344</v>
      </c>
      <c r="S198" t="s">
        <v>2036</v>
      </c>
      <c r="T198">
        <v>202110</v>
      </c>
      <c r="U198" t="s">
        <v>191</v>
      </c>
      <c r="V198">
        <v>19726</v>
      </c>
    </row>
    <row r="199" spans="1:22">
      <c r="A199">
        <v>5352</v>
      </c>
      <c r="B199" t="s">
        <v>2625</v>
      </c>
      <c r="C199">
        <v>5697</v>
      </c>
      <c r="D199" t="s">
        <v>2344</v>
      </c>
      <c r="E199" t="s">
        <v>2036</v>
      </c>
      <c r="F199">
        <v>202106</v>
      </c>
      <c r="G199" t="s">
        <v>2171</v>
      </c>
      <c r="H199">
        <v>42906.58</v>
      </c>
      <c r="O199">
        <v>5352</v>
      </c>
      <c r="P199" t="s">
        <v>2625</v>
      </c>
      <c r="Q199">
        <v>5697</v>
      </c>
      <c r="R199" t="s">
        <v>2344</v>
      </c>
      <c r="S199" t="s">
        <v>2036</v>
      </c>
      <c r="T199">
        <v>202110</v>
      </c>
      <c r="U199" t="s">
        <v>178</v>
      </c>
      <c r="V199">
        <v>600</v>
      </c>
    </row>
    <row r="200" spans="1:22">
      <c r="A200">
        <v>5352</v>
      </c>
      <c r="B200" t="s">
        <v>2625</v>
      </c>
      <c r="C200">
        <v>5697</v>
      </c>
      <c r="D200" t="s">
        <v>2344</v>
      </c>
      <c r="E200" t="s">
        <v>2036</v>
      </c>
      <c r="F200">
        <v>202106</v>
      </c>
      <c r="G200" t="s">
        <v>190</v>
      </c>
      <c r="H200">
        <v>184736</v>
      </c>
      <c r="O200">
        <v>5352</v>
      </c>
      <c r="P200" t="s">
        <v>2625</v>
      </c>
      <c r="Q200">
        <v>5697</v>
      </c>
      <c r="R200" t="s">
        <v>2344</v>
      </c>
      <c r="S200" t="s">
        <v>2036</v>
      </c>
      <c r="T200">
        <v>202110</v>
      </c>
      <c r="U200" t="s">
        <v>180</v>
      </c>
      <c r="V200">
        <v>600</v>
      </c>
    </row>
    <row r="201" spans="1:22">
      <c r="A201">
        <v>5352</v>
      </c>
      <c r="B201" t="s">
        <v>2625</v>
      </c>
      <c r="C201">
        <v>5697</v>
      </c>
      <c r="D201" t="s">
        <v>2344</v>
      </c>
      <c r="E201" t="s">
        <v>2036</v>
      </c>
      <c r="F201">
        <v>202106</v>
      </c>
      <c r="G201" t="s">
        <v>191</v>
      </c>
      <c r="H201">
        <v>26067</v>
      </c>
      <c r="O201">
        <v>5352</v>
      </c>
      <c r="P201" t="s">
        <v>2625</v>
      </c>
      <c r="Q201">
        <v>5697</v>
      </c>
      <c r="R201" t="s">
        <v>2344</v>
      </c>
      <c r="S201" t="s">
        <v>2036</v>
      </c>
      <c r="T201">
        <v>202110</v>
      </c>
      <c r="U201" t="s">
        <v>182</v>
      </c>
      <c r="V201">
        <v>136900</v>
      </c>
    </row>
    <row r="202" spans="1:22">
      <c r="A202">
        <v>5352</v>
      </c>
      <c r="B202" t="s">
        <v>2625</v>
      </c>
      <c r="C202">
        <v>5697</v>
      </c>
      <c r="D202" t="s">
        <v>2344</v>
      </c>
      <c r="E202" t="s">
        <v>2036</v>
      </c>
      <c r="F202">
        <v>202106</v>
      </c>
      <c r="G202" t="s">
        <v>176</v>
      </c>
      <c r="H202">
        <v>-3895.7</v>
      </c>
      <c r="O202">
        <v>5352</v>
      </c>
      <c r="P202" t="s">
        <v>2625</v>
      </c>
      <c r="Q202">
        <v>5697</v>
      </c>
      <c r="R202" t="s">
        <v>2344</v>
      </c>
      <c r="S202" t="s">
        <v>2036</v>
      </c>
      <c r="T202">
        <v>202110</v>
      </c>
      <c r="U202" t="s">
        <v>184</v>
      </c>
      <c r="V202">
        <v>19726</v>
      </c>
    </row>
    <row r="203" spans="1:22">
      <c r="A203">
        <v>5352</v>
      </c>
      <c r="B203" t="s">
        <v>2625</v>
      </c>
      <c r="C203">
        <v>5697</v>
      </c>
      <c r="D203" t="s">
        <v>2344</v>
      </c>
      <c r="E203" t="s">
        <v>2036</v>
      </c>
      <c r="F203">
        <v>202106</v>
      </c>
      <c r="G203" t="s">
        <v>178</v>
      </c>
      <c r="H203">
        <v>735</v>
      </c>
      <c r="O203">
        <v>5352</v>
      </c>
      <c r="P203" t="s">
        <v>2625</v>
      </c>
      <c r="Q203">
        <v>5697</v>
      </c>
      <c r="R203" t="s">
        <v>2344</v>
      </c>
      <c r="S203" t="s">
        <v>2036</v>
      </c>
      <c r="T203">
        <v>202110</v>
      </c>
      <c r="U203" t="s">
        <v>190</v>
      </c>
      <c r="V203">
        <v>116357</v>
      </c>
    </row>
    <row r="204" spans="1:22">
      <c r="A204">
        <v>5352</v>
      </c>
      <c r="B204" t="s">
        <v>2625</v>
      </c>
      <c r="C204">
        <v>5697</v>
      </c>
      <c r="D204" t="s">
        <v>2344</v>
      </c>
      <c r="E204" t="s">
        <v>2036</v>
      </c>
      <c r="F204">
        <v>202106</v>
      </c>
      <c r="G204" t="s">
        <v>180</v>
      </c>
      <c r="H204">
        <v>650</v>
      </c>
      <c r="O204">
        <v>5352</v>
      </c>
      <c r="P204" t="s">
        <v>2625</v>
      </c>
      <c r="Q204">
        <v>5697</v>
      </c>
      <c r="R204" t="s">
        <v>2344</v>
      </c>
      <c r="S204" t="s">
        <v>2036</v>
      </c>
      <c r="T204">
        <v>202110</v>
      </c>
      <c r="U204" t="s">
        <v>191</v>
      </c>
      <c r="V204">
        <v>16659</v>
      </c>
    </row>
    <row r="205" spans="1:22">
      <c r="A205">
        <v>5352</v>
      </c>
      <c r="B205" t="s">
        <v>2625</v>
      </c>
      <c r="C205">
        <v>5697</v>
      </c>
      <c r="D205" t="s">
        <v>2344</v>
      </c>
      <c r="E205" t="s">
        <v>2036</v>
      </c>
      <c r="F205">
        <v>202106</v>
      </c>
      <c r="G205" t="s">
        <v>182</v>
      </c>
      <c r="H205">
        <v>184736</v>
      </c>
      <c r="O205">
        <v>5352</v>
      </c>
      <c r="P205" t="s">
        <v>2625</v>
      </c>
      <c r="Q205">
        <v>5697</v>
      </c>
      <c r="R205" t="s">
        <v>2344</v>
      </c>
      <c r="S205" t="s">
        <v>2036</v>
      </c>
      <c r="T205">
        <v>202110</v>
      </c>
      <c r="U205" t="s">
        <v>178</v>
      </c>
      <c r="V205">
        <v>450</v>
      </c>
    </row>
    <row r="206" spans="1:22">
      <c r="A206">
        <v>5352</v>
      </c>
      <c r="B206" t="s">
        <v>2625</v>
      </c>
      <c r="C206">
        <v>5697</v>
      </c>
      <c r="D206" t="s">
        <v>2344</v>
      </c>
      <c r="E206" t="s">
        <v>2036</v>
      </c>
      <c r="F206">
        <v>202106</v>
      </c>
      <c r="G206" t="s">
        <v>184</v>
      </c>
      <c r="H206">
        <v>26067</v>
      </c>
      <c r="O206">
        <v>5352</v>
      </c>
      <c r="P206" t="s">
        <v>2625</v>
      </c>
      <c r="Q206">
        <v>5697</v>
      </c>
      <c r="R206" t="s">
        <v>2344</v>
      </c>
      <c r="S206" t="s">
        <v>2036</v>
      </c>
      <c r="T206">
        <v>202110</v>
      </c>
      <c r="U206" t="s">
        <v>180</v>
      </c>
      <c r="V206">
        <v>450</v>
      </c>
    </row>
    <row r="207" spans="1:22">
      <c r="A207">
        <v>5352</v>
      </c>
      <c r="B207" t="s">
        <v>2625</v>
      </c>
      <c r="C207">
        <v>5697</v>
      </c>
      <c r="D207" t="s">
        <v>2344</v>
      </c>
      <c r="E207" t="s">
        <v>2036</v>
      </c>
      <c r="F207">
        <v>202106</v>
      </c>
      <c r="G207" t="s">
        <v>192</v>
      </c>
      <c r="H207">
        <v>0</v>
      </c>
      <c r="O207">
        <v>5352</v>
      </c>
      <c r="P207" t="s">
        <v>2625</v>
      </c>
      <c r="Q207">
        <v>5697</v>
      </c>
      <c r="R207" t="s">
        <v>2344</v>
      </c>
      <c r="S207" t="s">
        <v>2036</v>
      </c>
      <c r="T207">
        <v>202110</v>
      </c>
      <c r="U207" t="s">
        <v>182</v>
      </c>
      <c r="V207">
        <v>116357</v>
      </c>
    </row>
    <row r="208" spans="1:22">
      <c r="A208">
        <v>5352</v>
      </c>
      <c r="B208" t="s">
        <v>2625</v>
      </c>
      <c r="C208">
        <v>5697</v>
      </c>
      <c r="D208" t="s">
        <v>2344</v>
      </c>
      <c r="E208" t="s">
        <v>2036</v>
      </c>
      <c r="F208">
        <v>202106</v>
      </c>
      <c r="G208" t="s">
        <v>2170</v>
      </c>
      <c r="H208">
        <v>3156.49</v>
      </c>
      <c r="O208">
        <v>5352</v>
      </c>
      <c r="P208" t="s">
        <v>2625</v>
      </c>
      <c r="Q208">
        <v>5697</v>
      </c>
      <c r="R208" t="s">
        <v>2344</v>
      </c>
      <c r="S208" t="s">
        <v>2036</v>
      </c>
      <c r="T208">
        <v>202110</v>
      </c>
      <c r="U208" t="s">
        <v>184</v>
      </c>
      <c r="V208">
        <v>16659</v>
      </c>
    </row>
    <row r="209" spans="1:22">
      <c r="A209">
        <v>5352</v>
      </c>
      <c r="B209" t="s">
        <v>2625</v>
      </c>
      <c r="C209">
        <v>5697</v>
      </c>
      <c r="D209" t="s">
        <v>2344</v>
      </c>
      <c r="E209" t="s">
        <v>2036</v>
      </c>
      <c r="F209">
        <v>202106</v>
      </c>
      <c r="G209" t="s">
        <v>186</v>
      </c>
      <c r="H209">
        <v>0</v>
      </c>
      <c r="O209">
        <v>5352</v>
      </c>
      <c r="P209" t="s">
        <v>2625</v>
      </c>
      <c r="Q209">
        <v>5697</v>
      </c>
      <c r="R209" t="s">
        <v>2344</v>
      </c>
      <c r="S209" t="s">
        <v>2036</v>
      </c>
      <c r="T209">
        <v>202110</v>
      </c>
      <c r="U209" t="s">
        <v>186</v>
      </c>
      <c r="V209">
        <v>0</v>
      </c>
    </row>
    <row r="210" spans="1:22">
      <c r="A210">
        <v>5352</v>
      </c>
      <c r="B210" t="s">
        <v>2625</v>
      </c>
      <c r="C210">
        <v>5697</v>
      </c>
      <c r="D210" t="s">
        <v>2344</v>
      </c>
      <c r="E210" t="s">
        <v>2036</v>
      </c>
      <c r="F210">
        <v>202106</v>
      </c>
      <c r="G210" t="s">
        <v>2169</v>
      </c>
      <c r="H210">
        <v>99.17</v>
      </c>
      <c r="O210">
        <v>5352</v>
      </c>
      <c r="P210" t="s">
        <v>2625</v>
      </c>
      <c r="Q210">
        <v>5697</v>
      </c>
      <c r="R210" t="s">
        <v>2344</v>
      </c>
      <c r="S210" t="s">
        <v>2036</v>
      </c>
      <c r="T210">
        <v>202110</v>
      </c>
      <c r="U210" t="s">
        <v>190</v>
      </c>
      <c r="V210">
        <v>270742</v>
      </c>
    </row>
    <row r="211" spans="1:22">
      <c r="A211">
        <v>5352</v>
      </c>
      <c r="B211" t="s">
        <v>2625</v>
      </c>
      <c r="C211">
        <v>5697</v>
      </c>
      <c r="D211" t="s">
        <v>2344</v>
      </c>
      <c r="E211" t="s">
        <v>2036</v>
      </c>
      <c r="F211">
        <v>202106</v>
      </c>
      <c r="G211" t="s">
        <v>2166</v>
      </c>
      <c r="H211">
        <v>12.33</v>
      </c>
      <c r="O211">
        <v>5352</v>
      </c>
      <c r="P211" t="s">
        <v>2625</v>
      </c>
      <c r="Q211">
        <v>5697</v>
      </c>
      <c r="R211" t="s">
        <v>2344</v>
      </c>
      <c r="S211" t="s">
        <v>2036</v>
      </c>
      <c r="T211">
        <v>202110</v>
      </c>
      <c r="U211" t="s">
        <v>191</v>
      </c>
      <c r="V211">
        <v>36587</v>
      </c>
    </row>
    <row r="212" spans="1:22">
      <c r="A212">
        <v>5352</v>
      </c>
      <c r="B212" t="s">
        <v>2625</v>
      </c>
      <c r="C212">
        <v>5697</v>
      </c>
      <c r="D212" t="s">
        <v>2344</v>
      </c>
      <c r="E212" t="s">
        <v>2036</v>
      </c>
      <c r="F212">
        <v>202106</v>
      </c>
      <c r="G212" t="s">
        <v>2167</v>
      </c>
      <c r="H212">
        <v>23.94</v>
      </c>
      <c r="O212">
        <v>5352</v>
      </c>
      <c r="P212" t="s">
        <v>2625</v>
      </c>
      <c r="Q212">
        <v>5697</v>
      </c>
      <c r="R212" t="s">
        <v>2344</v>
      </c>
      <c r="S212" t="s">
        <v>2036</v>
      </c>
      <c r="T212">
        <v>202110</v>
      </c>
      <c r="U212" t="s">
        <v>178</v>
      </c>
      <c r="V212">
        <v>820</v>
      </c>
    </row>
    <row r="213" spans="1:22">
      <c r="A213">
        <v>5352</v>
      </c>
      <c r="B213" t="s">
        <v>2625</v>
      </c>
      <c r="C213">
        <v>5697</v>
      </c>
      <c r="D213" t="s">
        <v>2344</v>
      </c>
      <c r="E213" t="s">
        <v>2036</v>
      </c>
      <c r="F213">
        <v>202106</v>
      </c>
      <c r="G213" t="s">
        <v>2168</v>
      </c>
      <c r="H213">
        <v>10.17</v>
      </c>
      <c r="O213">
        <v>5352</v>
      </c>
      <c r="P213" t="s">
        <v>2625</v>
      </c>
      <c r="Q213">
        <v>5697</v>
      </c>
      <c r="R213" t="s">
        <v>2344</v>
      </c>
      <c r="S213" t="s">
        <v>2036</v>
      </c>
      <c r="T213">
        <v>202110</v>
      </c>
      <c r="U213" t="s">
        <v>180</v>
      </c>
      <c r="V213">
        <v>820</v>
      </c>
    </row>
    <row r="214" spans="1:22">
      <c r="A214">
        <v>5352</v>
      </c>
      <c r="B214" t="s">
        <v>2625</v>
      </c>
      <c r="C214">
        <v>5697</v>
      </c>
      <c r="D214" t="s">
        <v>2344</v>
      </c>
      <c r="E214" t="s">
        <v>2036</v>
      </c>
      <c r="F214">
        <v>202106</v>
      </c>
      <c r="G214" t="s">
        <v>2171</v>
      </c>
      <c r="H214">
        <v>46933.52</v>
      </c>
      <c r="O214">
        <v>5352</v>
      </c>
      <c r="P214" t="s">
        <v>2625</v>
      </c>
      <c r="Q214">
        <v>5697</v>
      </c>
      <c r="R214" t="s">
        <v>2344</v>
      </c>
      <c r="S214" t="s">
        <v>2036</v>
      </c>
      <c r="T214">
        <v>202110</v>
      </c>
      <c r="U214" t="s">
        <v>182</v>
      </c>
      <c r="V214">
        <v>270742</v>
      </c>
    </row>
    <row r="215" spans="1:22">
      <c r="A215">
        <v>5352</v>
      </c>
      <c r="B215" t="s">
        <v>2625</v>
      </c>
      <c r="C215">
        <v>5697</v>
      </c>
      <c r="D215" t="s">
        <v>2344</v>
      </c>
      <c r="E215" t="s">
        <v>2036</v>
      </c>
      <c r="F215">
        <v>202106</v>
      </c>
      <c r="G215" t="s">
        <v>190</v>
      </c>
      <c r="H215">
        <v>93223</v>
      </c>
      <c r="O215">
        <v>5352</v>
      </c>
      <c r="P215" t="s">
        <v>2625</v>
      </c>
      <c r="Q215">
        <v>5697</v>
      </c>
      <c r="R215" t="s">
        <v>2344</v>
      </c>
      <c r="S215" t="s">
        <v>2036</v>
      </c>
      <c r="T215">
        <v>202110</v>
      </c>
      <c r="U215" t="s">
        <v>184</v>
      </c>
      <c r="V215">
        <v>36587</v>
      </c>
    </row>
    <row r="216" spans="1:22">
      <c r="A216">
        <v>5352</v>
      </c>
      <c r="B216" t="s">
        <v>2625</v>
      </c>
      <c r="C216">
        <v>5697</v>
      </c>
      <c r="D216" t="s">
        <v>2344</v>
      </c>
      <c r="E216" t="s">
        <v>2036</v>
      </c>
      <c r="F216">
        <v>202106</v>
      </c>
      <c r="G216" t="s">
        <v>191</v>
      </c>
      <c r="H216">
        <v>12707</v>
      </c>
      <c r="O216">
        <v>5352</v>
      </c>
      <c r="P216" t="s">
        <v>2625</v>
      </c>
      <c r="Q216">
        <v>5697</v>
      </c>
      <c r="R216" t="s">
        <v>2344</v>
      </c>
      <c r="S216" t="s">
        <v>2036</v>
      </c>
      <c r="T216">
        <v>202110</v>
      </c>
      <c r="U216" t="s">
        <v>186</v>
      </c>
      <c r="V216">
        <v>0</v>
      </c>
    </row>
    <row r="217" spans="1:22">
      <c r="A217">
        <v>5352</v>
      </c>
      <c r="B217" t="s">
        <v>2625</v>
      </c>
      <c r="C217">
        <v>5697</v>
      </c>
      <c r="D217" t="s">
        <v>2344</v>
      </c>
      <c r="E217" t="s">
        <v>2036</v>
      </c>
      <c r="F217">
        <v>202106</v>
      </c>
      <c r="G217" t="s">
        <v>176</v>
      </c>
      <c r="H217">
        <v>-1892.04</v>
      </c>
      <c r="O217">
        <v>5352</v>
      </c>
      <c r="P217" t="s">
        <v>2625</v>
      </c>
      <c r="Q217">
        <v>5697</v>
      </c>
      <c r="R217" t="s">
        <v>2344</v>
      </c>
      <c r="S217" t="s">
        <v>2036</v>
      </c>
      <c r="T217">
        <v>202110</v>
      </c>
      <c r="U217" t="s">
        <v>190</v>
      </c>
      <c r="V217">
        <v>178171</v>
      </c>
    </row>
    <row r="218" spans="1:22">
      <c r="A218">
        <v>5352</v>
      </c>
      <c r="B218" t="s">
        <v>2625</v>
      </c>
      <c r="C218">
        <v>5697</v>
      </c>
      <c r="D218" t="s">
        <v>2344</v>
      </c>
      <c r="E218" t="s">
        <v>2036</v>
      </c>
      <c r="F218">
        <v>202106</v>
      </c>
      <c r="G218" t="s">
        <v>178</v>
      </c>
      <c r="H218">
        <v>320</v>
      </c>
      <c r="O218">
        <v>5352</v>
      </c>
      <c r="P218" t="s">
        <v>2625</v>
      </c>
      <c r="Q218">
        <v>5697</v>
      </c>
      <c r="R218" t="s">
        <v>2344</v>
      </c>
      <c r="S218" t="s">
        <v>2036</v>
      </c>
      <c r="T218">
        <v>202110</v>
      </c>
      <c r="U218" t="s">
        <v>191</v>
      </c>
      <c r="V218">
        <v>28229</v>
      </c>
    </row>
    <row r="219" spans="1:22">
      <c r="A219">
        <v>5352</v>
      </c>
      <c r="B219" t="s">
        <v>2625</v>
      </c>
      <c r="C219">
        <v>5697</v>
      </c>
      <c r="D219" t="s">
        <v>2344</v>
      </c>
      <c r="E219" t="s">
        <v>2036</v>
      </c>
      <c r="F219">
        <v>202106</v>
      </c>
      <c r="G219" t="s">
        <v>180</v>
      </c>
      <c r="H219">
        <v>320</v>
      </c>
      <c r="O219">
        <v>5352</v>
      </c>
      <c r="P219" t="s">
        <v>2625</v>
      </c>
      <c r="Q219">
        <v>5697</v>
      </c>
      <c r="R219" t="s">
        <v>2344</v>
      </c>
      <c r="S219" t="s">
        <v>2036</v>
      </c>
      <c r="T219">
        <v>202110</v>
      </c>
      <c r="U219" t="s">
        <v>178</v>
      </c>
      <c r="V219">
        <v>1300</v>
      </c>
    </row>
    <row r="220" spans="1:22">
      <c r="A220">
        <v>5352</v>
      </c>
      <c r="B220" t="s">
        <v>2625</v>
      </c>
      <c r="C220">
        <v>5697</v>
      </c>
      <c r="D220" t="s">
        <v>2344</v>
      </c>
      <c r="E220" t="s">
        <v>2036</v>
      </c>
      <c r="F220">
        <v>202106</v>
      </c>
      <c r="G220" t="s">
        <v>182</v>
      </c>
      <c r="H220">
        <v>93223</v>
      </c>
      <c r="O220">
        <v>5352</v>
      </c>
      <c r="P220" t="s">
        <v>2625</v>
      </c>
      <c r="Q220">
        <v>5697</v>
      </c>
      <c r="R220" t="s">
        <v>2344</v>
      </c>
      <c r="S220" t="s">
        <v>2036</v>
      </c>
      <c r="T220">
        <v>202110</v>
      </c>
      <c r="U220" t="s">
        <v>180</v>
      </c>
      <c r="V220">
        <v>1350</v>
      </c>
    </row>
    <row r="221" spans="1:22">
      <c r="A221">
        <v>5352</v>
      </c>
      <c r="B221" t="s">
        <v>2625</v>
      </c>
      <c r="C221">
        <v>5697</v>
      </c>
      <c r="D221" t="s">
        <v>2344</v>
      </c>
      <c r="E221" t="s">
        <v>2036</v>
      </c>
      <c r="F221">
        <v>202106</v>
      </c>
      <c r="G221" t="s">
        <v>184</v>
      </c>
      <c r="H221">
        <v>12707</v>
      </c>
      <c r="O221">
        <v>5352</v>
      </c>
      <c r="P221" t="s">
        <v>2625</v>
      </c>
      <c r="Q221">
        <v>5697</v>
      </c>
      <c r="R221" t="s">
        <v>2344</v>
      </c>
      <c r="S221" t="s">
        <v>2036</v>
      </c>
      <c r="T221">
        <v>202110</v>
      </c>
      <c r="U221" t="s">
        <v>182</v>
      </c>
      <c r="V221">
        <v>178171</v>
      </c>
    </row>
    <row r="222" spans="1:22">
      <c r="A222">
        <v>5352</v>
      </c>
      <c r="B222" t="s">
        <v>2625</v>
      </c>
      <c r="C222">
        <v>5697</v>
      </c>
      <c r="D222" t="s">
        <v>2344</v>
      </c>
      <c r="E222" t="s">
        <v>2036</v>
      </c>
      <c r="F222">
        <v>202106</v>
      </c>
      <c r="G222" t="s">
        <v>192</v>
      </c>
      <c r="H222">
        <v>0</v>
      </c>
      <c r="O222">
        <v>5352</v>
      </c>
      <c r="P222" t="s">
        <v>2625</v>
      </c>
      <c r="Q222">
        <v>5697</v>
      </c>
      <c r="R222" t="s">
        <v>2344</v>
      </c>
      <c r="S222" t="s">
        <v>2036</v>
      </c>
      <c r="T222">
        <v>202110</v>
      </c>
      <c r="U222" t="s">
        <v>184</v>
      </c>
      <c r="V222">
        <v>28229</v>
      </c>
    </row>
    <row r="223" spans="1:22">
      <c r="A223">
        <v>5352</v>
      </c>
      <c r="B223" t="s">
        <v>2625</v>
      </c>
      <c r="C223">
        <v>5697</v>
      </c>
      <c r="D223" t="s">
        <v>2344</v>
      </c>
      <c r="E223" t="s">
        <v>2036</v>
      </c>
      <c r="F223">
        <v>202106</v>
      </c>
      <c r="G223" t="s">
        <v>2170</v>
      </c>
      <c r="H223">
        <v>1535.37</v>
      </c>
      <c r="O223">
        <v>5352</v>
      </c>
      <c r="P223" t="s">
        <v>2625</v>
      </c>
      <c r="Q223">
        <v>5697</v>
      </c>
      <c r="R223" t="s">
        <v>2344</v>
      </c>
      <c r="S223" t="s">
        <v>2036</v>
      </c>
      <c r="T223">
        <v>202110</v>
      </c>
      <c r="U223" t="s">
        <v>186</v>
      </c>
      <c r="V223">
        <v>0</v>
      </c>
    </row>
    <row r="224" spans="1:22">
      <c r="A224">
        <v>5352</v>
      </c>
      <c r="B224" t="s">
        <v>2625</v>
      </c>
      <c r="C224">
        <v>5697</v>
      </c>
      <c r="D224" t="s">
        <v>2344</v>
      </c>
      <c r="E224" t="s">
        <v>2036</v>
      </c>
      <c r="F224">
        <v>202106</v>
      </c>
      <c r="G224" t="s">
        <v>186</v>
      </c>
      <c r="H224">
        <v>0</v>
      </c>
      <c r="O224">
        <v>5352</v>
      </c>
      <c r="P224" t="s">
        <v>2625</v>
      </c>
      <c r="Q224">
        <v>5697</v>
      </c>
      <c r="R224" t="s">
        <v>2344</v>
      </c>
      <c r="S224" t="s">
        <v>2036</v>
      </c>
      <c r="T224">
        <v>202110</v>
      </c>
      <c r="U224" t="s">
        <v>190</v>
      </c>
      <c r="V224">
        <v>180690</v>
      </c>
    </row>
    <row r="225" spans="1:22">
      <c r="A225">
        <v>5352</v>
      </c>
      <c r="B225" t="s">
        <v>2625</v>
      </c>
      <c r="C225">
        <v>5697</v>
      </c>
      <c r="D225" t="s">
        <v>2344</v>
      </c>
      <c r="E225" t="s">
        <v>2036</v>
      </c>
      <c r="F225">
        <v>202106</v>
      </c>
      <c r="G225" t="s">
        <v>2169</v>
      </c>
      <c r="H225">
        <v>99.17</v>
      </c>
      <c r="O225">
        <v>5352</v>
      </c>
      <c r="P225" t="s">
        <v>2625</v>
      </c>
      <c r="Q225">
        <v>5697</v>
      </c>
      <c r="R225" t="s">
        <v>2344</v>
      </c>
      <c r="S225" t="s">
        <v>2036</v>
      </c>
      <c r="T225">
        <v>202110</v>
      </c>
      <c r="U225" t="s">
        <v>191</v>
      </c>
      <c r="V225">
        <v>28893</v>
      </c>
    </row>
    <row r="226" spans="1:22">
      <c r="A226">
        <v>5352</v>
      </c>
      <c r="B226" t="s">
        <v>2625</v>
      </c>
      <c r="C226">
        <v>5697</v>
      </c>
      <c r="D226" t="s">
        <v>2344</v>
      </c>
      <c r="E226" t="s">
        <v>2036</v>
      </c>
      <c r="F226">
        <v>202106</v>
      </c>
      <c r="G226" t="s">
        <v>2166</v>
      </c>
      <c r="H226">
        <v>12.33</v>
      </c>
      <c r="O226">
        <v>5352</v>
      </c>
      <c r="P226" t="s">
        <v>2625</v>
      </c>
      <c r="Q226">
        <v>5697</v>
      </c>
      <c r="R226" t="s">
        <v>2344</v>
      </c>
      <c r="S226" t="s">
        <v>2036</v>
      </c>
      <c r="T226">
        <v>202110</v>
      </c>
      <c r="U226" t="s">
        <v>178</v>
      </c>
      <c r="V226">
        <v>810</v>
      </c>
    </row>
    <row r="227" spans="1:22">
      <c r="A227">
        <v>5352</v>
      </c>
      <c r="B227" t="s">
        <v>2625</v>
      </c>
      <c r="C227">
        <v>5697</v>
      </c>
      <c r="D227" t="s">
        <v>2344</v>
      </c>
      <c r="E227" t="s">
        <v>2036</v>
      </c>
      <c r="F227">
        <v>202106</v>
      </c>
      <c r="G227" t="s">
        <v>2167</v>
      </c>
      <c r="H227">
        <v>23.94</v>
      </c>
      <c r="O227">
        <v>5352</v>
      </c>
      <c r="P227" t="s">
        <v>2625</v>
      </c>
      <c r="Q227">
        <v>5697</v>
      </c>
      <c r="R227" t="s">
        <v>2344</v>
      </c>
      <c r="S227" t="s">
        <v>2036</v>
      </c>
      <c r="T227">
        <v>202110</v>
      </c>
      <c r="U227" t="s">
        <v>180</v>
      </c>
      <c r="V227">
        <v>930</v>
      </c>
    </row>
    <row r="228" spans="1:22">
      <c r="A228">
        <v>5352</v>
      </c>
      <c r="B228" t="s">
        <v>2625</v>
      </c>
      <c r="C228">
        <v>5697</v>
      </c>
      <c r="D228" t="s">
        <v>2344</v>
      </c>
      <c r="E228" t="s">
        <v>2036</v>
      </c>
      <c r="F228">
        <v>202106</v>
      </c>
      <c r="G228" t="s">
        <v>2168</v>
      </c>
      <c r="H228">
        <v>10.17</v>
      </c>
      <c r="O228">
        <v>5352</v>
      </c>
      <c r="P228" t="s">
        <v>2625</v>
      </c>
      <c r="Q228">
        <v>5697</v>
      </c>
      <c r="R228" t="s">
        <v>2344</v>
      </c>
      <c r="S228" t="s">
        <v>2036</v>
      </c>
      <c r="T228">
        <v>202110</v>
      </c>
      <c r="U228" t="s">
        <v>182</v>
      </c>
      <c r="V228">
        <v>180690</v>
      </c>
    </row>
    <row r="229" spans="1:22">
      <c r="A229">
        <v>5352</v>
      </c>
      <c r="B229" t="s">
        <v>2625</v>
      </c>
      <c r="C229">
        <v>5697</v>
      </c>
      <c r="D229" t="s">
        <v>2344</v>
      </c>
      <c r="E229" t="s">
        <v>2036</v>
      </c>
      <c r="F229">
        <v>202106</v>
      </c>
      <c r="G229" t="s">
        <v>2171</v>
      </c>
      <c r="H229">
        <v>22832.1</v>
      </c>
      <c r="O229">
        <v>5352</v>
      </c>
      <c r="P229" t="s">
        <v>2625</v>
      </c>
      <c r="Q229">
        <v>5697</v>
      </c>
      <c r="R229" t="s">
        <v>2344</v>
      </c>
      <c r="S229" t="s">
        <v>2036</v>
      </c>
      <c r="T229">
        <v>202110</v>
      </c>
      <c r="U229" t="s">
        <v>184</v>
      </c>
      <c r="V229">
        <v>28893</v>
      </c>
    </row>
    <row r="230" spans="1:22">
      <c r="A230">
        <v>5352</v>
      </c>
      <c r="B230" t="s">
        <v>2625</v>
      </c>
      <c r="C230">
        <v>5697</v>
      </c>
      <c r="D230" t="s">
        <v>2344</v>
      </c>
      <c r="E230" t="s">
        <v>2036</v>
      </c>
      <c r="F230">
        <v>202106</v>
      </c>
      <c r="G230" t="s">
        <v>190</v>
      </c>
      <c r="H230">
        <v>121845</v>
      </c>
      <c r="O230">
        <v>5352</v>
      </c>
      <c r="P230" t="s">
        <v>2625</v>
      </c>
      <c r="Q230">
        <v>5697</v>
      </c>
      <c r="R230" t="s">
        <v>2344</v>
      </c>
      <c r="S230" t="s">
        <v>2036</v>
      </c>
      <c r="T230">
        <v>202110</v>
      </c>
      <c r="U230" t="s">
        <v>186</v>
      </c>
      <c r="V230">
        <v>0</v>
      </c>
    </row>
    <row r="231" spans="1:22">
      <c r="A231">
        <v>5352</v>
      </c>
      <c r="B231" t="s">
        <v>2625</v>
      </c>
      <c r="C231">
        <v>5697</v>
      </c>
      <c r="D231" t="s">
        <v>2344</v>
      </c>
      <c r="E231" t="s">
        <v>2036</v>
      </c>
      <c r="F231">
        <v>202106</v>
      </c>
      <c r="G231" t="s">
        <v>191</v>
      </c>
      <c r="H231">
        <v>16797</v>
      </c>
      <c r="O231">
        <v>5352</v>
      </c>
      <c r="P231" t="s">
        <v>2625</v>
      </c>
      <c r="Q231">
        <v>5697</v>
      </c>
      <c r="R231" t="s">
        <v>2344</v>
      </c>
      <c r="S231" t="s">
        <v>2036</v>
      </c>
      <c r="T231">
        <v>202110</v>
      </c>
      <c r="U231" t="s">
        <v>190</v>
      </c>
      <c r="V231">
        <v>53419</v>
      </c>
    </row>
    <row r="232" spans="1:22">
      <c r="A232">
        <v>5352</v>
      </c>
      <c r="B232" t="s">
        <v>2625</v>
      </c>
      <c r="C232">
        <v>5697</v>
      </c>
      <c r="D232" t="s">
        <v>2344</v>
      </c>
      <c r="E232" t="s">
        <v>2036</v>
      </c>
      <c r="F232">
        <v>202106</v>
      </c>
      <c r="G232" t="s">
        <v>176</v>
      </c>
      <c r="H232">
        <v>-1772.24</v>
      </c>
      <c r="O232">
        <v>5352</v>
      </c>
      <c r="P232" t="s">
        <v>2625</v>
      </c>
      <c r="Q232">
        <v>5697</v>
      </c>
      <c r="R232" t="s">
        <v>2344</v>
      </c>
      <c r="S232" t="s">
        <v>2036</v>
      </c>
      <c r="T232">
        <v>202110</v>
      </c>
      <c r="U232" t="s">
        <v>191</v>
      </c>
      <c r="V232">
        <v>7891</v>
      </c>
    </row>
    <row r="233" spans="1:22">
      <c r="A233">
        <v>5352</v>
      </c>
      <c r="B233" t="s">
        <v>2625</v>
      </c>
      <c r="C233">
        <v>5697</v>
      </c>
      <c r="D233" t="s">
        <v>2344</v>
      </c>
      <c r="E233" t="s">
        <v>2036</v>
      </c>
      <c r="F233">
        <v>202106</v>
      </c>
      <c r="G233" t="s">
        <v>178</v>
      </c>
      <c r="H233">
        <v>450</v>
      </c>
      <c r="O233">
        <v>5352</v>
      </c>
      <c r="P233" t="s">
        <v>2625</v>
      </c>
      <c r="Q233">
        <v>5697</v>
      </c>
      <c r="R233" t="s">
        <v>2344</v>
      </c>
      <c r="S233" t="s">
        <v>2036</v>
      </c>
      <c r="T233">
        <v>202110</v>
      </c>
      <c r="U233" t="s">
        <v>178</v>
      </c>
      <c r="V233">
        <v>250</v>
      </c>
    </row>
    <row r="234" spans="1:22">
      <c r="A234">
        <v>5352</v>
      </c>
      <c r="B234" t="s">
        <v>2625</v>
      </c>
      <c r="C234">
        <v>5697</v>
      </c>
      <c r="D234" t="s">
        <v>2344</v>
      </c>
      <c r="E234" t="s">
        <v>2036</v>
      </c>
      <c r="F234">
        <v>202106</v>
      </c>
      <c r="G234" t="s">
        <v>180</v>
      </c>
      <c r="H234">
        <v>450</v>
      </c>
      <c r="O234">
        <v>5352</v>
      </c>
      <c r="P234" t="s">
        <v>2625</v>
      </c>
      <c r="Q234">
        <v>5697</v>
      </c>
      <c r="R234" t="s">
        <v>2344</v>
      </c>
      <c r="S234" t="s">
        <v>2036</v>
      </c>
      <c r="T234">
        <v>202110</v>
      </c>
      <c r="U234" t="s">
        <v>180</v>
      </c>
      <c r="V234">
        <v>250</v>
      </c>
    </row>
    <row r="235" spans="1:22">
      <c r="A235">
        <v>5352</v>
      </c>
      <c r="B235" t="s">
        <v>2625</v>
      </c>
      <c r="C235">
        <v>5697</v>
      </c>
      <c r="D235" t="s">
        <v>2344</v>
      </c>
      <c r="E235" t="s">
        <v>2036</v>
      </c>
      <c r="F235">
        <v>202106</v>
      </c>
      <c r="G235" t="s">
        <v>182</v>
      </c>
      <c r="H235">
        <v>121845</v>
      </c>
      <c r="O235">
        <v>5352</v>
      </c>
      <c r="P235" t="s">
        <v>2625</v>
      </c>
      <c r="Q235">
        <v>5697</v>
      </c>
      <c r="R235" t="s">
        <v>2344</v>
      </c>
      <c r="S235" t="s">
        <v>2036</v>
      </c>
      <c r="T235">
        <v>202110</v>
      </c>
      <c r="U235" t="s">
        <v>182</v>
      </c>
      <c r="V235">
        <v>53419</v>
      </c>
    </row>
    <row r="236" spans="1:22">
      <c r="A236">
        <v>5352</v>
      </c>
      <c r="B236" t="s">
        <v>2625</v>
      </c>
      <c r="C236">
        <v>5697</v>
      </c>
      <c r="D236" t="s">
        <v>2344</v>
      </c>
      <c r="E236" t="s">
        <v>2036</v>
      </c>
      <c r="F236">
        <v>202106</v>
      </c>
      <c r="G236" t="s">
        <v>184</v>
      </c>
      <c r="H236">
        <v>16797</v>
      </c>
      <c r="O236">
        <v>5352</v>
      </c>
      <c r="P236" t="s">
        <v>2625</v>
      </c>
      <c r="Q236">
        <v>5697</v>
      </c>
      <c r="R236" t="s">
        <v>2344</v>
      </c>
      <c r="S236" t="s">
        <v>2036</v>
      </c>
      <c r="T236">
        <v>202110</v>
      </c>
      <c r="U236" t="s">
        <v>184</v>
      </c>
      <c r="V236">
        <v>7891</v>
      </c>
    </row>
    <row r="237" spans="1:22">
      <c r="A237">
        <v>5352</v>
      </c>
      <c r="B237" t="s">
        <v>2625</v>
      </c>
      <c r="C237">
        <v>5697</v>
      </c>
      <c r="D237" t="s">
        <v>2344</v>
      </c>
      <c r="E237" t="s">
        <v>2036</v>
      </c>
      <c r="F237">
        <v>202106</v>
      </c>
      <c r="G237" t="s">
        <v>192</v>
      </c>
      <c r="H237">
        <v>0</v>
      </c>
      <c r="O237">
        <v>5352</v>
      </c>
      <c r="P237" t="s">
        <v>2625</v>
      </c>
      <c r="Q237">
        <v>5697</v>
      </c>
      <c r="R237" t="s">
        <v>2344</v>
      </c>
      <c r="S237" t="s">
        <v>2036</v>
      </c>
      <c r="T237">
        <v>202110</v>
      </c>
      <c r="U237" t="s">
        <v>186</v>
      </c>
      <c r="V237">
        <v>0</v>
      </c>
    </row>
    <row r="238" spans="1:22">
      <c r="A238">
        <v>5352</v>
      </c>
      <c r="B238" t="s">
        <v>2625</v>
      </c>
      <c r="C238">
        <v>5697</v>
      </c>
      <c r="D238" t="s">
        <v>2344</v>
      </c>
      <c r="E238" t="s">
        <v>2036</v>
      </c>
      <c r="F238">
        <v>202106</v>
      </c>
      <c r="G238" t="s">
        <v>2170</v>
      </c>
      <c r="H238">
        <v>2084.39</v>
      </c>
      <c r="O238">
        <v>5352</v>
      </c>
      <c r="P238" t="s">
        <v>2625</v>
      </c>
      <c r="Q238">
        <v>5697</v>
      </c>
      <c r="R238" t="s">
        <v>2344</v>
      </c>
      <c r="S238" t="s">
        <v>2036</v>
      </c>
      <c r="T238">
        <v>202111</v>
      </c>
      <c r="U238" t="s">
        <v>190</v>
      </c>
      <c r="V238">
        <v>631008</v>
      </c>
    </row>
    <row r="239" spans="1:22">
      <c r="A239">
        <v>5352</v>
      </c>
      <c r="B239" t="s">
        <v>2625</v>
      </c>
      <c r="C239">
        <v>5697</v>
      </c>
      <c r="D239" t="s">
        <v>2344</v>
      </c>
      <c r="E239" t="s">
        <v>2036</v>
      </c>
      <c r="F239">
        <v>202106</v>
      </c>
      <c r="G239" t="s">
        <v>186</v>
      </c>
      <c r="H239">
        <v>0</v>
      </c>
      <c r="O239">
        <v>5352</v>
      </c>
      <c r="P239" t="s">
        <v>2625</v>
      </c>
      <c r="Q239">
        <v>5697</v>
      </c>
      <c r="R239" t="s">
        <v>2344</v>
      </c>
      <c r="S239" t="s">
        <v>2036</v>
      </c>
      <c r="T239">
        <v>202111</v>
      </c>
      <c r="U239" t="s">
        <v>191</v>
      </c>
      <c r="V239">
        <v>38030</v>
      </c>
    </row>
    <row r="240" spans="1:22">
      <c r="A240">
        <v>5352</v>
      </c>
      <c r="B240" t="s">
        <v>2625</v>
      </c>
      <c r="C240">
        <v>5697</v>
      </c>
      <c r="D240" t="s">
        <v>2344</v>
      </c>
      <c r="E240" t="s">
        <v>2036</v>
      </c>
      <c r="F240">
        <v>202106</v>
      </c>
      <c r="G240" t="s">
        <v>2169</v>
      </c>
      <c r="H240">
        <v>99.17</v>
      </c>
      <c r="O240">
        <v>5352</v>
      </c>
      <c r="P240" t="s">
        <v>2625</v>
      </c>
      <c r="Q240">
        <v>5697</v>
      </c>
      <c r="R240" t="s">
        <v>2344</v>
      </c>
      <c r="S240" t="s">
        <v>2036</v>
      </c>
      <c r="T240">
        <v>202111</v>
      </c>
      <c r="U240" t="s">
        <v>178</v>
      </c>
      <c r="V240">
        <v>1360</v>
      </c>
    </row>
    <row r="241" spans="1:22">
      <c r="A241">
        <v>5352</v>
      </c>
      <c r="B241" t="s">
        <v>2625</v>
      </c>
      <c r="C241">
        <v>5697</v>
      </c>
      <c r="D241" t="s">
        <v>2344</v>
      </c>
      <c r="E241" t="s">
        <v>2036</v>
      </c>
      <c r="F241">
        <v>202106</v>
      </c>
      <c r="G241" t="s">
        <v>2166</v>
      </c>
      <c r="H241">
        <v>12.33</v>
      </c>
      <c r="O241">
        <v>5352</v>
      </c>
      <c r="P241" t="s">
        <v>2625</v>
      </c>
      <c r="Q241">
        <v>5697</v>
      </c>
      <c r="R241" t="s">
        <v>2344</v>
      </c>
      <c r="S241" t="s">
        <v>2036</v>
      </c>
      <c r="T241">
        <v>202111</v>
      </c>
      <c r="U241" t="s">
        <v>180</v>
      </c>
      <c r="V241">
        <v>1250</v>
      </c>
    </row>
    <row r="242" spans="1:22">
      <c r="A242">
        <v>5352</v>
      </c>
      <c r="B242" t="s">
        <v>2625</v>
      </c>
      <c r="C242">
        <v>5697</v>
      </c>
      <c r="D242" t="s">
        <v>2344</v>
      </c>
      <c r="E242" t="s">
        <v>2036</v>
      </c>
      <c r="F242">
        <v>202106</v>
      </c>
      <c r="G242" t="s">
        <v>2167</v>
      </c>
      <c r="H242">
        <v>23.94</v>
      </c>
      <c r="O242">
        <v>5352</v>
      </c>
      <c r="P242" t="s">
        <v>2625</v>
      </c>
      <c r="Q242">
        <v>5697</v>
      </c>
      <c r="R242" t="s">
        <v>2344</v>
      </c>
      <c r="S242" t="s">
        <v>2036</v>
      </c>
      <c r="T242">
        <v>202111</v>
      </c>
      <c r="U242" t="s">
        <v>182</v>
      </c>
      <c r="V242">
        <v>631008</v>
      </c>
    </row>
    <row r="243" spans="1:22">
      <c r="A243">
        <v>5352</v>
      </c>
      <c r="B243" t="s">
        <v>2625</v>
      </c>
      <c r="C243">
        <v>5697</v>
      </c>
      <c r="D243" t="s">
        <v>2344</v>
      </c>
      <c r="E243" t="s">
        <v>2036</v>
      </c>
      <c r="F243">
        <v>202106</v>
      </c>
      <c r="G243" t="s">
        <v>2168</v>
      </c>
      <c r="H243">
        <v>10.17</v>
      </c>
      <c r="O243">
        <v>5352</v>
      </c>
      <c r="P243" t="s">
        <v>2625</v>
      </c>
      <c r="Q243">
        <v>5697</v>
      </c>
      <c r="R243" t="s">
        <v>2344</v>
      </c>
      <c r="S243" t="s">
        <v>2036</v>
      </c>
      <c r="T243">
        <v>202111</v>
      </c>
      <c r="U243" t="s">
        <v>184</v>
      </c>
      <c r="V243">
        <v>38030</v>
      </c>
    </row>
    <row r="244" spans="1:22">
      <c r="A244">
        <v>5352</v>
      </c>
      <c r="B244" t="s">
        <v>2625</v>
      </c>
      <c r="C244">
        <v>5697</v>
      </c>
      <c r="D244" t="s">
        <v>2344</v>
      </c>
      <c r="E244" t="s">
        <v>2036</v>
      </c>
      <c r="F244">
        <v>202106</v>
      </c>
      <c r="G244" t="s">
        <v>2171</v>
      </c>
      <c r="H244">
        <v>31792.74</v>
      </c>
      <c r="O244">
        <v>5352</v>
      </c>
      <c r="P244" t="s">
        <v>2625</v>
      </c>
      <c r="Q244">
        <v>5697</v>
      </c>
      <c r="R244" t="s">
        <v>2344</v>
      </c>
      <c r="S244" t="s">
        <v>2036</v>
      </c>
      <c r="T244">
        <v>202111</v>
      </c>
      <c r="U244" t="s">
        <v>186</v>
      </c>
      <c r="V244">
        <v>0</v>
      </c>
    </row>
    <row r="245" spans="1:22">
      <c r="A245">
        <v>5352</v>
      </c>
      <c r="B245" t="s">
        <v>2625</v>
      </c>
      <c r="C245">
        <v>5697</v>
      </c>
      <c r="D245" t="s">
        <v>2344</v>
      </c>
      <c r="E245" t="s">
        <v>2036</v>
      </c>
      <c r="F245">
        <v>202106</v>
      </c>
      <c r="G245" t="s">
        <v>190</v>
      </c>
      <c r="H245">
        <v>280640</v>
      </c>
      <c r="O245">
        <v>5352</v>
      </c>
      <c r="P245" t="s">
        <v>2625</v>
      </c>
      <c r="Q245">
        <v>5697</v>
      </c>
      <c r="R245" t="s">
        <v>2344</v>
      </c>
      <c r="S245" t="s">
        <v>2036</v>
      </c>
      <c r="T245">
        <v>202111</v>
      </c>
      <c r="U245" t="s">
        <v>190</v>
      </c>
      <c r="V245">
        <v>772107</v>
      </c>
    </row>
    <row r="246" spans="1:22">
      <c r="A246">
        <v>5352</v>
      </c>
      <c r="B246" t="s">
        <v>2625</v>
      </c>
      <c r="C246">
        <v>5697</v>
      </c>
      <c r="D246" t="s">
        <v>2344</v>
      </c>
      <c r="E246" t="s">
        <v>2036</v>
      </c>
      <c r="F246">
        <v>202106</v>
      </c>
      <c r="G246" t="s">
        <v>191</v>
      </c>
      <c r="H246">
        <v>36107</v>
      </c>
      <c r="O246">
        <v>5352</v>
      </c>
      <c r="P246" t="s">
        <v>2625</v>
      </c>
      <c r="Q246">
        <v>5697</v>
      </c>
      <c r="R246" t="s">
        <v>2344</v>
      </c>
      <c r="S246" t="s">
        <v>2036</v>
      </c>
      <c r="T246">
        <v>202111</v>
      </c>
      <c r="U246" t="s">
        <v>191</v>
      </c>
      <c r="V246">
        <v>119591</v>
      </c>
    </row>
    <row r="247" spans="1:22">
      <c r="A247">
        <v>5352</v>
      </c>
      <c r="B247" t="s">
        <v>2625</v>
      </c>
      <c r="C247">
        <v>5697</v>
      </c>
      <c r="D247" t="s">
        <v>2344</v>
      </c>
      <c r="E247" t="s">
        <v>2036</v>
      </c>
      <c r="F247">
        <v>202106</v>
      </c>
      <c r="G247" t="s">
        <v>176</v>
      </c>
      <c r="H247">
        <v>-3707.49</v>
      </c>
      <c r="O247">
        <v>5352</v>
      </c>
      <c r="P247" t="s">
        <v>2625</v>
      </c>
      <c r="Q247">
        <v>5697</v>
      </c>
      <c r="R247" t="s">
        <v>2344</v>
      </c>
      <c r="S247" t="s">
        <v>2036</v>
      </c>
      <c r="T247">
        <v>202111</v>
      </c>
      <c r="U247" t="s">
        <v>178</v>
      </c>
      <c r="V247">
        <v>2400</v>
      </c>
    </row>
    <row r="248" spans="1:22">
      <c r="A248">
        <v>5352</v>
      </c>
      <c r="B248" t="s">
        <v>2625</v>
      </c>
      <c r="C248">
        <v>5697</v>
      </c>
      <c r="D248" t="s">
        <v>2344</v>
      </c>
      <c r="E248" t="s">
        <v>2036</v>
      </c>
      <c r="F248">
        <v>202106</v>
      </c>
      <c r="G248" t="s">
        <v>178</v>
      </c>
      <c r="H248">
        <v>820</v>
      </c>
      <c r="O248">
        <v>5352</v>
      </c>
      <c r="P248" t="s">
        <v>2625</v>
      </c>
      <c r="Q248">
        <v>5697</v>
      </c>
      <c r="R248" t="s">
        <v>2344</v>
      </c>
      <c r="S248" t="s">
        <v>2036</v>
      </c>
      <c r="T248">
        <v>202111</v>
      </c>
      <c r="U248" t="s">
        <v>180</v>
      </c>
      <c r="V248">
        <v>2400</v>
      </c>
    </row>
    <row r="249" spans="1:22">
      <c r="A249">
        <v>5352</v>
      </c>
      <c r="B249" t="s">
        <v>2625</v>
      </c>
      <c r="C249">
        <v>5697</v>
      </c>
      <c r="D249" t="s">
        <v>2344</v>
      </c>
      <c r="E249" t="s">
        <v>2036</v>
      </c>
      <c r="F249">
        <v>202106</v>
      </c>
      <c r="G249" t="s">
        <v>180</v>
      </c>
      <c r="H249">
        <v>820</v>
      </c>
      <c r="O249">
        <v>5352</v>
      </c>
      <c r="P249" t="s">
        <v>2625</v>
      </c>
      <c r="Q249">
        <v>5697</v>
      </c>
      <c r="R249" t="s">
        <v>2344</v>
      </c>
      <c r="S249" t="s">
        <v>2036</v>
      </c>
      <c r="T249">
        <v>202111</v>
      </c>
      <c r="U249" t="s">
        <v>182</v>
      </c>
      <c r="V249">
        <v>772107</v>
      </c>
    </row>
    <row r="250" spans="1:22">
      <c r="A250">
        <v>5352</v>
      </c>
      <c r="B250" t="s">
        <v>2625</v>
      </c>
      <c r="C250">
        <v>5697</v>
      </c>
      <c r="D250" t="s">
        <v>2344</v>
      </c>
      <c r="E250" t="s">
        <v>2036</v>
      </c>
      <c r="F250">
        <v>202106</v>
      </c>
      <c r="G250" t="s">
        <v>182</v>
      </c>
      <c r="H250">
        <v>280640</v>
      </c>
      <c r="O250">
        <v>5352</v>
      </c>
      <c r="P250" t="s">
        <v>2625</v>
      </c>
      <c r="Q250">
        <v>5697</v>
      </c>
      <c r="R250" t="s">
        <v>2344</v>
      </c>
      <c r="S250" t="s">
        <v>2036</v>
      </c>
      <c r="T250">
        <v>202111</v>
      </c>
      <c r="U250" t="s">
        <v>184</v>
      </c>
      <c r="V250">
        <v>119591</v>
      </c>
    </row>
    <row r="251" spans="1:22">
      <c r="A251">
        <v>5352</v>
      </c>
      <c r="B251" t="s">
        <v>2625</v>
      </c>
      <c r="C251">
        <v>5697</v>
      </c>
      <c r="D251" t="s">
        <v>2344</v>
      </c>
      <c r="E251" t="s">
        <v>2036</v>
      </c>
      <c r="F251">
        <v>202106</v>
      </c>
      <c r="G251" t="s">
        <v>184</v>
      </c>
      <c r="H251">
        <v>36107</v>
      </c>
      <c r="O251">
        <v>5352</v>
      </c>
      <c r="P251" t="s">
        <v>2625</v>
      </c>
      <c r="Q251">
        <v>5697</v>
      </c>
      <c r="R251" t="s">
        <v>2344</v>
      </c>
      <c r="S251" t="s">
        <v>2036</v>
      </c>
      <c r="T251">
        <v>202111</v>
      </c>
      <c r="U251" t="s">
        <v>186</v>
      </c>
      <c r="V251">
        <v>90637</v>
      </c>
    </row>
    <row r="252" spans="1:22">
      <c r="A252">
        <v>5352</v>
      </c>
      <c r="B252" t="s">
        <v>2625</v>
      </c>
      <c r="C252">
        <v>5697</v>
      </c>
      <c r="D252" t="s">
        <v>2344</v>
      </c>
      <c r="E252" t="s">
        <v>2036</v>
      </c>
      <c r="F252">
        <v>202106</v>
      </c>
      <c r="G252" t="s">
        <v>192</v>
      </c>
      <c r="H252">
        <v>0</v>
      </c>
      <c r="O252">
        <v>5352</v>
      </c>
      <c r="P252" t="s">
        <v>2625</v>
      </c>
      <c r="Q252">
        <v>5697</v>
      </c>
      <c r="R252" t="s">
        <v>2344</v>
      </c>
      <c r="S252" t="s">
        <v>2036</v>
      </c>
      <c r="T252">
        <v>202111</v>
      </c>
      <c r="U252" t="s">
        <v>190</v>
      </c>
      <c r="V252">
        <v>498161</v>
      </c>
    </row>
    <row r="253" spans="1:22">
      <c r="A253">
        <v>5352</v>
      </c>
      <c r="B253" t="s">
        <v>2625</v>
      </c>
      <c r="C253">
        <v>5697</v>
      </c>
      <c r="D253" t="s">
        <v>2344</v>
      </c>
      <c r="E253" t="s">
        <v>2036</v>
      </c>
      <c r="F253">
        <v>202106</v>
      </c>
      <c r="G253" t="s">
        <v>2170</v>
      </c>
      <c r="H253">
        <v>4262.3599999999997</v>
      </c>
      <c r="O253">
        <v>5352</v>
      </c>
      <c r="P253" t="s">
        <v>2625</v>
      </c>
      <c r="Q253">
        <v>5697</v>
      </c>
      <c r="R253" t="s">
        <v>2344</v>
      </c>
      <c r="S253" t="s">
        <v>2036</v>
      </c>
      <c r="T253">
        <v>202111</v>
      </c>
      <c r="U253" t="s">
        <v>191</v>
      </c>
      <c r="V253">
        <v>67766</v>
      </c>
    </row>
    <row r="254" spans="1:22">
      <c r="A254">
        <v>5352</v>
      </c>
      <c r="B254" t="s">
        <v>2625</v>
      </c>
      <c r="C254">
        <v>5697</v>
      </c>
      <c r="D254" t="s">
        <v>2344</v>
      </c>
      <c r="E254" t="s">
        <v>2036</v>
      </c>
      <c r="F254">
        <v>202106</v>
      </c>
      <c r="G254" t="s">
        <v>186</v>
      </c>
      <c r="H254">
        <v>0</v>
      </c>
      <c r="O254">
        <v>5352</v>
      </c>
      <c r="P254" t="s">
        <v>2625</v>
      </c>
      <c r="Q254">
        <v>5697</v>
      </c>
      <c r="R254" t="s">
        <v>2344</v>
      </c>
      <c r="S254" t="s">
        <v>2036</v>
      </c>
      <c r="T254">
        <v>202111</v>
      </c>
      <c r="U254" t="s">
        <v>178</v>
      </c>
      <c r="V254">
        <v>1235</v>
      </c>
    </row>
    <row r="255" spans="1:22">
      <c r="A255">
        <v>5352</v>
      </c>
      <c r="B255" t="s">
        <v>2625</v>
      </c>
      <c r="C255">
        <v>5697</v>
      </c>
      <c r="D255" t="s">
        <v>2344</v>
      </c>
      <c r="E255" t="s">
        <v>2036</v>
      </c>
      <c r="F255">
        <v>202106</v>
      </c>
      <c r="G255" t="s">
        <v>2169</v>
      </c>
      <c r="H255">
        <v>99.17</v>
      </c>
      <c r="O255">
        <v>5352</v>
      </c>
      <c r="P255" t="s">
        <v>2625</v>
      </c>
      <c r="Q255">
        <v>5697</v>
      </c>
      <c r="R255" t="s">
        <v>2344</v>
      </c>
      <c r="S255" t="s">
        <v>2036</v>
      </c>
      <c r="T255">
        <v>202111</v>
      </c>
      <c r="U255" t="s">
        <v>180</v>
      </c>
      <c r="V255">
        <v>1364</v>
      </c>
    </row>
    <row r="256" spans="1:22">
      <c r="A256">
        <v>5352</v>
      </c>
      <c r="B256" t="s">
        <v>2625</v>
      </c>
      <c r="C256">
        <v>5697</v>
      </c>
      <c r="D256" t="s">
        <v>2344</v>
      </c>
      <c r="E256" t="s">
        <v>2036</v>
      </c>
      <c r="F256">
        <v>202106</v>
      </c>
      <c r="G256" t="s">
        <v>2166</v>
      </c>
      <c r="H256">
        <v>12.33</v>
      </c>
      <c r="O256">
        <v>5352</v>
      </c>
      <c r="P256" t="s">
        <v>2625</v>
      </c>
      <c r="Q256">
        <v>5697</v>
      </c>
      <c r="R256" t="s">
        <v>2344</v>
      </c>
      <c r="S256" t="s">
        <v>2036</v>
      </c>
      <c r="T256">
        <v>202111</v>
      </c>
      <c r="U256" t="s">
        <v>182</v>
      </c>
      <c r="V256">
        <v>498161</v>
      </c>
    </row>
    <row r="257" spans="1:22">
      <c r="A257">
        <v>5352</v>
      </c>
      <c r="B257" t="s">
        <v>2625</v>
      </c>
      <c r="C257">
        <v>5697</v>
      </c>
      <c r="D257" t="s">
        <v>2344</v>
      </c>
      <c r="E257" t="s">
        <v>2036</v>
      </c>
      <c r="F257">
        <v>202106</v>
      </c>
      <c r="G257" t="s">
        <v>2167</v>
      </c>
      <c r="H257">
        <v>23.94</v>
      </c>
      <c r="O257">
        <v>5352</v>
      </c>
      <c r="P257" t="s">
        <v>2625</v>
      </c>
      <c r="Q257">
        <v>5697</v>
      </c>
      <c r="R257" t="s">
        <v>2344</v>
      </c>
      <c r="S257" t="s">
        <v>2036</v>
      </c>
      <c r="T257">
        <v>202111</v>
      </c>
      <c r="U257" t="s">
        <v>184</v>
      </c>
      <c r="V257">
        <v>67766</v>
      </c>
    </row>
    <row r="258" spans="1:22">
      <c r="A258">
        <v>5352</v>
      </c>
      <c r="B258" t="s">
        <v>2625</v>
      </c>
      <c r="C258">
        <v>5697</v>
      </c>
      <c r="D258" t="s">
        <v>2344</v>
      </c>
      <c r="E258" t="s">
        <v>2036</v>
      </c>
      <c r="F258">
        <v>202106</v>
      </c>
      <c r="G258" t="s">
        <v>2168</v>
      </c>
      <c r="H258">
        <v>10.17</v>
      </c>
      <c r="O258">
        <v>5352</v>
      </c>
      <c r="P258" t="s">
        <v>2625</v>
      </c>
      <c r="Q258">
        <v>5697</v>
      </c>
      <c r="R258" t="s">
        <v>2344</v>
      </c>
      <c r="S258" t="s">
        <v>2036</v>
      </c>
      <c r="T258">
        <v>202111</v>
      </c>
      <c r="U258" t="s">
        <v>186</v>
      </c>
      <c r="V258">
        <v>0</v>
      </c>
    </row>
    <row r="259" spans="1:22">
      <c r="A259">
        <v>5352</v>
      </c>
      <c r="B259" t="s">
        <v>2625</v>
      </c>
      <c r="C259">
        <v>5697</v>
      </c>
      <c r="D259" t="s">
        <v>2344</v>
      </c>
      <c r="E259" t="s">
        <v>2036</v>
      </c>
      <c r="F259">
        <v>202106</v>
      </c>
      <c r="G259" t="s">
        <v>2171</v>
      </c>
      <c r="H259">
        <v>64929.36</v>
      </c>
      <c r="O259">
        <v>5352</v>
      </c>
      <c r="P259" t="s">
        <v>2625</v>
      </c>
      <c r="Q259">
        <v>5697</v>
      </c>
      <c r="R259" t="s">
        <v>2344</v>
      </c>
      <c r="S259" t="s">
        <v>2036</v>
      </c>
      <c r="T259">
        <v>202111</v>
      </c>
      <c r="U259" t="s">
        <v>190</v>
      </c>
      <c r="V259">
        <v>206639</v>
      </c>
    </row>
    <row r="260" spans="1:22">
      <c r="A260">
        <v>5352</v>
      </c>
      <c r="B260" t="s">
        <v>2625</v>
      </c>
      <c r="C260">
        <v>5697</v>
      </c>
      <c r="D260" t="s">
        <v>2344</v>
      </c>
      <c r="E260" t="s">
        <v>2036</v>
      </c>
      <c r="F260">
        <v>202106</v>
      </c>
      <c r="G260" t="s">
        <v>190</v>
      </c>
      <c r="H260">
        <v>194235</v>
      </c>
      <c r="O260">
        <v>5352</v>
      </c>
      <c r="P260" t="s">
        <v>2625</v>
      </c>
      <c r="Q260">
        <v>5697</v>
      </c>
      <c r="R260" t="s">
        <v>2344</v>
      </c>
      <c r="S260" t="s">
        <v>2036</v>
      </c>
      <c r="T260">
        <v>202111</v>
      </c>
      <c r="U260" t="s">
        <v>191</v>
      </c>
      <c r="V260">
        <v>29011</v>
      </c>
    </row>
    <row r="261" spans="1:22">
      <c r="A261">
        <v>5352</v>
      </c>
      <c r="B261" t="s">
        <v>2625</v>
      </c>
      <c r="C261">
        <v>5697</v>
      </c>
      <c r="D261" t="s">
        <v>2344</v>
      </c>
      <c r="E261" t="s">
        <v>2036</v>
      </c>
      <c r="F261">
        <v>202106</v>
      </c>
      <c r="G261" t="s">
        <v>191</v>
      </c>
      <c r="H261">
        <v>28642</v>
      </c>
      <c r="O261">
        <v>5352</v>
      </c>
      <c r="P261" t="s">
        <v>2625</v>
      </c>
      <c r="Q261">
        <v>5697</v>
      </c>
      <c r="R261" t="s">
        <v>2344</v>
      </c>
      <c r="S261" t="s">
        <v>2036</v>
      </c>
      <c r="T261">
        <v>202111</v>
      </c>
      <c r="U261" t="s">
        <v>178</v>
      </c>
      <c r="V261">
        <v>1300</v>
      </c>
    </row>
    <row r="262" spans="1:22">
      <c r="A262">
        <v>5352</v>
      </c>
      <c r="B262" t="s">
        <v>2625</v>
      </c>
      <c r="C262">
        <v>5697</v>
      </c>
      <c r="D262" t="s">
        <v>2344</v>
      </c>
      <c r="E262" t="s">
        <v>2036</v>
      </c>
      <c r="F262">
        <v>202106</v>
      </c>
      <c r="G262" t="s">
        <v>176</v>
      </c>
      <c r="H262">
        <v>0</v>
      </c>
      <c r="O262">
        <v>5352</v>
      </c>
      <c r="P262" t="s">
        <v>2625</v>
      </c>
      <c r="Q262">
        <v>5697</v>
      </c>
      <c r="R262" t="s">
        <v>2344</v>
      </c>
      <c r="S262" t="s">
        <v>2036</v>
      </c>
      <c r="T262">
        <v>202111</v>
      </c>
      <c r="U262" t="s">
        <v>180</v>
      </c>
      <c r="V262">
        <v>1350</v>
      </c>
    </row>
    <row r="263" spans="1:22">
      <c r="A263">
        <v>5352</v>
      </c>
      <c r="B263" t="s">
        <v>2625</v>
      </c>
      <c r="C263">
        <v>5697</v>
      </c>
      <c r="D263" t="s">
        <v>2344</v>
      </c>
      <c r="E263" t="s">
        <v>2036</v>
      </c>
      <c r="F263">
        <v>202106</v>
      </c>
      <c r="G263" t="s">
        <v>178</v>
      </c>
      <c r="H263">
        <v>1300</v>
      </c>
      <c r="O263">
        <v>5352</v>
      </c>
      <c r="P263" t="s">
        <v>2625</v>
      </c>
      <c r="Q263">
        <v>5697</v>
      </c>
      <c r="R263" t="s">
        <v>2344</v>
      </c>
      <c r="S263" t="s">
        <v>2036</v>
      </c>
      <c r="T263">
        <v>202111</v>
      </c>
      <c r="U263" t="s">
        <v>182</v>
      </c>
      <c r="V263">
        <v>206639</v>
      </c>
    </row>
    <row r="264" spans="1:22">
      <c r="A264">
        <v>5352</v>
      </c>
      <c r="B264" t="s">
        <v>2625</v>
      </c>
      <c r="C264">
        <v>5697</v>
      </c>
      <c r="D264" t="s">
        <v>2344</v>
      </c>
      <c r="E264" t="s">
        <v>2036</v>
      </c>
      <c r="F264">
        <v>202106</v>
      </c>
      <c r="G264" t="s">
        <v>180</v>
      </c>
      <c r="H264">
        <v>1350</v>
      </c>
      <c r="O264">
        <v>5352</v>
      </c>
      <c r="P264" t="s">
        <v>2625</v>
      </c>
      <c r="Q264">
        <v>5697</v>
      </c>
      <c r="R264" t="s">
        <v>2344</v>
      </c>
      <c r="S264" t="s">
        <v>2036</v>
      </c>
      <c r="T264">
        <v>202111</v>
      </c>
      <c r="U264" t="s">
        <v>184</v>
      </c>
      <c r="V264">
        <v>29011</v>
      </c>
    </row>
    <row r="265" spans="1:22">
      <c r="A265">
        <v>5352</v>
      </c>
      <c r="B265" t="s">
        <v>2625</v>
      </c>
      <c r="C265">
        <v>5697</v>
      </c>
      <c r="D265" t="s">
        <v>2344</v>
      </c>
      <c r="E265" t="s">
        <v>2036</v>
      </c>
      <c r="F265">
        <v>202106</v>
      </c>
      <c r="G265" t="s">
        <v>182</v>
      </c>
      <c r="H265">
        <v>194235</v>
      </c>
      <c r="O265">
        <v>5352</v>
      </c>
      <c r="P265" t="s">
        <v>2625</v>
      </c>
      <c r="Q265">
        <v>5697</v>
      </c>
      <c r="R265" t="s">
        <v>2344</v>
      </c>
      <c r="S265" t="s">
        <v>2036</v>
      </c>
      <c r="T265">
        <v>202111</v>
      </c>
      <c r="U265" t="s">
        <v>186</v>
      </c>
      <c r="V265">
        <v>0</v>
      </c>
    </row>
    <row r="266" spans="1:22">
      <c r="A266">
        <v>5352</v>
      </c>
      <c r="B266" t="s">
        <v>2625</v>
      </c>
      <c r="C266">
        <v>5697</v>
      </c>
      <c r="D266" t="s">
        <v>2344</v>
      </c>
      <c r="E266" t="s">
        <v>2036</v>
      </c>
      <c r="F266">
        <v>202106</v>
      </c>
      <c r="G266" t="s">
        <v>184</v>
      </c>
      <c r="H266">
        <v>28642</v>
      </c>
      <c r="O266">
        <v>5352</v>
      </c>
      <c r="P266" t="s">
        <v>2625</v>
      </c>
      <c r="Q266">
        <v>5697</v>
      </c>
      <c r="R266" t="s">
        <v>2344</v>
      </c>
      <c r="S266" t="s">
        <v>2036</v>
      </c>
      <c r="T266">
        <v>202111</v>
      </c>
      <c r="U266" t="s">
        <v>190</v>
      </c>
      <c r="V266">
        <v>182419</v>
      </c>
    </row>
    <row r="267" spans="1:22">
      <c r="A267">
        <v>5352</v>
      </c>
      <c r="B267" t="s">
        <v>2625</v>
      </c>
      <c r="C267">
        <v>5697</v>
      </c>
      <c r="D267" t="s">
        <v>2344</v>
      </c>
      <c r="E267" t="s">
        <v>2036</v>
      </c>
      <c r="F267">
        <v>202106</v>
      </c>
      <c r="G267" t="s">
        <v>192</v>
      </c>
      <c r="H267">
        <v>0</v>
      </c>
      <c r="O267">
        <v>5352</v>
      </c>
      <c r="P267" t="s">
        <v>2625</v>
      </c>
      <c r="Q267">
        <v>5697</v>
      </c>
      <c r="R267" t="s">
        <v>2344</v>
      </c>
      <c r="S267" t="s">
        <v>2036</v>
      </c>
      <c r="T267">
        <v>202111</v>
      </c>
      <c r="U267" t="s">
        <v>191</v>
      </c>
      <c r="V267">
        <v>27142</v>
      </c>
    </row>
    <row r="268" spans="1:22">
      <c r="A268">
        <v>5352</v>
      </c>
      <c r="B268" t="s">
        <v>2625</v>
      </c>
      <c r="C268">
        <v>5697</v>
      </c>
      <c r="D268" t="s">
        <v>2344</v>
      </c>
      <c r="E268" t="s">
        <v>2036</v>
      </c>
      <c r="F268">
        <v>202106</v>
      </c>
      <c r="G268" t="s">
        <v>2170</v>
      </c>
      <c r="H268">
        <v>4814.74</v>
      </c>
      <c r="O268">
        <v>5352</v>
      </c>
      <c r="P268" t="s">
        <v>2625</v>
      </c>
      <c r="Q268">
        <v>5697</v>
      </c>
      <c r="R268" t="s">
        <v>2344</v>
      </c>
      <c r="S268" t="s">
        <v>2036</v>
      </c>
      <c r="T268">
        <v>202111</v>
      </c>
      <c r="U268" t="s">
        <v>178</v>
      </c>
      <c r="V268">
        <v>810</v>
      </c>
    </row>
    <row r="269" spans="1:22">
      <c r="A269">
        <v>5352</v>
      </c>
      <c r="B269" t="s">
        <v>2625</v>
      </c>
      <c r="C269">
        <v>5697</v>
      </c>
      <c r="D269" t="s">
        <v>2344</v>
      </c>
      <c r="E269" t="s">
        <v>2036</v>
      </c>
      <c r="F269">
        <v>202106</v>
      </c>
      <c r="G269" t="s">
        <v>186</v>
      </c>
      <c r="H269">
        <v>0</v>
      </c>
      <c r="O269">
        <v>5352</v>
      </c>
      <c r="P269" t="s">
        <v>2625</v>
      </c>
      <c r="Q269">
        <v>5697</v>
      </c>
      <c r="R269" t="s">
        <v>2344</v>
      </c>
      <c r="S269" t="s">
        <v>2036</v>
      </c>
      <c r="T269">
        <v>202111</v>
      </c>
      <c r="U269" t="s">
        <v>180</v>
      </c>
      <c r="V269">
        <v>930</v>
      </c>
    </row>
    <row r="270" spans="1:22">
      <c r="A270">
        <v>5352</v>
      </c>
      <c r="B270" t="s">
        <v>2625</v>
      </c>
      <c r="C270">
        <v>5697</v>
      </c>
      <c r="D270" t="s">
        <v>2344</v>
      </c>
      <c r="E270" t="s">
        <v>2036</v>
      </c>
      <c r="F270">
        <v>202106</v>
      </c>
      <c r="G270" t="s">
        <v>2169</v>
      </c>
      <c r="H270">
        <v>99.17</v>
      </c>
      <c r="O270">
        <v>5352</v>
      </c>
      <c r="P270" t="s">
        <v>2625</v>
      </c>
      <c r="Q270">
        <v>5697</v>
      </c>
      <c r="R270" t="s">
        <v>2344</v>
      </c>
      <c r="S270" t="s">
        <v>2036</v>
      </c>
      <c r="T270">
        <v>202111</v>
      </c>
      <c r="U270" t="s">
        <v>182</v>
      </c>
      <c r="V270">
        <v>182419</v>
      </c>
    </row>
    <row r="271" spans="1:22">
      <c r="A271">
        <v>5352</v>
      </c>
      <c r="B271" t="s">
        <v>2625</v>
      </c>
      <c r="C271">
        <v>5697</v>
      </c>
      <c r="D271" t="s">
        <v>2344</v>
      </c>
      <c r="E271" t="s">
        <v>2036</v>
      </c>
      <c r="F271">
        <v>202106</v>
      </c>
      <c r="G271" t="s">
        <v>2166</v>
      </c>
      <c r="H271">
        <v>12.33</v>
      </c>
      <c r="O271">
        <v>5352</v>
      </c>
      <c r="P271" t="s">
        <v>2625</v>
      </c>
      <c r="Q271">
        <v>5697</v>
      </c>
      <c r="R271" t="s">
        <v>2344</v>
      </c>
      <c r="S271" t="s">
        <v>2036</v>
      </c>
      <c r="T271">
        <v>202111</v>
      </c>
      <c r="U271" t="s">
        <v>184</v>
      </c>
      <c r="V271">
        <v>27142</v>
      </c>
    </row>
    <row r="272" spans="1:22">
      <c r="A272">
        <v>5352</v>
      </c>
      <c r="B272" t="s">
        <v>2625</v>
      </c>
      <c r="C272">
        <v>5697</v>
      </c>
      <c r="D272" t="s">
        <v>2344</v>
      </c>
      <c r="E272" t="s">
        <v>2036</v>
      </c>
      <c r="F272">
        <v>202106</v>
      </c>
      <c r="G272" t="s">
        <v>2167</v>
      </c>
      <c r="H272">
        <v>23.94</v>
      </c>
      <c r="O272">
        <v>5352</v>
      </c>
      <c r="P272" t="s">
        <v>2625</v>
      </c>
      <c r="Q272">
        <v>5697</v>
      </c>
      <c r="R272" t="s">
        <v>2344</v>
      </c>
      <c r="S272" t="s">
        <v>2036</v>
      </c>
      <c r="T272">
        <v>202111</v>
      </c>
      <c r="U272" t="s">
        <v>186</v>
      </c>
      <c r="V272">
        <v>0</v>
      </c>
    </row>
    <row r="273" spans="1:22">
      <c r="A273">
        <v>5352</v>
      </c>
      <c r="B273" t="s">
        <v>2625</v>
      </c>
      <c r="C273">
        <v>5697</v>
      </c>
      <c r="D273" t="s">
        <v>2344</v>
      </c>
      <c r="E273" t="s">
        <v>2036</v>
      </c>
      <c r="F273">
        <v>202106</v>
      </c>
      <c r="G273" t="s">
        <v>2168</v>
      </c>
      <c r="H273">
        <v>10.17</v>
      </c>
      <c r="O273">
        <v>5352</v>
      </c>
      <c r="P273" t="s">
        <v>2625</v>
      </c>
      <c r="Q273">
        <v>5697</v>
      </c>
      <c r="R273" t="s">
        <v>2344</v>
      </c>
      <c r="S273" t="s">
        <v>2036</v>
      </c>
      <c r="T273">
        <v>202111</v>
      </c>
      <c r="U273" t="s">
        <v>190</v>
      </c>
      <c r="V273">
        <v>55389</v>
      </c>
    </row>
    <row r="274" spans="1:22">
      <c r="A274">
        <v>5352</v>
      </c>
      <c r="B274" t="s">
        <v>2625</v>
      </c>
      <c r="C274">
        <v>5697</v>
      </c>
      <c r="D274" t="s">
        <v>2344</v>
      </c>
      <c r="E274" t="s">
        <v>2036</v>
      </c>
      <c r="F274">
        <v>202106</v>
      </c>
      <c r="G274" t="s">
        <v>2171</v>
      </c>
      <c r="H274">
        <v>77532.08</v>
      </c>
      <c r="O274">
        <v>5352</v>
      </c>
      <c r="P274" t="s">
        <v>2625</v>
      </c>
      <c r="Q274">
        <v>5697</v>
      </c>
      <c r="R274" t="s">
        <v>2344</v>
      </c>
      <c r="S274" t="s">
        <v>2036</v>
      </c>
      <c r="T274">
        <v>202111</v>
      </c>
      <c r="U274" t="s">
        <v>191</v>
      </c>
      <c r="V274">
        <v>7699</v>
      </c>
    </row>
    <row r="275" spans="1:22">
      <c r="A275">
        <v>5352</v>
      </c>
      <c r="B275" t="s">
        <v>2625</v>
      </c>
      <c r="C275">
        <v>5697</v>
      </c>
      <c r="D275" t="s">
        <v>2344</v>
      </c>
      <c r="E275" t="s">
        <v>2036</v>
      </c>
      <c r="F275">
        <v>202106</v>
      </c>
      <c r="G275" t="s">
        <v>190</v>
      </c>
      <c r="H275">
        <v>185048</v>
      </c>
      <c r="O275">
        <v>5352</v>
      </c>
      <c r="P275" t="s">
        <v>2625</v>
      </c>
      <c r="Q275">
        <v>5697</v>
      </c>
      <c r="R275" t="s">
        <v>2344</v>
      </c>
      <c r="S275" t="s">
        <v>2036</v>
      </c>
      <c r="T275">
        <v>202111</v>
      </c>
      <c r="U275" t="s">
        <v>178</v>
      </c>
      <c r="V275">
        <v>250</v>
      </c>
    </row>
    <row r="276" spans="1:22">
      <c r="A276">
        <v>5352</v>
      </c>
      <c r="B276" t="s">
        <v>2625</v>
      </c>
      <c r="C276">
        <v>5697</v>
      </c>
      <c r="D276" t="s">
        <v>2344</v>
      </c>
      <c r="E276" t="s">
        <v>2036</v>
      </c>
      <c r="F276">
        <v>202106</v>
      </c>
      <c r="G276" t="s">
        <v>191</v>
      </c>
      <c r="H276">
        <v>27719</v>
      </c>
      <c r="O276">
        <v>5352</v>
      </c>
      <c r="P276" t="s">
        <v>2625</v>
      </c>
      <c r="Q276">
        <v>5697</v>
      </c>
      <c r="R276" t="s">
        <v>2344</v>
      </c>
      <c r="S276" t="s">
        <v>2036</v>
      </c>
      <c r="T276">
        <v>202111</v>
      </c>
      <c r="U276" t="s">
        <v>180</v>
      </c>
      <c r="V276">
        <v>250</v>
      </c>
    </row>
    <row r="277" spans="1:22">
      <c r="A277">
        <v>5352</v>
      </c>
      <c r="B277" t="s">
        <v>2625</v>
      </c>
      <c r="C277">
        <v>5697</v>
      </c>
      <c r="D277" t="s">
        <v>2344</v>
      </c>
      <c r="E277" t="s">
        <v>2036</v>
      </c>
      <c r="F277">
        <v>202106</v>
      </c>
      <c r="G277" t="s">
        <v>176</v>
      </c>
      <c r="H277">
        <v>-3531.16</v>
      </c>
      <c r="O277">
        <v>5352</v>
      </c>
      <c r="P277" t="s">
        <v>2625</v>
      </c>
      <c r="Q277">
        <v>5697</v>
      </c>
      <c r="R277" t="s">
        <v>2344</v>
      </c>
      <c r="S277" t="s">
        <v>2036</v>
      </c>
      <c r="T277">
        <v>202111</v>
      </c>
      <c r="U277" t="s">
        <v>182</v>
      </c>
      <c r="V277">
        <v>55389</v>
      </c>
    </row>
    <row r="278" spans="1:22">
      <c r="A278">
        <v>5352</v>
      </c>
      <c r="B278" t="s">
        <v>2625</v>
      </c>
      <c r="C278">
        <v>5697</v>
      </c>
      <c r="D278" t="s">
        <v>2344</v>
      </c>
      <c r="E278" t="s">
        <v>2036</v>
      </c>
      <c r="F278">
        <v>202106</v>
      </c>
      <c r="G278" t="s">
        <v>178</v>
      </c>
      <c r="H278">
        <v>810</v>
      </c>
      <c r="O278">
        <v>5352</v>
      </c>
      <c r="P278" t="s">
        <v>2625</v>
      </c>
      <c r="Q278">
        <v>5697</v>
      </c>
      <c r="R278" t="s">
        <v>2344</v>
      </c>
      <c r="S278" t="s">
        <v>2036</v>
      </c>
      <c r="T278">
        <v>202111</v>
      </c>
      <c r="U278" t="s">
        <v>184</v>
      </c>
      <c r="V278">
        <v>7699</v>
      </c>
    </row>
    <row r="279" spans="1:22">
      <c r="A279">
        <v>5352</v>
      </c>
      <c r="B279" t="s">
        <v>2625</v>
      </c>
      <c r="C279">
        <v>5697</v>
      </c>
      <c r="D279" t="s">
        <v>2344</v>
      </c>
      <c r="E279" t="s">
        <v>2036</v>
      </c>
      <c r="F279">
        <v>202106</v>
      </c>
      <c r="G279" t="s">
        <v>180</v>
      </c>
      <c r="H279">
        <v>930</v>
      </c>
      <c r="O279">
        <v>5352</v>
      </c>
      <c r="P279" t="s">
        <v>2625</v>
      </c>
      <c r="Q279">
        <v>5697</v>
      </c>
      <c r="R279" t="s">
        <v>2344</v>
      </c>
      <c r="S279" t="s">
        <v>2036</v>
      </c>
      <c r="T279">
        <v>202111</v>
      </c>
      <c r="U279" t="s">
        <v>186</v>
      </c>
      <c r="V279">
        <v>0</v>
      </c>
    </row>
    <row r="280" spans="1:22">
      <c r="A280">
        <v>5352</v>
      </c>
      <c r="B280" t="s">
        <v>2625</v>
      </c>
      <c r="C280">
        <v>5697</v>
      </c>
      <c r="D280" t="s">
        <v>2344</v>
      </c>
      <c r="E280" t="s">
        <v>2036</v>
      </c>
      <c r="F280">
        <v>202106</v>
      </c>
      <c r="G280" t="s">
        <v>182</v>
      </c>
      <c r="H280">
        <v>185048</v>
      </c>
      <c r="O280">
        <v>5352</v>
      </c>
      <c r="P280" t="s">
        <v>2625</v>
      </c>
      <c r="Q280">
        <v>5697</v>
      </c>
      <c r="R280" t="s">
        <v>2344</v>
      </c>
      <c r="S280" t="s">
        <v>2036</v>
      </c>
      <c r="T280">
        <v>202111</v>
      </c>
      <c r="U280" t="s">
        <v>190</v>
      </c>
      <c r="V280">
        <v>89920</v>
      </c>
    </row>
    <row r="281" spans="1:22">
      <c r="A281">
        <v>5352</v>
      </c>
      <c r="B281" t="s">
        <v>2625</v>
      </c>
      <c r="C281">
        <v>5697</v>
      </c>
      <c r="D281" t="s">
        <v>2344</v>
      </c>
      <c r="E281" t="s">
        <v>2036</v>
      </c>
      <c r="F281">
        <v>202106</v>
      </c>
      <c r="G281" t="s">
        <v>184</v>
      </c>
      <c r="H281">
        <v>27719</v>
      </c>
      <c r="O281">
        <v>5352</v>
      </c>
      <c r="P281" t="s">
        <v>2625</v>
      </c>
      <c r="Q281">
        <v>5697</v>
      </c>
      <c r="R281" t="s">
        <v>2344</v>
      </c>
      <c r="S281" t="s">
        <v>2036</v>
      </c>
      <c r="T281">
        <v>202111</v>
      </c>
      <c r="U281" t="s">
        <v>191</v>
      </c>
      <c r="V281">
        <v>12891</v>
      </c>
    </row>
    <row r="282" spans="1:22">
      <c r="A282">
        <v>5352</v>
      </c>
      <c r="B282" t="s">
        <v>2625</v>
      </c>
      <c r="C282">
        <v>5697</v>
      </c>
      <c r="D282" t="s">
        <v>2344</v>
      </c>
      <c r="E282" t="s">
        <v>2036</v>
      </c>
      <c r="F282">
        <v>202106</v>
      </c>
      <c r="G282" t="s">
        <v>192</v>
      </c>
      <c r="H282">
        <v>0</v>
      </c>
      <c r="O282">
        <v>5352</v>
      </c>
      <c r="P282" t="s">
        <v>2625</v>
      </c>
      <c r="Q282">
        <v>5697</v>
      </c>
      <c r="R282" t="s">
        <v>2344</v>
      </c>
      <c r="S282" t="s">
        <v>2036</v>
      </c>
      <c r="T282">
        <v>202111</v>
      </c>
      <c r="U282" t="s">
        <v>178</v>
      </c>
      <c r="V282">
        <v>350</v>
      </c>
    </row>
    <row r="283" spans="1:22">
      <c r="A283">
        <v>5352</v>
      </c>
      <c r="B283" t="s">
        <v>2625</v>
      </c>
      <c r="C283">
        <v>5697</v>
      </c>
      <c r="D283" t="s">
        <v>2344</v>
      </c>
      <c r="E283" t="s">
        <v>2036</v>
      </c>
      <c r="F283">
        <v>202106</v>
      </c>
      <c r="G283" t="s">
        <v>2170</v>
      </c>
      <c r="H283">
        <v>3675.79</v>
      </c>
      <c r="O283">
        <v>5352</v>
      </c>
      <c r="P283" t="s">
        <v>2625</v>
      </c>
      <c r="Q283">
        <v>5697</v>
      </c>
      <c r="R283" t="s">
        <v>2344</v>
      </c>
      <c r="S283" t="s">
        <v>2036</v>
      </c>
      <c r="T283">
        <v>202111</v>
      </c>
      <c r="U283" t="s">
        <v>180</v>
      </c>
      <c r="V283">
        <v>350</v>
      </c>
    </row>
    <row r="284" spans="1:22">
      <c r="A284">
        <v>5352</v>
      </c>
      <c r="B284" t="s">
        <v>2625</v>
      </c>
      <c r="C284">
        <v>5697</v>
      </c>
      <c r="D284" t="s">
        <v>2344</v>
      </c>
      <c r="E284" t="s">
        <v>2036</v>
      </c>
      <c r="F284">
        <v>202106</v>
      </c>
      <c r="G284" t="s">
        <v>186</v>
      </c>
      <c r="H284">
        <v>0</v>
      </c>
      <c r="O284">
        <v>5352</v>
      </c>
      <c r="P284" t="s">
        <v>2625</v>
      </c>
      <c r="Q284">
        <v>5697</v>
      </c>
      <c r="R284" t="s">
        <v>2344</v>
      </c>
      <c r="S284" t="s">
        <v>2036</v>
      </c>
      <c r="T284">
        <v>202111</v>
      </c>
      <c r="U284" t="s">
        <v>182</v>
      </c>
      <c r="V284">
        <v>89920</v>
      </c>
    </row>
    <row r="285" spans="1:22">
      <c r="A285">
        <v>5352</v>
      </c>
      <c r="B285" t="s">
        <v>2625</v>
      </c>
      <c r="C285">
        <v>5697</v>
      </c>
      <c r="D285" t="s">
        <v>2344</v>
      </c>
      <c r="E285" t="s">
        <v>2036</v>
      </c>
      <c r="F285">
        <v>202106</v>
      </c>
      <c r="G285" t="s">
        <v>2169</v>
      </c>
      <c r="H285">
        <v>99.17</v>
      </c>
      <c r="O285">
        <v>5352</v>
      </c>
      <c r="P285" t="s">
        <v>2625</v>
      </c>
      <c r="Q285">
        <v>5697</v>
      </c>
      <c r="R285" t="s">
        <v>2344</v>
      </c>
      <c r="S285" t="s">
        <v>2036</v>
      </c>
      <c r="T285">
        <v>202111</v>
      </c>
      <c r="U285" t="s">
        <v>184</v>
      </c>
      <c r="V285">
        <v>12891</v>
      </c>
    </row>
    <row r="286" spans="1:22">
      <c r="A286">
        <v>5352</v>
      </c>
      <c r="B286" t="s">
        <v>2625</v>
      </c>
      <c r="C286">
        <v>5697</v>
      </c>
      <c r="D286" t="s">
        <v>2344</v>
      </c>
      <c r="E286" t="s">
        <v>2036</v>
      </c>
      <c r="F286">
        <v>202106</v>
      </c>
      <c r="G286" t="s">
        <v>2166</v>
      </c>
      <c r="H286">
        <v>12.33</v>
      </c>
      <c r="O286">
        <v>5352</v>
      </c>
      <c r="P286" t="s">
        <v>2625</v>
      </c>
      <c r="Q286">
        <v>5697</v>
      </c>
      <c r="R286" t="s">
        <v>2344</v>
      </c>
      <c r="S286" t="s">
        <v>2036</v>
      </c>
      <c r="T286">
        <v>202111</v>
      </c>
      <c r="U286" t="s">
        <v>186</v>
      </c>
      <c r="V286">
        <v>0</v>
      </c>
    </row>
    <row r="287" spans="1:22">
      <c r="A287">
        <v>5352</v>
      </c>
      <c r="B287" t="s">
        <v>2625</v>
      </c>
      <c r="C287">
        <v>5697</v>
      </c>
      <c r="D287" t="s">
        <v>2344</v>
      </c>
      <c r="E287" t="s">
        <v>2036</v>
      </c>
      <c r="F287">
        <v>202106</v>
      </c>
      <c r="G287" t="s">
        <v>2167</v>
      </c>
      <c r="H287">
        <v>23.94</v>
      </c>
      <c r="O287">
        <v>5352</v>
      </c>
      <c r="P287" t="s">
        <v>2625</v>
      </c>
      <c r="Q287">
        <v>5697</v>
      </c>
      <c r="R287" t="s">
        <v>2344</v>
      </c>
      <c r="S287" t="s">
        <v>2036</v>
      </c>
      <c r="T287">
        <v>202111</v>
      </c>
      <c r="U287" t="s">
        <v>190</v>
      </c>
      <c r="V287">
        <v>329707</v>
      </c>
    </row>
    <row r="288" spans="1:22">
      <c r="A288">
        <v>5352</v>
      </c>
      <c r="B288" t="s">
        <v>2625</v>
      </c>
      <c r="C288">
        <v>5697</v>
      </c>
      <c r="D288" t="s">
        <v>2344</v>
      </c>
      <c r="E288" t="s">
        <v>2036</v>
      </c>
      <c r="F288">
        <v>202106</v>
      </c>
      <c r="G288" t="s">
        <v>2168</v>
      </c>
      <c r="H288">
        <v>10.17</v>
      </c>
      <c r="O288">
        <v>5352</v>
      </c>
      <c r="P288" t="s">
        <v>2625</v>
      </c>
      <c r="Q288">
        <v>5697</v>
      </c>
      <c r="R288" t="s">
        <v>2344</v>
      </c>
      <c r="S288" t="s">
        <v>2036</v>
      </c>
      <c r="T288">
        <v>202111</v>
      </c>
      <c r="U288" t="s">
        <v>191</v>
      </c>
      <c r="V288">
        <v>45355</v>
      </c>
    </row>
    <row r="289" spans="1:22">
      <c r="A289">
        <v>5352</v>
      </c>
      <c r="B289" t="s">
        <v>2625</v>
      </c>
      <c r="C289">
        <v>5697</v>
      </c>
      <c r="D289" t="s">
        <v>2344</v>
      </c>
      <c r="E289" t="s">
        <v>2036</v>
      </c>
      <c r="F289">
        <v>202106</v>
      </c>
      <c r="G289" t="s">
        <v>2171</v>
      </c>
      <c r="H289">
        <v>55660.06</v>
      </c>
      <c r="O289">
        <v>5352</v>
      </c>
      <c r="P289" t="s">
        <v>2625</v>
      </c>
      <c r="Q289">
        <v>5697</v>
      </c>
      <c r="R289" t="s">
        <v>2344</v>
      </c>
      <c r="S289" t="s">
        <v>2036</v>
      </c>
      <c r="T289">
        <v>202111</v>
      </c>
      <c r="U289" t="s">
        <v>178</v>
      </c>
      <c r="V289">
        <v>889</v>
      </c>
    </row>
    <row r="290" spans="1:22">
      <c r="A290">
        <v>5352</v>
      </c>
      <c r="B290" t="s">
        <v>2625</v>
      </c>
      <c r="C290">
        <v>5697</v>
      </c>
      <c r="D290" t="s">
        <v>2344</v>
      </c>
      <c r="E290" t="s">
        <v>2036</v>
      </c>
      <c r="F290">
        <v>202106</v>
      </c>
      <c r="G290" t="s">
        <v>190</v>
      </c>
      <c r="H290">
        <v>57656</v>
      </c>
      <c r="O290">
        <v>5352</v>
      </c>
      <c r="P290" t="s">
        <v>2625</v>
      </c>
      <c r="Q290">
        <v>5697</v>
      </c>
      <c r="R290" t="s">
        <v>2344</v>
      </c>
      <c r="S290" t="s">
        <v>2036</v>
      </c>
      <c r="T290">
        <v>202111</v>
      </c>
      <c r="U290" t="s">
        <v>180</v>
      </c>
      <c r="V290">
        <v>898</v>
      </c>
    </row>
    <row r="291" spans="1:22">
      <c r="A291">
        <v>5352</v>
      </c>
      <c r="B291" t="s">
        <v>2625</v>
      </c>
      <c r="C291">
        <v>5697</v>
      </c>
      <c r="D291" t="s">
        <v>2344</v>
      </c>
      <c r="E291" t="s">
        <v>2036</v>
      </c>
      <c r="F291">
        <v>202106</v>
      </c>
      <c r="G291" t="s">
        <v>191</v>
      </c>
      <c r="H291">
        <v>7473</v>
      </c>
      <c r="O291">
        <v>5352</v>
      </c>
      <c r="P291" t="s">
        <v>2625</v>
      </c>
      <c r="Q291">
        <v>5697</v>
      </c>
      <c r="R291" t="s">
        <v>2344</v>
      </c>
      <c r="S291" t="s">
        <v>2036</v>
      </c>
      <c r="T291">
        <v>202111</v>
      </c>
      <c r="U291" t="s">
        <v>182</v>
      </c>
      <c r="V291">
        <v>329707</v>
      </c>
    </row>
    <row r="292" spans="1:22">
      <c r="A292">
        <v>5352</v>
      </c>
      <c r="B292" t="s">
        <v>2625</v>
      </c>
      <c r="C292">
        <v>5697</v>
      </c>
      <c r="D292" t="s">
        <v>2344</v>
      </c>
      <c r="E292" t="s">
        <v>2036</v>
      </c>
      <c r="F292">
        <v>202106</v>
      </c>
      <c r="G292" t="s">
        <v>176</v>
      </c>
      <c r="H292">
        <v>-1134.99</v>
      </c>
      <c r="O292">
        <v>5352</v>
      </c>
      <c r="P292" t="s">
        <v>2625</v>
      </c>
      <c r="Q292">
        <v>5697</v>
      </c>
      <c r="R292" t="s">
        <v>2344</v>
      </c>
      <c r="S292" t="s">
        <v>2036</v>
      </c>
      <c r="T292">
        <v>202111</v>
      </c>
      <c r="U292" t="s">
        <v>184</v>
      </c>
      <c r="V292">
        <v>45355</v>
      </c>
    </row>
    <row r="293" spans="1:22">
      <c r="A293">
        <v>5352</v>
      </c>
      <c r="B293" t="s">
        <v>2625</v>
      </c>
      <c r="C293">
        <v>5697</v>
      </c>
      <c r="D293" t="s">
        <v>2344</v>
      </c>
      <c r="E293" t="s">
        <v>2036</v>
      </c>
      <c r="F293">
        <v>202106</v>
      </c>
      <c r="G293" t="s">
        <v>178</v>
      </c>
      <c r="H293">
        <v>250</v>
      </c>
      <c r="O293">
        <v>5352</v>
      </c>
      <c r="P293" t="s">
        <v>2625</v>
      </c>
      <c r="Q293">
        <v>5697</v>
      </c>
      <c r="R293" t="s">
        <v>2344</v>
      </c>
      <c r="S293" t="s">
        <v>2036</v>
      </c>
      <c r="T293">
        <v>202111</v>
      </c>
      <c r="U293" t="s">
        <v>186</v>
      </c>
      <c r="V293">
        <v>0</v>
      </c>
    </row>
    <row r="294" spans="1:22">
      <c r="A294">
        <v>5352</v>
      </c>
      <c r="B294" t="s">
        <v>2625</v>
      </c>
      <c r="C294">
        <v>5697</v>
      </c>
      <c r="D294" t="s">
        <v>2344</v>
      </c>
      <c r="E294" t="s">
        <v>2036</v>
      </c>
      <c r="F294">
        <v>202106</v>
      </c>
      <c r="G294" t="s">
        <v>180</v>
      </c>
      <c r="H294">
        <v>250</v>
      </c>
      <c r="O294">
        <v>5352</v>
      </c>
      <c r="P294" t="s">
        <v>2625</v>
      </c>
      <c r="Q294">
        <v>5697</v>
      </c>
      <c r="R294" t="s">
        <v>2344</v>
      </c>
      <c r="S294" t="s">
        <v>2036</v>
      </c>
      <c r="T294">
        <v>202111</v>
      </c>
      <c r="U294" t="s">
        <v>190</v>
      </c>
      <c r="V294">
        <v>144467</v>
      </c>
    </row>
    <row r="295" spans="1:22">
      <c r="A295">
        <v>5352</v>
      </c>
      <c r="B295" t="s">
        <v>2625</v>
      </c>
      <c r="C295">
        <v>5697</v>
      </c>
      <c r="D295" t="s">
        <v>2344</v>
      </c>
      <c r="E295" t="s">
        <v>2036</v>
      </c>
      <c r="F295">
        <v>202106</v>
      </c>
      <c r="G295" t="s">
        <v>182</v>
      </c>
      <c r="H295">
        <v>57656</v>
      </c>
      <c r="O295">
        <v>5352</v>
      </c>
      <c r="P295" t="s">
        <v>2625</v>
      </c>
      <c r="Q295">
        <v>5697</v>
      </c>
      <c r="R295" t="s">
        <v>2344</v>
      </c>
      <c r="S295" t="s">
        <v>2036</v>
      </c>
      <c r="T295">
        <v>202111</v>
      </c>
      <c r="U295" t="s">
        <v>191</v>
      </c>
      <c r="V295">
        <v>20297</v>
      </c>
    </row>
    <row r="296" spans="1:22">
      <c r="A296">
        <v>5352</v>
      </c>
      <c r="B296" t="s">
        <v>2625</v>
      </c>
      <c r="C296">
        <v>5697</v>
      </c>
      <c r="D296" t="s">
        <v>2344</v>
      </c>
      <c r="E296" t="s">
        <v>2036</v>
      </c>
      <c r="F296">
        <v>202106</v>
      </c>
      <c r="G296" t="s">
        <v>184</v>
      </c>
      <c r="H296">
        <v>7473</v>
      </c>
      <c r="O296">
        <v>5352</v>
      </c>
      <c r="P296" t="s">
        <v>2625</v>
      </c>
      <c r="Q296">
        <v>5697</v>
      </c>
      <c r="R296" t="s">
        <v>2344</v>
      </c>
      <c r="S296" t="s">
        <v>2036</v>
      </c>
      <c r="T296">
        <v>202111</v>
      </c>
      <c r="U296" t="s">
        <v>178</v>
      </c>
      <c r="V296">
        <v>470</v>
      </c>
    </row>
    <row r="297" spans="1:22">
      <c r="A297">
        <v>5352</v>
      </c>
      <c r="B297" t="s">
        <v>2625</v>
      </c>
      <c r="C297">
        <v>5697</v>
      </c>
      <c r="D297" t="s">
        <v>2344</v>
      </c>
      <c r="E297" t="s">
        <v>2036</v>
      </c>
      <c r="F297">
        <v>202106</v>
      </c>
      <c r="G297" t="s">
        <v>192</v>
      </c>
      <c r="H297">
        <v>0</v>
      </c>
      <c r="O297">
        <v>5352</v>
      </c>
      <c r="P297" t="s">
        <v>2625</v>
      </c>
      <c r="Q297">
        <v>5697</v>
      </c>
      <c r="R297" t="s">
        <v>2344</v>
      </c>
      <c r="S297" t="s">
        <v>2036</v>
      </c>
      <c r="T297">
        <v>202111</v>
      </c>
      <c r="U297" t="s">
        <v>180</v>
      </c>
      <c r="V297">
        <v>530</v>
      </c>
    </row>
    <row r="298" spans="1:22">
      <c r="A298">
        <v>5352</v>
      </c>
      <c r="B298" t="s">
        <v>2625</v>
      </c>
      <c r="C298">
        <v>5697</v>
      </c>
      <c r="D298" t="s">
        <v>2344</v>
      </c>
      <c r="E298" t="s">
        <v>2036</v>
      </c>
      <c r="F298">
        <v>202106</v>
      </c>
      <c r="G298" t="s">
        <v>2170</v>
      </c>
      <c r="H298">
        <v>999.87</v>
      </c>
      <c r="O298">
        <v>5352</v>
      </c>
      <c r="P298" t="s">
        <v>2625</v>
      </c>
      <c r="Q298">
        <v>5697</v>
      </c>
      <c r="R298" t="s">
        <v>2344</v>
      </c>
      <c r="S298" t="s">
        <v>2036</v>
      </c>
      <c r="T298">
        <v>202111</v>
      </c>
      <c r="U298" t="s">
        <v>182</v>
      </c>
      <c r="V298">
        <v>144467</v>
      </c>
    </row>
    <row r="299" spans="1:22">
      <c r="A299">
        <v>5352</v>
      </c>
      <c r="B299" t="s">
        <v>2625</v>
      </c>
      <c r="C299">
        <v>5697</v>
      </c>
      <c r="D299" t="s">
        <v>2344</v>
      </c>
      <c r="E299" t="s">
        <v>2036</v>
      </c>
      <c r="F299">
        <v>202106</v>
      </c>
      <c r="G299" t="s">
        <v>186</v>
      </c>
      <c r="H299">
        <v>0</v>
      </c>
      <c r="O299">
        <v>5352</v>
      </c>
      <c r="P299" t="s">
        <v>2625</v>
      </c>
      <c r="Q299">
        <v>5697</v>
      </c>
      <c r="R299" t="s">
        <v>2344</v>
      </c>
      <c r="S299" t="s">
        <v>2036</v>
      </c>
      <c r="T299">
        <v>202111</v>
      </c>
      <c r="U299" t="s">
        <v>184</v>
      </c>
      <c r="V299">
        <v>20297</v>
      </c>
    </row>
    <row r="300" spans="1:22">
      <c r="A300">
        <v>5352</v>
      </c>
      <c r="B300" t="s">
        <v>2625</v>
      </c>
      <c r="C300">
        <v>5697</v>
      </c>
      <c r="D300" t="s">
        <v>2344</v>
      </c>
      <c r="E300" t="s">
        <v>2036</v>
      </c>
      <c r="F300">
        <v>202106</v>
      </c>
      <c r="G300" t="s">
        <v>2169</v>
      </c>
      <c r="H300">
        <v>99.17</v>
      </c>
      <c r="O300">
        <v>5352</v>
      </c>
      <c r="P300" t="s">
        <v>2625</v>
      </c>
      <c r="Q300">
        <v>5697</v>
      </c>
      <c r="R300" t="s">
        <v>2344</v>
      </c>
      <c r="S300" t="s">
        <v>2036</v>
      </c>
      <c r="T300">
        <v>202111</v>
      </c>
      <c r="U300" t="s">
        <v>186</v>
      </c>
      <c r="V300">
        <v>0</v>
      </c>
    </row>
    <row r="301" spans="1:22">
      <c r="A301">
        <v>5352</v>
      </c>
      <c r="B301" t="s">
        <v>2625</v>
      </c>
      <c r="C301">
        <v>5697</v>
      </c>
      <c r="D301" t="s">
        <v>2344</v>
      </c>
      <c r="E301" t="s">
        <v>2036</v>
      </c>
      <c r="F301">
        <v>202106</v>
      </c>
      <c r="G301" t="s">
        <v>2166</v>
      </c>
      <c r="H301">
        <v>12.33</v>
      </c>
      <c r="O301">
        <v>5352</v>
      </c>
      <c r="P301" t="s">
        <v>2625</v>
      </c>
      <c r="Q301">
        <v>5697</v>
      </c>
      <c r="R301" t="s">
        <v>2344</v>
      </c>
      <c r="S301" t="s">
        <v>2036</v>
      </c>
      <c r="T301">
        <v>202111</v>
      </c>
      <c r="U301" t="s">
        <v>190</v>
      </c>
      <c r="V301">
        <v>183642</v>
      </c>
    </row>
    <row r="302" spans="1:22">
      <c r="A302">
        <v>5352</v>
      </c>
      <c r="B302" t="s">
        <v>2625</v>
      </c>
      <c r="C302">
        <v>5697</v>
      </c>
      <c r="D302" t="s">
        <v>2344</v>
      </c>
      <c r="E302" t="s">
        <v>2036</v>
      </c>
      <c r="F302">
        <v>202106</v>
      </c>
      <c r="G302" t="s">
        <v>2167</v>
      </c>
      <c r="H302">
        <v>23.94</v>
      </c>
      <c r="O302">
        <v>5352</v>
      </c>
      <c r="P302" t="s">
        <v>2625</v>
      </c>
      <c r="Q302">
        <v>5697</v>
      </c>
      <c r="R302" t="s">
        <v>2344</v>
      </c>
      <c r="S302" t="s">
        <v>2036</v>
      </c>
      <c r="T302">
        <v>202111</v>
      </c>
      <c r="U302" t="s">
        <v>191</v>
      </c>
      <c r="V302">
        <v>25921</v>
      </c>
    </row>
    <row r="303" spans="1:22">
      <c r="A303">
        <v>5352</v>
      </c>
      <c r="B303" t="s">
        <v>2625</v>
      </c>
      <c r="C303">
        <v>5697</v>
      </c>
      <c r="D303" t="s">
        <v>2344</v>
      </c>
      <c r="E303" t="s">
        <v>2036</v>
      </c>
      <c r="F303">
        <v>202106</v>
      </c>
      <c r="G303" t="s">
        <v>2168</v>
      </c>
      <c r="H303">
        <v>10.17</v>
      </c>
      <c r="O303">
        <v>5352</v>
      </c>
      <c r="P303" t="s">
        <v>2625</v>
      </c>
      <c r="Q303">
        <v>5697</v>
      </c>
      <c r="R303" t="s">
        <v>2344</v>
      </c>
      <c r="S303" t="s">
        <v>2036</v>
      </c>
      <c r="T303">
        <v>202111</v>
      </c>
      <c r="U303" t="s">
        <v>178</v>
      </c>
      <c r="V303">
        <v>560</v>
      </c>
    </row>
    <row r="304" spans="1:22">
      <c r="A304">
        <v>5352</v>
      </c>
      <c r="B304" t="s">
        <v>2625</v>
      </c>
      <c r="C304">
        <v>5697</v>
      </c>
      <c r="D304" t="s">
        <v>2344</v>
      </c>
      <c r="E304" t="s">
        <v>2036</v>
      </c>
      <c r="F304">
        <v>202106</v>
      </c>
      <c r="G304" t="s">
        <v>2171</v>
      </c>
      <c r="H304">
        <v>19991.060000000001</v>
      </c>
      <c r="O304">
        <v>5352</v>
      </c>
      <c r="P304" t="s">
        <v>2625</v>
      </c>
      <c r="Q304">
        <v>5697</v>
      </c>
      <c r="R304" t="s">
        <v>2344</v>
      </c>
      <c r="S304" t="s">
        <v>2036</v>
      </c>
      <c r="T304">
        <v>202111</v>
      </c>
      <c r="U304" t="s">
        <v>180</v>
      </c>
      <c r="V304">
        <v>560</v>
      </c>
    </row>
    <row r="305" spans="1:22">
      <c r="A305">
        <v>5352</v>
      </c>
      <c r="B305" t="s">
        <v>2625</v>
      </c>
      <c r="C305">
        <v>5697</v>
      </c>
      <c r="D305" t="s">
        <v>2344</v>
      </c>
      <c r="E305" t="s">
        <v>2036</v>
      </c>
      <c r="F305">
        <v>202106</v>
      </c>
      <c r="G305" t="s">
        <v>190</v>
      </c>
      <c r="H305">
        <v>320999</v>
      </c>
      <c r="O305">
        <v>5352</v>
      </c>
      <c r="P305" t="s">
        <v>2625</v>
      </c>
      <c r="Q305">
        <v>5697</v>
      </c>
      <c r="R305" t="s">
        <v>2344</v>
      </c>
      <c r="S305" t="s">
        <v>2036</v>
      </c>
      <c r="T305">
        <v>202111</v>
      </c>
      <c r="U305" t="s">
        <v>182</v>
      </c>
      <c r="V305">
        <v>183642</v>
      </c>
    </row>
    <row r="306" spans="1:22">
      <c r="A306">
        <v>5352</v>
      </c>
      <c r="B306" t="s">
        <v>2625</v>
      </c>
      <c r="C306">
        <v>5697</v>
      </c>
      <c r="D306" t="s">
        <v>2344</v>
      </c>
      <c r="E306" t="s">
        <v>2036</v>
      </c>
      <c r="F306">
        <v>202106</v>
      </c>
      <c r="G306" t="s">
        <v>191</v>
      </c>
      <c r="H306">
        <v>39304</v>
      </c>
      <c r="O306">
        <v>5352</v>
      </c>
      <c r="P306" t="s">
        <v>2625</v>
      </c>
      <c r="Q306">
        <v>5697</v>
      </c>
      <c r="R306" t="s">
        <v>2344</v>
      </c>
      <c r="S306" t="s">
        <v>2036</v>
      </c>
      <c r="T306">
        <v>202111</v>
      </c>
      <c r="U306" t="s">
        <v>184</v>
      </c>
      <c r="V306">
        <v>25921</v>
      </c>
    </row>
    <row r="307" spans="1:22">
      <c r="A307">
        <v>5352</v>
      </c>
      <c r="B307" t="s">
        <v>2625</v>
      </c>
      <c r="C307">
        <v>5697</v>
      </c>
      <c r="D307" t="s">
        <v>2344</v>
      </c>
      <c r="E307" t="s">
        <v>2036</v>
      </c>
      <c r="F307">
        <v>202106</v>
      </c>
      <c r="G307" t="s">
        <v>176</v>
      </c>
      <c r="H307">
        <v>-5034.2</v>
      </c>
      <c r="O307">
        <v>5352</v>
      </c>
      <c r="P307" t="s">
        <v>2625</v>
      </c>
      <c r="Q307">
        <v>5697</v>
      </c>
      <c r="R307" t="s">
        <v>2344</v>
      </c>
      <c r="S307" t="s">
        <v>2036</v>
      </c>
      <c r="T307">
        <v>202111</v>
      </c>
      <c r="U307" t="s">
        <v>186</v>
      </c>
      <c r="V307">
        <v>0</v>
      </c>
    </row>
    <row r="308" spans="1:22">
      <c r="A308">
        <v>5352</v>
      </c>
      <c r="B308" t="s">
        <v>2625</v>
      </c>
      <c r="C308">
        <v>5697</v>
      </c>
      <c r="D308" t="s">
        <v>2344</v>
      </c>
      <c r="E308" t="s">
        <v>2036</v>
      </c>
      <c r="F308">
        <v>202106</v>
      </c>
      <c r="G308" t="s">
        <v>178</v>
      </c>
      <c r="H308">
        <v>902</v>
      </c>
      <c r="O308">
        <v>5352</v>
      </c>
      <c r="P308" t="s">
        <v>2625</v>
      </c>
      <c r="Q308">
        <v>5697</v>
      </c>
      <c r="R308" t="s">
        <v>2344</v>
      </c>
      <c r="S308" t="s">
        <v>2036</v>
      </c>
      <c r="T308">
        <v>202111</v>
      </c>
      <c r="U308" t="s">
        <v>190</v>
      </c>
      <c r="V308">
        <v>162394</v>
      </c>
    </row>
    <row r="309" spans="1:22">
      <c r="A309">
        <v>5352</v>
      </c>
      <c r="B309" t="s">
        <v>2625</v>
      </c>
      <c r="C309">
        <v>5697</v>
      </c>
      <c r="D309" t="s">
        <v>2344</v>
      </c>
      <c r="E309" t="s">
        <v>2036</v>
      </c>
      <c r="F309">
        <v>202106</v>
      </c>
      <c r="G309" t="s">
        <v>180</v>
      </c>
      <c r="H309">
        <v>860</v>
      </c>
      <c r="O309">
        <v>5352</v>
      </c>
      <c r="P309" t="s">
        <v>2625</v>
      </c>
      <c r="Q309">
        <v>5697</v>
      </c>
      <c r="R309" t="s">
        <v>2344</v>
      </c>
      <c r="S309" t="s">
        <v>2036</v>
      </c>
      <c r="T309">
        <v>202111</v>
      </c>
      <c r="U309" t="s">
        <v>191</v>
      </c>
      <c r="V309">
        <v>21043</v>
      </c>
    </row>
    <row r="310" spans="1:22">
      <c r="A310">
        <v>5352</v>
      </c>
      <c r="B310" t="s">
        <v>2625</v>
      </c>
      <c r="C310">
        <v>5697</v>
      </c>
      <c r="D310" t="s">
        <v>2344</v>
      </c>
      <c r="E310" t="s">
        <v>2036</v>
      </c>
      <c r="F310">
        <v>202106</v>
      </c>
      <c r="G310" t="s">
        <v>182</v>
      </c>
      <c r="H310">
        <v>320999</v>
      </c>
      <c r="O310">
        <v>5352</v>
      </c>
      <c r="P310" t="s">
        <v>2625</v>
      </c>
      <c r="Q310">
        <v>5697</v>
      </c>
      <c r="R310" t="s">
        <v>2344</v>
      </c>
      <c r="S310" t="s">
        <v>2036</v>
      </c>
      <c r="T310">
        <v>202111</v>
      </c>
      <c r="U310" t="s">
        <v>178</v>
      </c>
      <c r="V310">
        <v>580</v>
      </c>
    </row>
    <row r="311" spans="1:22">
      <c r="A311">
        <v>5352</v>
      </c>
      <c r="B311" t="s">
        <v>2625</v>
      </c>
      <c r="C311">
        <v>5697</v>
      </c>
      <c r="D311" t="s">
        <v>2344</v>
      </c>
      <c r="E311" t="s">
        <v>2036</v>
      </c>
      <c r="F311">
        <v>202106</v>
      </c>
      <c r="G311" t="s">
        <v>184</v>
      </c>
      <c r="H311">
        <v>39304</v>
      </c>
      <c r="O311">
        <v>5352</v>
      </c>
      <c r="P311" t="s">
        <v>2625</v>
      </c>
      <c r="Q311">
        <v>5697</v>
      </c>
      <c r="R311" t="s">
        <v>2344</v>
      </c>
      <c r="S311" t="s">
        <v>2036</v>
      </c>
      <c r="T311">
        <v>202111</v>
      </c>
      <c r="U311" t="s">
        <v>180</v>
      </c>
      <c r="V311">
        <v>580</v>
      </c>
    </row>
    <row r="312" spans="1:22">
      <c r="A312">
        <v>5352</v>
      </c>
      <c r="B312" t="s">
        <v>2625</v>
      </c>
      <c r="C312">
        <v>5697</v>
      </c>
      <c r="D312" t="s">
        <v>2344</v>
      </c>
      <c r="E312" t="s">
        <v>2036</v>
      </c>
      <c r="F312">
        <v>202106</v>
      </c>
      <c r="G312" t="s">
        <v>192</v>
      </c>
      <c r="H312">
        <v>0</v>
      </c>
      <c r="O312">
        <v>5352</v>
      </c>
      <c r="P312" t="s">
        <v>2625</v>
      </c>
      <c r="Q312">
        <v>5697</v>
      </c>
      <c r="R312" t="s">
        <v>2344</v>
      </c>
      <c r="S312" t="s">
        <v>2036</v>
      </c>
      <c r="T312">
        <v>202111</v>
      </c>
      <c r="U312" t="s">
        <v>182</v>
      </c>
      <c r="V312">
        <v>162394</v>
      </c>
    </row>
    <row r="313" spans="1:22">
      <c r="A313">
        <v>5352</v>
      </c>
      <c r="B313" t="s">
        <v>2625</v>
      </c>
      <c r="C313">
        <v>5697</v>
      </c>
      <c r="D313" t="s">
        <v>2344</v>
      </c>
      <c r="E313" t="s">
        <v>2036</v>
      </c>
      <c r="F313">
        <v>202106</v>
      </c>
      <c r="G313" t="s">
        <v>2170</v>
      </c>
      <c r="H313">
        <v>4707.79</v>
      </c>
      <c r="O313">
        <v>5352</v>
      </c>
      <c r="P313" t="s">
        <v>2625</v>
      </c>
      <c r="Q313">
        <v>5697</v>
      </c>
      <c r="R313" t="s">
        <v>2344</v>
      </c>
      <c r="S313" t="s">
        <v>2036</v>
      </c>
      <c r="T313">
        <v>202111</v>
      </c>
      <c r="U313" t="s">
        <v>184</v>
      </c>
      <c r="V313">
        <v>21043</v>
      </c>
    </row>
    <row r="314" spans="1:22">
      <c r="A314">
        <v>5352</v>
      </c>
      <c r="B314" t="s">
        <v>2625</v>
      </c>
      <c r="C314">
        <v>5697</v>
      </c>
      <c r="D314" t="s">
        <v>2344</v>
      </c>
      <c r="E314" t="s">
        <v>2036</v>
      </c>
      <c r="F314">
        <v>202106</v>
      </c>
      <c r="G314" t="s">
        <v>186</v>
      </c>
      <c r="H314">
        <v>0</v>
      </c>
      <c r="O314">
        <v>5352</v>
      </c>
      <c r="P314" t="s">
        <v>2625</v>
      </c>
      <c r="Q314">
        <v>5697</v>
      </c>
      <c r="R314" t="s">
        <v>2344</v>
      </c>
      <c r="S314" t="s">
        <v>2036</v>
      </c>
      <c r="T314">
        <v>202111</v>
      </c>
      <c r="U314" t="s">
        <v>186</v>
      </c>
      <c r="V314">
        <v>0</v>
      </c>
    </row>
    <row r="315" spans="1:22">
      <c r="A315">
        <v>5352</v>
      </c>
      <c r="B315" t="s">
        <v>2625</v>
      </c>
      <c r="C315">
        <v>5697</v>
      </c>
      <c r="D315" t="s">
        <v>2344</v>
      </c>
      <c r="E315" t="s">
        <v>2036</v>
      </c>
      <c r="F315">
        <v>202106</v>
      </c>
      <c r="G315" t="s">
        <v>2169</v>
      </c>
      <c r="H315">
        <v>99.17</v>
      </c>
      <c r="O315">
        <v>5352</v>
      </c>
      <c r="P315" t="s">
        <v>2625</v>
      </c>
      <c r="Q315">
        <v>5697</v>
      </c>
      <c r="R315" t="s">
        <v>2344</v>
      </c>
      <c r="S315" t="s">
        <v>2036</v>
      </c>
      <c r="T315">
        <v>202111</v>
      </c>
      <c r="U315" t="s">
        <v>190</v>
      </c>
      <c r="V315">
        <v>27437</v>
      </c>
    </row>
    <row r="316" spans="1:22">
      <c r="A316">
        <v>5352</v>
      </c>
      <c r="B316" t="s">
        <v>2625</v>
      </c>
      <c r="C316">
        <v>5697</v>
      </c>
      <c r="D316" t="s">
        <v>2344</v>
      </c>
      <c r="E316" t="s">
        <v>2036</v>
      </c>
      <c r="F316">
        <v>202106</v>
      </c>
      <c r="G316" t="s">
        <v>2166</v>
      </c>
      <c r="H316">
        <v>12.33</v>
      </c>
      <c r="O316">
        <v>5352</v>
      </c>
      <c r="P316" t="s">
        <v>2625</v>
      </c>
      <c r="Q316">
        <v>5697</v>
      </c>
      <c r="R316" t="s">
        <v>2344</v>
      </c>
      <c r="S316" t="s">
        <v>2036</v>
      </c>
      <c r="T316">
        <v>202111</v>
      </c>
      <c r="U316" t="s">
        <v>191</v>
      </c>
      <c r="V316">
        <v>4078</v>
      </c>
    </row>
    <row r="317" spans="1:22">
      <c r="A317">
        <v>5352</v>
      </c>
      <c r="B317" t="s">
        <v>2625</v>
      </c>
      <c r="C317">
        <v>5697</v>
      </c>
      <c r="D317" t="s">
        <v>2344</v>
      </c>
      <c r="E317" t="s">
        <v>2036</v>
      </c>
      <c r="F317">
        <v>202106</v>
      </c>
      <c r="G317" t="s">
        <v>2167</v>
      </c>
      <c r="H317">
        <v>23.94</v>
      </c>
      <c r="O317">
        <v>5352</v>
      </c>
      <c r="P317" t="s">
        <v>2625</v>
      </c>
      <c r="Q317">
        <v>5697</v>
      </c>
      <c r="R317" t="s">
        <v>2344</v>
      </c>
      <c r="S317" t="s">
        <v>2036</v>
      </c>
      <c r="T317">
        <v>202111</v>
      </c>
      <c r="U317" t="s">
        <v>178</v>
      </c>
      <c r="V317">
        <v>96</v>
      </c>
    </row>
    <row r="318" spans="1:22">
      <c r="A318">
        <v>5352</v>
      </c>
      <c r="B318" t="s">
        <v>2625</v>
      </c>
      <c r="C318">
        <v>5697</v>
      </c>
      <c r="D318" t="s">
        <v>2344</v>
      </c>
      <c r="E318" t="s">
        <v>2036</v>
      </c>
      <c r="F318">
        <v>202106</v>
      </c>
      <c r="G318" t="s">
        <v>2168</v>
      </c>
      <c r="H318">
        <v>10.17</v>
      </c>
      <c r="O318">
        <v>5352</v>
      </c>
      <c r="P318" t="s">
        <v>2625</v>
      </c>
      <c r="Q318">
        <v>5697</v>
      </c>
      <c r="R318" t="s">
        <v>2344</v>
      </c>
      <c r="S318" t="s">
        <v>2036</v>
      </c>
      <c r="T318">
        <v>202111</v>
      </c>
      <c r="U318" t="s">
        <v>180</v>
      </c>
      <c r="V318">
        <v>107</v>
      </c>
    </row>
    <row r="319" spans="1:22">
      <c r="A319">
        <v>5352</v>
      </c>
      <c r="B319" t="s">
        <v>2625</v>
      </c>
      <c r="C319">
        <v>5697</v>
      </c>
      <c r="D319" t="s">
        <v>2344</v>
      </c>
      <c r="E319" t="s">
        <v>2036</v>
      </c>
      <c r="F319">
        <v>202106</v>
      </c>
      <c r="G319" t="s">
        <v>2171</v>
      </c>
      <c r="H319">
        <v>70775.53</v>
      </c>
      <c r="O319">
        <v>5352</v>
      </c>
      <c r="P319" t="s">
        <v>2625</v>
      </c>
      <c r="Q319">
        <v>5697</v>
      </c>
      <c r="R319" t="s">
        <v>2344</v>
      </c>
      <c r="S319" t="s">
        <v>2036</v>
      </c>
      <c r="T319">
        <v>202111</v>
      </c>
      <c r="U319" t="s">
        <v>182</v>
      </c>
      <c r="V319">
        <v>27437</v>
      </c>
    </row>
    <row r="320" spans="1:22">
      <c r="A320">
        <v>5352</v>
      </c>
      <c r="B320" t="s">
        <v>2625</v>
      </c>
      <c r="C320">
        <v>5697</v>
      </c>
      <c r="D320" t="s">
        <v>2344</v>
      </c>
      <c r="E320" t="s">
        <v>2036</v>
      </c>
      <c r="F320">
        <v>202106</v>
      </c>
      <c r="G320" t="s">
        <v>190</v>
      </c>
      <c r="H320">
        <v>154241</v>
      </c>
      <c r="O320">
        <v>5352</v>
      </c>
      <c r="P320" t="s">
        <v>2625</v>
      </c>
      <c r="Q320">
        <v>5697</v>
      </c>
      <c r="R320" t="s">
        <v>2344</v>
      </c>
      <c r="S320" t="s">
        <v>2036</v>
      </c>
      <c r="T320">
        <v>202111</v>
      </c>
      <c r="U320" t="s">
        <v>184</v>
      </c>
      <c r="V320">
        <v>4078</v>
      </c>
    </row>
    <row r="321" spans="1:22">
      <c r="A321">
        <v>5352</v>
      </c>
      <c r="B321" t="s">
        <v>2625</v>
      </c>
      <c r="C321">
        <v>5697</v>
      </c>
      <c r="D321" t="s">
        <v>2344</v>
      </c>
      <c r="E321" t="s">
        <v>2036</v>
      </c>
      <c r="F321">
        <v>202106</v>
      </c>
      <c r="G321" t="s">
        <v>191</v>
      </c>
      <c r="H321">
        <v>21005</v>
      </c>
      <c r="O321">
        <v>5352</v>
      </c>
      <c r="P321" t="s">
        <v>2625</v>
      </c>
      <c r="Q321">
        <v>5697</v>
      </c>
      <c r="R321" t="s">
        <v>2344</v>
      </c>
      <c r="S321" t="s">
        <v>2036</v>
      </c>
      <c r="T321">
        <v>202111</v>
      </c>
      <c r="U321" t="s">
        <v>186</v>
      </c>
      <c r="V321">
        <v>0</v>
      </c>
    </row>
    <row r="322" spans="1:22">
      <c r="A322">
        <v>5352</v>
      </c>
      <c r="B322" t="s">
        <v>2625</v>
      </c>
      <c r="C322">
        <v>5697</v>
      </c>
      <c r="D322" t="s">
        <v>2344</v>
      </c>
      <c r="E322" t="s">
        <v>2036</v>
      </c>
      <c r="F322">
        <v>202106</v>
      </c>
      <c r="G322" t="s">
        <v>176</v>
      </c>
      <c r="H322">
        <v>-2331</v>
      </c>
      <c r="O322">
        <v>5352</v>
      </c>
      <c r="P322" t="s">
        <v>2625</v>
      </c>
      <c r="Q322">
        <v>5697</v>
      </c>
      <c r="R322" t="s">
        <v>2344</v>
      </c>
      <c r="S322" t="s">
        <v>2036</v>
      </c>
      <c r="T322">
        <v>202111</v>
      </c>
      <c r="U322" t="s">
        <v>190</v>
      </c>
      <c r="V322">
        <v>127641</v>
      </c>
    </row>
    <row r="323" spans="1:22">
      <c r="A323">
        <v>5352</v>
      </c>
      <c r="B323" t="s">
        <v>2625</v>
      </c>
      <c r="C323">
        <v>5697</v>
      </c>
      <c r="D323" t="s">
        <v>2344</v>
      </c>
      <c r="E323" t="s">
        <v>2036</v>
      </c>
      <c r="F323">
        <v>202106</v>
      </c>
      <c r="G323" t="s">
        <v>178</v>
      </c>
      <c r="H323">
        <v>600</v>
      </c>
      <c r="O323">
        <v>5352</v>
      </c>
      <c r="P323" t="s">
        <v>2625</v>
      </c>
      <c r="Q323">
        <v>5697</v>
      </c>
      <c r="R323" t="s">
        <v>2344</v>
      </c>
      <c r="S323" t="s">
        <v>2036</v>
      </c>
      <c r="T323">
        <v>202111</v>
      </c>
      <c r="U323" t="s">
        <v>191</v>
      </c>
      <c r="V323">
        <v>16022</v>
      </c>
    </row>
    <row r="324" spans="1:22">
      <c r="A324">
        <v>5352</v>
      </c>
      <c r="B324" t="s">
        <v>2625</v>
      </c>
      <c r="C324">
        <v>5697</v>
      </c>
      <c r="D324" t="s">
        <v>2344</v>
      </c>
      <c r="E324" t="s">
        <v>2036</v>
      </c>
      <c r="F324">
        <v>202106</v>
      </c>
      <c r="G324" t="s">
        <v>180</v>
      </c>
      <c r="H324">
        <v>600</v>
      </c>
      <c r="O324">
        <v>5352</v>
      </c>
      <c r="P324" t="s">
        <v>2625</v>
      </c>
      <c r="Q324">
        <v>5697</v>
      </c>
      <c r="R324" t="s">
        <v>2344</v>
      </c>
      <c r="S324" t="s">
        <v>2036</v>
      </c>
      <c r="T324">
        <v>202111</v>
      </c>
      <c r="U324" t="s">
        <v>178</v>
      </c>
      <c r="V324">
        <v>450</v>
      </c>
    </row>
    <row r="325" spans="1:22">
      <c r="A325">
        <v>5352</v>
      </c>
      <c r="B325" t="s">
        <v>2625</v>
      </c>
      <c r="C325">
        <v>5697</v>
      </c>
      <c r="D325" t="s">
        <v>2344</v>
      </c>
      <c r="E325" t="s">
        <v>2036</v>
      </c>
      <c r="F325">
        <v>202106</v>
      </c>
      <c r="G325" t="s">
        <v>182</v>
      </c>
      <c r="H325">
        <v>154241</v>
      </c>
      <c r="O325">
        <v>5352</v>
      </c>
      <c r="P325" t="s">
        <v>2625</v>
      </c>
      <c r="Q325">
        <v>5697</v>
      </c>
      <c r="R325" t="s">
        <v>2344</v>
      </c>
      <c r="S325" t="s">
        <v>2036</v>
      </c>
      <c r="T325">
        <v>202111</v>
      </c>
      <c r="U325" t="s">
        <v>180</v>
      </c>
      <c r="V325">
        <v>450</v>
      </c>
    </row>
    <row r="326" spans="1:22">
      <c r="A326">
        <v>5352</v>
      </c>
      <c r="B326" t="s">
        <v>2625</v>
      </c>
      <c r="C326">
        <v>5697</v>
      </c>
      <c r="D326" t="s">
        <v>2344</v>
      </c>
      <c r="E326" t="s">
        <v>2036</v>
      </c>
      <c r="F326">
        <v>202106</v>
      </c>
      <c r="G326" t="s">
        <v>184</v>
      </c>
      <c r="H326">
        <v>21005</v>
      </c>
      <c r="O326">
        <v>5352</v>
      </c>
      <c r="P326" t="s">
        <v>2625</v>
      </c>
      <c r="Q326">
        <v>5697</v>
      </c>
      <c r="R326" t="s">
        <v>2344</v>
      </c>
      <c r="S326" t="s">
        <v>2036</v>
      </c>
      <c r="T326">
        <v>202111</v>
      </c>
      <c r="U326" t="s">
        <v>182</v>
      </c>
      <c r="V326">
        <v>127641</v>
      </c>
    </row>
    <row r="327" spans="1:22">
      <c r="A327">
        <v>5352</v>
      </c>
      <c r="B327" t="s">
        <v>2625</v>
      </c>
      <c r="C327">
        <v>5697</v>
      </c>
      <c r="D327" t="s">
        <v>2344</v>
      </c>
      <c r="E327" t="s">
        <v>2036</v>
      </c>
      <c r="F327">
        <v>202106</v>
      </c>
      <c r="G327" t="s">
        <v>192</v>
      </c>
      <c r="H327">
        <v>0</v>
      </c>
      <c r="O327">
        <v>5352</v>
      </c>
      <c r="P327" t="s">
        <v>2625</v>
      </c>
      <c r="Q327">
        <v>5697</v>
      </c>
      <c r="R327" t="s">
        <v>2344</v>
      </c>
      <c r="S327" t="s">
        <v>2036</v>
      </c>
      <c r="T327">
        <v>202111</v>
      </c>
      <c r="U327" t="s">
        <v>184</v>
      </c>
      <c r="V327">
        <v>16022</v>
      </c>
    </row>
    <row r="328" spans="1:22">
      <c r="A328">
        <v>5352</v>
      </c>
      <c r="B328" t="s">
        <v>2625</v>
      </c>
      <c r="C328">
        <v>5697</v>
      </c>
      <c r="D328" t="s">
        <v>2344</v>
      </c>
      <c r="E328" t="s">
        <v>2036</v>
      </c>
      <c r="F328">
        <v>202106</v>
      </c>
      <c r="G328" t="s">
        <v>2170</v>
      </c>
      <c r="H328">
        <v>2709.61</v>
      </c>
      <c r="O328">
        <v>5352</v>
      </c>
      <c r="P328" t="s">
        <v>2625</v>
      </c>
      <c r="Q328">
        <v>5697</v>
      </c>
      <c r="R328" t="s">
        <v>2344</v>
      </c>
      <c r="S328" t="s">
        <v>2036</v>
      </c>
      <c r="T328">
        <v>202111</v>
      </c>
      <c r="U328" t="s">
        <v>186</v>
      </c>
      <c r="V328">
        <v>0</v>
      </c>
    </row>
    <row r="329" spans="1:22">
      <c r="A329">
        <v>5352</v>
      </c>
      <c r="B329" t="s">
        <v>2625</v>
      </c>
      <c r="C329">
        <v>5697</v>
      </c>
      <c r="D329" t="s">
        <v>2344</v>
      </c>
      <c r="E329" t="s">
        <v>2036</v>
      </c>
      <c r="F329">
        <v>202106</v>
      </c>
      <c r="G329" t="s">
        <v>186</v>
      </c>
      <c r="H329">
        <v>0</v>
      </c>
      <c r="O329">
        <v>5352</v>
      </c>
      <c r="P329" t="s">
        <v>2625</v>
      </c>
      <c r="Q329">
        <v>5697</v>
      </c>
      <c r="R329" t="s">
        <v>2344</v>
      </c>
      <c r="S329" t="s">
        <v>2036</v>
      </c>
      <c r="T329">
        <v>202111</v>
      </c>
      <c r="U329" t="s">
        <v>190</v>
      </c>
      <c r="V329">
        <v>102457</v>
      </c>
    </row>
    <row r="330" spans="1:22">
      <c r="A330">
        <v>5352</v>
      </c>
      <c r="B330" t="s">
        <v>2625</v>
      </c>
      <c r="C330">
        <v>5697</v>
      </c>
      <c r="D330" t="s">
        <v>2344</v>
      </c>
      <c r="E330" t="s">
        <v>2036</v>
      </c>
      <c r="F330">
        <v>202106</v>
      </c>
      <c r="G330" t="s">
        <v>2169</v>
      </c>
      <c r="H330">
        <v>99.17</v>
      </c>
      <c r="O330">
        <v>5352</v>
      </c>
      <c r="P330" t="s">
        <v>2625</v>
      </c>
      <c r="Q330">
        <v>5697</v>
      </c>
      <c r="R330" t="s">
        <v>2344</v>
      </c>
      <c r="S330" t="s">
        <v>2036</v>
      </c>
      <c r="T330">
        <v>202111</v>
      </c>
      <c r="U330" t="s">
        <v>191</v>
      </c>
      <c r="V330">
        <v>13227</v>
      </c>
    </row>
    <row r="331" spans="1:22">
      <c r="A331">
        <v>5352</v>
      </c>
      <c r="B331" t="s">
        <v>2625</v>
      </c>
      <c r="C331">
        <v>5697</v>
      </c>
      <c r="D331" t="s">
        <v>2344</v>
      </c>
      <c r="E331" t="s">
        <v>2036</v>
      </c>
      <c r="F331">
        <v>202106</v>
      </c>
      <c r="G331" t="s">
        <v>2166</v>
      </c>
      <c r="H331">
        <v>12.33</v>
      </c>
      <c r="O331">
        <v>5352</v>
      </c>
      <c r="P331" t="s">
        <v>2625</v>
      </c>
      <c r="Q331">
        <v>5697</v>
      </c>
      <c r="R331" t="s">
        <v>2344</v>
      </c>
      <c r="S331" t="s">
        <v>2036</v>
      </c>
      <c r="T331">
        <v>202111</v>
      </c>
      <c r="U331" t="s">
        <v>178</v>
      </c>
      <c r="V331">
        <v>320</v>
      </c>
    </row>
    <row r="332" spans="1:22">
      <c r="A332">
        <v>5352</v>
      </c>
      <c r="B332" t="s">
        <v>2625</v>
      </c>
      <c r="C332">
        <v>5697</v>
      </c>
      <c r="D332" t="s">
        <v>2344</v>
      </c>
      <c r="E332" t="s">
        <v>2036</v>
      </c>
      <c r="F332">
        <v>202106</v>
      </c>
      <c r="G332" t="s">
        <v>2167</v>
      </c>
      <c r="H332">
        <v>23.94</v>
      </c>
      <c r="O332">
        <v>5352</v>
      </c>
      <c r="P332" t="s">
        <v>2625</v>
      </c>
      <c r="Q332">
        <v>5697</v>
      </c>
      <c r="R332" t="s">
        <v>2344</v>
      </c>
      <c r="S332" t="s">
        <v>2036</v>
      </c>
      <c r="T332">
        <v>202111</v>
      </c>
      <c r="U332" t="s">
        <v>180</v>
      </c>
      <c r="V332">
        <v>320</v>
      </c>
    </row>
    <row r="333" spans="1:22">
      <c r="A333">
        <v>5352</v>
      </c>
      <c r="B333" t="s">
        <v>2625</v>
      </c>
      <c r="C333">
        <v>5697</v>
      </c>
      <c r="D333" t="s">
        <v>2344</v>
      </c>
      <c r="E333" t="s">
        <v>2036</v>
      </c>
      <c r="F333">
        <v>202106</v>
      </c>
      <c r="G333" t="s">
        <v>2168</v>
      </c>
      <c r="H333">
        <v>10.17</v>
      </c>
      <c r="O333">
        <v>5352</v>
      </c>
      <c r="P333" t="s">
        <v>2625</v>
      </c>
      <c r="Q333">
        <v>5697</v>
      </c>
      <c r="R333" t="s">
        <v>2344</v>
      </c>
      <c r="S333" t="s">
        <v>2036</v>
      </c>
      <c r="T333">
        <v>202111</v>
      </c>
      <c r="U333" t="s">
        <v>182</v>
      </c>
      <c r="V333">
        <v>102457</v>
      </c>
    </row>
    <row r="334" spans="1:22">
      <c r="A334">
        <v>5352</v>
      </c>
      <c r="B334" t="s">
        <v>2625</v>
      </c>
      <c r="C334">
        <v>5697</v>
      </c>
      <c r="D334" t="s">
        <v>2344</v>
      </c>
      <c r="E334" t="s">
        <v>2036</v>
      </c>
      <c r="F334">
        <v>202106</v>
      </c>
      <c r="G334" t="s">
        <v>2171</v>
      </c>
      <c r="H334">
        <v>41301.99</v>
      </c>
      <c r="O334">
        <v>5352</v>
      </c>
      <c r="P334" t="s">
        <v>2625</v>
      </c>
      <c r="Q334">
        <v>5697</v>
      </c>
      <c r="R334" t="s">
        <v>2344</v>
      </c>
      <c r="S334" t="s">
        <v>2036</v>
      </c>
      <c r="T334">
        <v>202111</v>
      </c>
      <c r="U334" t="s">
        <v>184</v>
      </c>
      <c r="V334">
        <v>13227</v>
      </c>
    </row>
    <row r="335" spans="1:22">
      <c r="A335">
        <v>5352</v>
      </c>
      <c r="B335" t="s">
        <v>2625</v>
      </c>
      <c r="C335">
        <v>5697</v>
      </c>
      <c r="D335" t="s">
        <v>2344</v>
      </c>
      <c r="E335" t="s">
        <v>2036</v>
      </c>
      <c r="F335">
        <v>202107</v>
      </c>
      <c r="G335" t="s">
        <v>190</v>
      </c>
      <c r="H335">
        <v>191664</v>
      </c>
      <c r="O335">
        <v>5352</v>
      </c>
      <c r="P335" t="s">
        <v>2625</v>
      </c>
      <c r="Q335">
        <v>5697</v>
      </c>
      <c r="R335" t="s">
        <v>2344</v>
      </c>
      <c r="S335" t="s">
        <v>2036</v>
      </c>
      <c r="T335">
        <v>202111</v>
      </c>
      <c r="U335" t="s">
        <v>186</v>
      </c>
      <c r="V335">
        <v>0</v>
      </c>
    </row>
    <row r="336" spans="1:22">
      <c r="A336">
        <v>5352</v>
      </c>
      <c r="B336" t="s">
        <v>2625</v>
      </c>
      <c r="C336">
        <v>5697</v>
      </c>
      <c r="D336" t="s">
        <v>2344</v>
      </c>
      <c r="E336" t="s">
        <v>2036</v>
      </c>
      <c r="F336">
        <v>202107</v>
      </c>
      <c r="G336" t="s">
        <v>191</v>
      </c>
      <c r="H336">
        <v>28139</v>
      </c>
      <c r="O336">
        <v>5352</v>
      </c>
      <c r="P336" t="s">
        <v>2625</v>
      </c>
      <c r="Q336">
        <v>5697</v>
      </c>
      <c r="R336" t="s">
        <v>2344</v>
      </c>
      <c r="S336" t="s">
        <v>2036</v>
      </c>
      <c r="T336">
        <v>202111</v>
      </c>
      <c r="U336" t="s">
        <v>190</v>
      </c>
      <c r="V336">
        <v>280690</v>
      </c>
    </row>
    <row r="337" spans="1:22">
      <c r="A337">
        <v>5352</v>
      </c>
      <c r="B337" t="s">
        <v>2625</v>
      </c>
      <c r="C337">
        <v>5697</v>
      </c>
      <c r="D337" t="s">
        <v>2344</v>
      </c>
      <c r="E337" t="s">
        <v>2036</v>
      </c>
      <c r="F337">
        <v>202107</v>
      </c>
      <c r="G337" t="s">
        <v>176</v>
      </c>
      <c r="H337">
        <v>0</v>
      </c>
      <c r="O337">
        <v>5352</v>
      </c>
      <c r="P337" t="s">
        <v>2625</v>
      </c>
      <c r="Q337">
        <v>5697</v>
      </c>
      <c r="R337" t="s">
        <v>2344</v>
      </c>
      <c r="S337" t="s">
        <v>2036</v>
      </c>
      <c r="T337">
        <v>202111</v>
      </c>
      <c r="U337" t="s">
        <v>191</v>
      </c>
      <c r="V337">
        <v>35017</v>
      </c>
    </row>
    <row r="338" spans="1:22">
      <c r="A338">
        <v>5352</v>
      </c>
      <c r="B338" t="s">
        <v>2625</v>
      </c>
      <c r="C338">
        <v>5697</v>
      </c>
      <c r="D338" t="s">
        <v>2344</v>
      </c>
      <c r="E338" t="s">
        <v>2036</v>
      </c>
      <c r="F338">
        <v>202107</v>
      </c>
      <c r="G338" t="s">
        <v>178</v>
      </c>
      <c r="H338">
        <v>1300</v>
      </c>
      <c r="O338">
        <v>5352</v>
      </c>
      <c r="P338" t="s">
        <v>2625</v>
      </c>
      <c r="Q338">
        <v>5697</v>
      </c>
      <c r="R338" t="s">
        <v>2344</v>
      </c>
      <c r="S338" t="s">
        <v>2036</v>
      </c>
      <c r="T338">
        <v>202111</v>
      </c>
      <c r="U338" t="s">
        <v>178</v>
      </c>
      <c r="V338">
        <v>820</v>
      </c>
    </row>
    <row r="339" spans="1:22">
      <c r="A339">
        <v>5352</v>
      </c>
      <c r="B339" t="s">
        <v>2625</v>
      </c>
      <c r="C339">
        <v>5697</v>
      </c>
      <c r="D339" t="s">
        <v>2344</v>
      </c>
      <c r="E339" t="s">
        <v>2036</v>
      </c>
      <c r="F339">
        <v>202107</v>
      </c>
      <c r="G339" t="s">
        <v>180</v>
      </c>
      <c r="H339">
        <v>1350</v>
      </c>
      <c r="O339">
        <v>5352</v>
      </c>
      <c r="P339" t="s">
        <v>2625</v>
      </c>
      <c r="Q339">
        <v>5697</v>
      </c>
      <c r="R339" t="s">
        <v>2344</v>
      </c>
      <c r="S339" t="s">
        <v>2036</v>
      </c>
      <c r="T339">
        <v>202111</v>
      </c>
      <c r="U339" t="s">
        <v>180</v>
      </c>
      <c r="V339">
        <v>820</v>
      </c>
    </row>
    <row r="340" spans="1:22">
      <c r="A340">
        <v>5352</v>
      </c>
      <c r="B340" t="s">
        <v>2625</v>
      </c>
      <c r="C340">
        <v>5697</v>
      </c>
      <c r="D340" t="s">
        <v>2344</v>
      </c>
      <c r="E340" t="s">
        <v>2036</v>
      </c>
      <c r="F340">
        <v>202107</v>
      </c>
      <c r="G340" t="s">
        <v>182</v>
      </c>
      <c r="H340">
        <v>191664</v>
      </c>
      <c r="O340">
        <v>5352</v>
      </c>
      <c r="P340" t="s">
        <v>2625</v>
      </c>
      <c r="Q340">
        <v>5697</v>
      </c>
      <c r="R340" t="s">
        <v>2344</v>
      </c>
      <c r="S340" t="s">
        <v>2036</v>
      </c>
      <c r="T340">
        <v>202111</v>
      </c>
      <c r="U340" t="s">
        <v>182</v>
      </c>
      <c r="V340">
        <v>280690</v>
      </c>
    </row>
    <row r="341" spans="1:22">
      <c r="A341">
        <v>5352</v>
      </c>
      <c r="B341" t="s">
        <v>2625</v>
      </c>
      <c r="C341">
        <v>5697</v>
      </c>
      <c r="D341" t="s">
        <v>2344</v>
      </c>
      <c r="E341" t="s">
        <v>2036</v>
      </c>
      <c r="F341">
        <v>202107</v>
      </c>
      <c r="G341" t="s">
        <v>184</v>
      </c>
      <c r="H341">
        <v>28139</v>
      </c>
      <c r="O341">
        <v>5352</v>
      </c>
      <c r="P341" t="s">
        <v>2625</v>
      </c>
      <c r="Q341">
        <v>5697</v>
      </c>
      <c r="R341" t="s">
        <v>2344</v>
      </c>
      <c r="S341" t="s">
        <v>2036</v>
      </c>
      <c r="T341">
        <v>202111</v>
      </c>
      <c r="U341" t="s">
        <v>184</v>
      </c>
      <c r="V341">
        <v>35017</v>
      </c>
    </row>
    <row r="342" spans="1:22">
      <c r="A342">
        <v>5352</v>
      </c>
      <c r="B342" t="s">
        <v>2625</v>
      </c>
      <c r="C342">
        <v>5697</v>
      </c>
      <c r="D342" t="s">
        <v>2344</v>
      </c>
      <c r="E342" t="s">
        <v>2036</v>
      </c>
      <c r="F342">
        <v>202107</v>
      </c>
      <c r="G342" t="s">
        <v>192</v>
      </c>
      <c r="H342">
        <v>0</v>
      </c>
      <c r="O342">
        <v>5352</v>
      </c>
      <c r="P342" t="s">
        <v>2625</v>
      </c>
      <c r="Q342">
        <v>5697</v>
      </c>
      <c r="R342" t="s">
        <v>2344</v>
      </c>
      <c r="S342" t="s">
        <v>2036</v>
      </c>
      <c r="T342">
        <v>202111</v>
      </c>
      <c r="U342" t="s">
        <v>186</v>
      </c>
      <c r="V342">
        <v>0</v>
      </c>
    </row>
    <row r="343" spans="1:22">
      <c r="A343">
        <v>5352</v>
      </c>
      <c r="B343" t="s">
        <v>2625</v>
      </c>
      <c r="C343">
        <v>5697</v>
      </c>
      <c r="D343" t="s">
        <v>2344</v>
      </c>
      <c r="E343" t="s">
        <v>2036</v>
      </c>
      <c r="F343">
        <v>202107</v>
      </c>
      <c r="G343" t="s">
        <v>2170</v>
      </c>
      <c r="H343">
        <v>2431.42</v>
      </c>
      <c r="O343">
        <v>5352</v>
      </c>
      <c r="P343" t="s">
        <v>2625</v>
      </c>
      <c r="Q343">
        <v>5697</v>
      </c>
      <c r="R343" t="s">
        <v>2344</v>
      </c>
      <c r="S343" t="s">
        <v>2036</v>
      </c>
      <c r="T343">
        <v>202111</v>
      </c>
      <c r="U343" t="s">
        <v>190</v>
      </c>
      <c r="V343">
        <v>141800</v>
      </c>
    </row>
    <row r="344" spans="1:22">
      <c r="A344">
        <v>5352</v>
      </c>
      <c r="B344" t="s">
        <v>2625</v>
      </c>
      <c r="C344">
        <v>5697</v>
      </c>
      <c r="D344" t="s">
        <v>2344</v>
      </c>
      <c r="E344" t="s">
        <v>2036</v>
      </c>
      <c r="F344">
        <v>202107</v>
      </c>
      <c r="G344" t="s">
        <v>186</v>
      </c>
      <c r="H344">
        <v>0</v>
      </c>
      <c r="O344">
        <v>5352</v>
      </c>
      <c r="P344" t="s">
        <v>2625</v>
      </c>
      <c r="Q344">
        <v>5697</v>
      </c>
      <c r="R344" t="s">
        <v>2344</v>
      </c>
      <c r="S344" t="s">
        <v>2036</v>
      </c>
      <c r="T344">
        <v>202111</v>
      </c>
      <c r="U344" t="s">
        <v>191</v>
      </c>
      <c r="V344">
        <v>18664</v>
      </c>
    </row>
    <row r="345" spans="1:22">
      <c r="A345">
        <v>5352</v>
      </c>
      <c r="B345" t="s">
        <v>2625</v>
      </c>
      <c r="C345">
        <v>5697</v>
      </c>
      <c r="D345" t="s">
        <v>2344</v>
      </c>
      <c r="E345" t="s">
        <v>2036</v>
      </c>
      <c r="F345">
        <v>202107</v>
      </c>
      <c r="G345" t="s">
        <v>2169</v>
      </c>
      <c r="H345">
        <v>99.17</v>
      </c>
      <c r="O345">
        <v>5352</v>
      </c>
      <c r="P345" t="s">
        <v>2625</v>
      </c>
      <c r="Q345">
        <v>5697</v>
      </c>
      <c r="R345" t="s">
        <v>2344</v>
      </c>
      <c r="S345" t="s">
        <v>2036</v>
      </c>
      <c r="T345">
        <v>202111</v>
      </c>
      <c r="U345" t="s">
        <v>178</v>
      </c>
      <c r="V345">
        <v>600</v>
      </c>
    </row>
    <row r="346" spans="1:22">
      <c r="A346">
        <v>5352</v>
      </c>
      <c r="B346" t="s">
        <v>2625</v>
      </c>
      <c r="C346">
        <v>5697</v>
      </c>
      <c r="D346" t="s">
        <v>2344</v>
      </c>
      <c r="E346" t="s">
        <v>2036</v>
      </c>
      <c r="F346">
        <v>202107</v>
      </c>
      <c r="G346" t="s">
        <v>2166</v>
      </c>
      <c r="H346">
        <v>12.33</v>
      </c>
      <c r="O346">
        <v>5352</v>
      </c>
      <c r="P346" t="s">
        <v>2625</v>
      </c>
      <c r="Q346">
        <v>5697</v>
      </c>
      <c r="R346" t="s">
        <v>2344</v>
      </c>
      <c r="S346" t="s">
        <v>2036</v>
      </c>
      <c r="T346">
        <v>202111</v>
      </c>
      <c r="U346" t="s">
        <v>180</v>
      </c>
      <c r="V346">
        <v>600</v>
      </c>
    </row>
    <row r="347" spans="1:22">
      <c r="A347">
        <v>5352</v>
      </c>
      <c r="B347" t="s">
        <v>2625</v>
      </c>
      <c r="C347">
        <v>5697</v>
      </c>
      <c r="D347" t="s">
        <v>2344</v>
      </c>
      <c r="E347" t="s">
        <v>2036</v>
      </c>
      <c r="F347">
        <v>202107</v>
      </c>
      <c r="G347" t="s">
        <v>2167</v>
      </c>
      <c r="H347">
        <v>23.94</v>
      </c>
      <c r="O347">
        <v>5352</v>
      </c>
      <c r="P347" t="s">
        <v>2625</v>
      </c>
      <c r="Q347">
        <v>5697</v>
      </c>
      <c r="R347" t="s">
        <v>2344</v>
      </c>
      <c r="S347" t="s">
        <v>2036</v>
      </c>
      <c r="T347">
        <v>202111</v>
      </c>
      <c r="U347" t="s">
        <v>182</v>
      </c>
      <c r="V347">
        <v>141800</v>
      </c>
    </row>
    <row r="348" spans="1:22">
      <c r="A348">
        <v>5352</v>
      </c>
      <c r="B348" t="s">
        <v>2625</v>
      </c>
      <c r="C348">
        <v>5697</v>
      </c>
      <c r="D348" t="s">
        <v>2344</v>
      </c>
      <c r="E348" t="s">
        <v>2036</v>
      </c>
      <c r="F348">
        <v>202107</v>
      </c>
      <c r="G348" t="s">
        <v>2168</v>
      </c>
      <c r="H348">
        <v>10.17</v>
      </c>
      <c r="O348">
        <v>5352</v>
      </c>
      <c r="P348" t="s">
        <v>2625</v>
      </c>
      <c r="Q348">
        <v>5697</v>
      </c>
      <c r="R348" t="s">
        <v>2344</v>
      </c>
      <c r="S348" t="s">
        <v>2036</v>
      </c>
      <c r="T348">
        <v>202111</v>
      </c>
      <c r="U348" t="s">
        <v>184</v>
      </c>
      <c r="V348">
        <v>18664</v>
      </c>
    </row>
    <row r="349" spans="1:22">
      <c r="A349">
        <v>5352</v>
      </c>
      <c r="B349" t="s">
        <v>2625</v>
      </c>
      <c r="C349">
        <v>5697</v>
      </c>
      <c r="D349" t="s">
        <v>2344</v>
      </c>
      <c r="E349" t="s">
        <v>2036</v>
      </c>
      <c r="F349">
        <v>202107</v>
      </c>
      <c r="G349" t="s">
        <v>2171</v>
      </c>
      <c r="H349">
        <v>74812.66</v>
      </c>
      <c r="O349">
        <v>5352</v>
      </c>
      <c r="P349" t="s">
        <v>2625</v>
      </c>
      <c r="Q349">
        <v>5697</v>
      </c>
      <c r="R349" t="s">
        <v>2344</v>
      </c>
      <c r="S349" t="s">
        <v>2036</v>
      </c>
      <c r="T349">
        <v>202111</v>
      </c>
      <c r="U349" t="s">
        <v>186</v>
      </c>
      <c r="V349">
        <v>0</v>
      </c>
    </row>
    <row r="350" spans="1:22">
      <c r="A350">
        <v>5352</v>
      </c>
      <c r="B350" t="s">
        <v>2625</v>
      </c>
      <c r="C350">
        <v>5697</v>
      </c>
      <c r="D350" t="s">
        <v>2344</v>
      </c>
      <c r="E350" t="s">
        <v>2036</v>
      </c>
      <c r="F350">
        <v>202107</v>
      </c>
      <c r="G350" t="s">
        <v>190</v>
      </c>
      <c r="H350">
        <v>182490</v>
      </c>
      <c r="O350">
        <v>5352</v>
      </c>
      <c r="P350" t="s">
        <v>2625</v>
      </c>
      <c r="Q350">
        <v>5697</v>
      </c>
      <c r="R350" t="s">
        <v>2344</v>
      </c>
      <c r="S350" t="s">
        <v>2036</v>
      </c>
      <c r="T350">
        <v>202111</v>
      </c>
      <c r="U350" t="s">
        <v>190</v>
      </c>
      <c r="V350">
        <v>256958</v>
      </c>
    </row>
    <row r="351" spans="1:22">
      <c r="A351">
        <v>5352</v>
      </c>
      <c r="B351" t="s">
        <v>2625</v>
      </c>
      <c r="C351">
        <v>5697</v>
      </c>
      <c r="D351" t="s">
        <v>2344</v>
      </c>
      <c r="E351" t="s">
        <v>2036</v>
      </c>
      <c r="F351">
        <v>202107</v>
      </c>
      <c r="G351" t="s">
        <v>191</v>
      </c>
      <c r="H351">
        <v>27407</v>
      </c>
      <c r="O351">
        <v>5352</v>
      </c>
      <c r="P351" t="s">
        <v>2625</v>
      </c>
      <c r="Q351">
        <v>5697</v>
      </c>
      <c r="R351" t="s">
        <v>2344</v>
      </c>
      <c r="S351" t="s">
        <v>2036</v>
      </c>
      <c r="T351">
        <v>202111</v>
      </c>
      <c r="U351" t="s">
        <v>191</v>
      </c>
      <c r="V351">
        <v>32241</v>
      </c>
    </row>
    <row r="352" spans="1:22">
      <c r="A352">
        <v>5352</v>
      </c>
      <c r="B352" t="s">
        <v>2625</v>
      </c>
      <c r="C352">
        <v>5697</v>
      </c>
      <c r="D352" t="s">
        <v>2344</v>
      </c>
      <c r="E352" t="s">
        <v>2036</v>
      </c>
      <c r="F352">
        <v>202107</v>
      </c>
      <c r="G352" t="s">
        <v>176</v>
      </c>
      <c r="H352">
        <v>0</v>
      </c>
      <c r="O352">
        <v>5352</v>
      </c>
      <c r="P352" t="s">
        <v>2625</v>
      </c>
      <c r="Q352">
        <v>5697</v>
      </c>
      <c r="R352" t="s">
        <v>2344</v>
      </c>
      <c r="S352" t="s">
        <v>2036</v>
      </c>
      <c r="T352">
        <v>202111</v>
      </c>
      <c r="U352" t="s">
        <v>178</v>
      </c>
      <c r="V352">
        <v>735</v>
      </c>
    </row>
    <row r="353" spans="1:22">
      <c r="A353">
        <v>5352</v>
      </c>
      <c r="B353" t="s">
        <v>2625</v>
      </c>
      <c r="C353">
        <v>5697</v>
      </c>
      <c r="D353" t="s">
        <v>2344</v>
      </c>
      <c r="E353" t="s">
        <v>2036</v>
      </c>
      <c r="F353">
        <v>202107</v>
      </c>
      <c r="G353" t="s">
        <v>178</v>
      </c>
      <c r="H353">
        <v>810</v>
      </c>
      <c r="O353">
        <v>5352</v>
      </c>
      <c r="P353" t="s">
        <v>2625</v>
      </c>
      <c r="Q353">
        <v>5697</v>
      </c>
      <c r="R353" t="s">
        <v>2344</v>
      </c>
      <c r="S353" t="s">
        <v>2036</v>
      </c>
      <c r="T353">
        <v>202111</v>
      </c>
      <c r="U353" t="s">
        <v>180</v>
      </c>
      <c r="V353">
        <v>699</v>
      </c>
    </row>
    <row r="354" spans="1:22">
      <c r="A354">
        <v>5352</v>
      </c>
      <c r="B354" t="s">
        <v>2625</v>
      </c>
      <c r="C354">
        <v>5697</v>
      </c>
      <c r="D354" t="s">
        <v>2344</v>
      </c>
      <c r="E354" t="s">
        <v>2036</v>
      </c>
      <c r="F354">
        <v>202107</v>
      </c>
      <c r="G354" t="s">
        <v>180</v>
      </c>
      <c r="H354">
        <v>930</v>
      </c>
      <c r="O354">
        <v>5352</v>
      </c>
      <c r="P354" t="s">
        <v>2625</v>
      </c>
      <c r="Q354">
        <v>5697</v>
      </c>
      <c r="R354" t="s">
        <v>2344</v>
      </c>
      <c r="S354" t="s">
        <v>2036</v>
      </c>
      <c r="T354">
        <v>202111</v>
      </c>
      <c r="U354" t="s">
        <v>182</v>
      </c>
      <c r="V354">
        <v>256958</v>
      </c>
    </row>
    <row r="355" spans="1:22">
      <c r="A355">
        <v>5352</v>
      </c>
      <c r="B355" t="s">
        <v>2625</v>
      </c>
      <c r="C355">
        <v>5697</v>
      </c>
      <c r="D355" t="s">
        <v>2344</v>
      </c>
      <c r="E355" t="s">
        <v>2036</v>
      </c>
      <c r="F355">
        <v>202107</v>
      </c>
      <c r="G355" t="s">
        <v>182</v>
      </c>
      <c r="H355">
        <v>182490</v>
      </c>
      <c r="O355">
        <v>5352</v>
      </c>
      <c r="P355" t="s">
        <v>2625</v>
      </c>
      <c r="Q355">
        <v>5697</v>
      </c>
      <c r="R355" t="s">
        <v>2344</v>
      </c>
      <c r="S355" t="s">
        <v>2036</v>
      </c>
      <c r="T355">
        <v>202111</v>
      </c>
      <c r="U355" t="s">
        <v>184</v>
      </c>
      <c r="V355">
        <v>32241</v>
      </c>
    </row>
    <row r="356" spans="1:22">
      <c r="A356">
        <v>5352</v>
      </c>
      <c r="B356" t="s">
        <v>2625</v>
      </c>
      <c r="C356">
        <v>5697</v>
      </c>
      <c r="D356" t="s">
        <v>2344</v>
      </c>
      <c r="E356" t="s">
        <v>2036</v>
      </c>
      <c r="F356">
        <v>202107</v>
      </c>
      <c r="G356" t="s">
        <v>184</v>
      </c>
      <c r="H356">
        <v>27407</v>
      </c>
      <c r="O356">
        <v>5352</v>
      </c>
      <c r="P356" t="s">
        <v>2625</v>
      </c>
      <c r="Q356">
        <v>5697</v>
      </c>
      <c r="R356" t="s">
        <v>2344</v>
      </c>
      <c r="S356" t="s">
        <v>2036</v>
      </c>
      <c r="T356">
        <v>202111</v>
      </c>
      <c r="U356" t="s">
        <v>186</v>
      </c>
      <c r="V356">
        <v>0</v>
      </c>
    </row>
    <row r="357" spans="1:22">
      <c r="A357">
        <v>5352</v>
      </c>
      <c r="B357" t="s">
        <v>2625</v>
      </c>
      <c r="C357">
        <v>5697</v>
      </c>
      <c r="D357" t="s">
        <v>2344</v>
      </c>
      <c r="E357" t="s">
        <v>2036</v>
      </c>
      <c r="F357">
        <v>202107</v>
      </c>
      <c r="G357" t="s">
        <v>192</v>
      </c>
      <c r="H357">
        <v>0</v>
      </c>
      <c r="O357">
        <v>5352</v>
      </c>
      <c r="P357" t="s">
        <v>2625</v>
      </c>
      <c r="Q357">
        <v>5697</v>
      </c>
      <c r="R357" t="s">
        <v>2344</v>
      </c>
      <c r="S357" t="s">
        <v>2036</v>
      </c>
      <c r="T357">
        <v>202112</v>
      </c>
      <c r="U357" t="s">
        <v>190</v>
      </c>
      <c r="V357">
        <v>143099</v>
      </c>
    </row>
    <row r="358" spans="1:22">
      <c r="A358">
        <v>5352</v>
      </c>
      <c r="B358" t="s">
        <v>2625</v>
      </c>
      <c r="C358">
        <v>5697</v>
      </c>
      <c r="D358" t="s">
        <v>2344</v>
      </c>
      <c r="E358" t="s">
        <v>2036</v>
      </c>
      <c r="F358">
        <v>202107</v>
      </c>
      <c r="G358" t="s">
        <v>2170</v>
      </c>
      <c r="H358">
        <v>1854.32</v>
      </c>
      <c r="O358">
        <v>5352</v>
      </c>
      <c r="P358" t="s">
        <v>2625</v>
      </c>
      <c r="Q358">
        <v>5697</v>
      </c>
      <c r="R358" t="s">
        <v>2344</v>
      </c>
      <c r="S358" t="s">
        <v>2036</v>
      </c>
      <c r="T358">
        <v>202112</v>
      </c>
      <c r="U358" t="s">
        <v>191</v>
      </c>
      <c r="V358">
        <v>19614</v>
      </c>
    </row>
    <row r="359" spans="1:22">
      <c r="A359">
        <v>5352</v>
      </c>
      <c r="B359" t="s">
        <v>2625</v>
      </c>
      <c r="C359">
        <v>5697</v>
      </c>
      <c r="D359" t="s">
        <v>2344</v>
      </c>
      <c r="E359" t="s">
        <v>2036</v>
      </c>
      <c r="F359">
        <v>202107</v>
      </c>
      <c r="G359" t="s">
        <v>186</v>
      </c>
      <c r="H359">
        <v>0</v>
      </c>
      <c r="O359">
        <v>5352</v>
      </c>
      <c r="P359" t="s">
        <v>2625</v>
      </c>
      <c r="Q359">
        <v>5697</v>
      </c>
      <c r="R359" t="s">
        <v>2344</v>
      </c>
      <c r="S359" t="s">
        <v>2036</v>
      </c>
      <c r="T359">
        <v>202112</v>
      </c>
      <c r="U359" t="s">
        <v>178</v>
      </c>
      <c r="V359">
        <v>530</v>
      </c>
    </row>
    <row r="360" spans="1:22">
      <c r="A360">
        <v>5352</v>
      </c>
      <c r="B360" t="s">
        <v>2625</v>
      </c>
      <c r="C360">
        <v>5697</v>
      </c>
      <c r="D360" t="s">
        <v>2344</v>
      </c>
      <c r="E360" t="s">
        <v>2036</v>
      </c>
      <c r="F360">
        <v>202107</v>
      </c>
      <c r="G360" t="s">
        <v>2169</v>
      </c>
      <c r="H360">
        <v>99.17</v>
      </c>
      <c r="O360">
        <v>5352</v>
      </c>
      <c r="P360" t="s">
        <v>2625</v>
      </c>
      <c r="Q360">
        <v>5697</v>
      </c>
      <c r="R360" t="s">
        <v>2344</v>
      </c>
      <c r="S360" t="s">
        <v>2036</v>
      </c>
      <c r="T360">
        <v>202112</v>
      </c>
      <c r="U360" t="s">
        <v>180</v>
      </c>
      <c r="V360">
        <v>470</v>
      </c>
    </row>
    <row r="361" spans="1:22">
      <c r="A361">
        <v>5352</v>
      </c>
      <c r="B361" t="s">
        <v>2625</v>
      </c>
      <c r="C361">
        <v>5697</v>
      </c>
      <c r="D361" t="s">
        <v>2344</v>
      </c>
      <c r="E361" t="s">
        <v>2036</v>
      </c>
      <c r="F361">
        <v>202107</v>
      </c>
      <c r="G361" t="s">
        <v>2166</v>
      </c>
      <c r="H361">
        <v>12.33</v>
      </c>
      <c r="O361">
        <v>5352</v>
      </c>
      <c r="P361" t="s">
        <v>2625</v>
      </c>
      <c r="Q361">
        <v>5697</v>
      </c>
      <c r="R361" t="s">
        <v>2344</v>
      </c>
      <c r="S361" t="s">
        <v>2036</v>
      </c>
      <c r="T361">
        <v>202112</v>
      </c>
      <c r="U361" t="s">
        <v>182</v>
      </c>
      <c r="V361">
        <v>143099</v>
      </c>
    </row>
    <row r="362" spans="1:22">
      <c r="A362">
        <v>5352</v>
      </c>
      <c r="B362" t="s">
        <v>2625</v>
      </c>
      <c r="C362">
        <v>5697</v>
      </c>
      <c r="D362" t="s">
        <v>2344</v>
      </c>
      <c r="E362" t="s">
        <v>2036</v>
      </c>
      <c r="F362">
        <v>202107</v>
      </c>
      <c r="G362" t="s">
        <v>2167</v>
      </c>
      <c r="H362">
        <v>23.94</v>
      </c>
      <c r="O362">
        <v>5352</v>
      </c>
      <c r="P362" t="s">
        <v>2625</v>
      </c>
      <c r="Q362">
        <v>5697</v>
      </c>
      <c r="R362" t="s">
        <v>2344</v>
      </c>
      <c r="S362" t="s">
        <v>2036</v>
      </c>
      <c r="T362">
        <v>202112</v>
      </c>
      <c r="U362" t="s">
        <v>184</v>
      </c>
      <c r="V362">
        <v>19614</v>
      </c>
    </row>
    <row r="363" spans="1:22">
      <c r="A363">
        <v>5352</v>
      </c>
      <c r="B363" t="s">
        <v>2625</v>
      </c>
      <c r="C363">
        <v>5697</v>
      </c>
      <c r="D363" t="s">
        <v>2344</v>
      </c>
      <c r="E363" t="s">
        <v>2036</v>
      </c>
      <c r="F363">
        <v>202107</v>
      </c>
      <c r="G363" t="s">
        <v>2168</v>
      </c>
      <c r="H363">
        <v>10.17</v>
      </c>
      <c r="O363">
        <v>5352</v>
      </c>
      <c r="P363" t="s">
        <v>2625</v>
      </c>
      <c r="Q363">
        <v>5697</v>
      </c>
      <c r="R363" t="s">
        <v>2344</v>
      </c>
      <c r="S363" t="s">
        <v>2036</v>
      </c>
      <c r="T363">
        <v>202112</v>
      </c>
      <c r="U363" t="s">
        <v>186</v>
      </c>
      <c r="V363">
        <v>0</v>
      </c>
    </row>
    <row r="364" spans="1:22">
      <c r="A364">
        <v>5352</v>
      </c>
      <c r="B364" t="s">
        <v>2625</v>
      </c>
      <c r="C364">
        <v>5697</v>
      </c>
      <c r="D364" t="s">
        <v>2344</v>
      </c>
      <c r="E364" t="s">
        <v>2036</v>
      </c>
      <c r="F364">
        <v>202107</v>
      </c>
      <c r="G364" t="s">
        <v>2171</v>
      </c>
      <c r="H364">
        <v>57055.94</v>
      </c>
      <c r="O364">
        <v>5352</v>
      </c>
      <c r="P364" t="s">
        <v>2625</v>
      </c>
      <c r="Q364">
        <v>5697</v>
      </c>
      <c r="R364" t="s">
        <v>2344</v>
      </c>
      <c r="S364" t="s">
        <v>2036</v>
      </c>
      <c r="T364">
        <v>202112</v>
      </c>
      <c r="U364" t="s">
        <v>190</v>
      </c>
      <c r="V364">
        <v>516613</v>
      </c>
    </row>
    <row r="365" spans="1:22">
      <c r="A365">
        <v>5352</v>
      </c>
      <c r="B365" t="s">
        <v>2625</v>
      </c>
      <c r="C365">
        <v>5697</v>
      </c>
      <c r="D365" t="s">
        <v>2344</v>
      </c>
      <c r="E365" t="s">
        <v>2036</v>
      </c>
      <c r="F365">
        <v>202107</v>
      </c>
      <c r="G365" t="s">
        <v>190</v>
      </c>
      <c r="H365">
        <v>55458</v>
      </c>
      <c r="O365">
        <v>5352</v>
      </c>
      <c r="P365" t="s">
        <v>2625</v>
      </c>
      <c r="Q365">
        <v>5697</v>
      </c>
      <c r="R365" t="s">
        <v>2344</v>
      </c>
      <c r="S365" t="s">
        <v>2036</v>
      </c>
      <c r="T365">
        <v>202112</v>
      </c>
      <c r="U365" t="s">
        <v>191</v>
      </c>
      <c r="V365">
        <v>70651</v>
      </c>
    </row>
    <row r="366" spans="1:22">
      <c r="A366">
        <v>5352</v>
      </c>
      <c r="B366" t="s">
        <v>2625</v>
      </c>
      <c r="C366">
        <v>5697</v>
      </c>
      <c r="D366" t="s">
        <v>2344</v>
      </c>
      <c r="E366" t="s">
        <v>2036</v>
      </c>
      <c r="F366">
        <v>202107</v>
      </c>
      <c r="G366" t="s">
        <v>191</v>
      </c>
      <c r="H366">
        <v>7486</v>
      </c>
      <c r="O366">
        <v>5352</v>
      </c>
      <c r="P366" t="s">
        <v>2625</v>
      </c>
      <c r="Q366">
        <v>5697</v>
      </c>
      <c r="R366" t="s">
        <v>2344</v>
      </c>
      <c r="S366" t="s">
        <v>2036</v>
      </c>
      <c r="T366">
        <v>202112</v>
      </c>
      <c r="U366" t="s">
        <v>178</v>
      </c>
      <c r="V366">
        <v>1342</v>
      </c>
    </row>
    <row r="367" spans="1:22">
      <c r="A367">
        <v>5352</v>
      </c>
      <c r="B367" t="s">
        <v>2625</v>
      </c>
      <c r="C367">
        <v>5697</v>
      </c>
      <c r="D367" t="s">
        <v>2344</v>
      </c>
      <c r="E367" t="s">
        <v>2036</v>
      </c>
      <c r="F367">
        <v>202107</v>
      </c>
      <c r="G367" t="s">
        <v>176</v>
      </c>
      <c r="H367">
        <v>0</v>
      </c>
      <c r="O367">
        <v>5352</v>
      </c>
      <c r="P367" t="s">
        <v>2625</v>
      </c>
      <c r="Q367">
        <v>5697</v>
      </c>
      <c r="R367" t="s">
        <v>2344</v>
      </c>
      <c r="S367" t="s">
        <v>2036</v>
      </c>
      <c r="T367">
        <v>202112</v>
      </c>
      <c r="U367" t="s">
        <v>180</v>
      </c>
      <c r="V367">
        <v>1457</v>
      </c>
    </row>
    <row r="368" spans="1:22">
      <c r="A368">
        <v>5352</v>
      </c>
      <c r="B368" t="s">
        <v>2625</v>
      </c>
      <c r="C368">
        <v>5697</v>
      </c>
      <c r="D368" t="s">
        <v>2344</v>
      </c>
      <c r="E368" t="s">
        <v>2036</v>
      </c>
      <c r="F368">
        <v>202107</v>
      </c>
      <c r="G368" t="s">
        <v>178</v>
      </c>
      <c r="H368">
        <v>250</v>
      </c>
      <c r="O368">
        <v>5352</v>
      </c>
      <c r="P368" t="s">
        <v>2625</v>
      </c>
      <c r="Q368">
        <v>5697</v>
      </c>
      <c r="R368" t="s">
        <v>2344</v>
      </c>
      <c r="S368" t="s">
        <v>2036</v>
      </c>
      <c r="T368">
        <v>202112</v>
      </c>
      <c r="U368" t="s">
        <v>182</v>
      </c>
      <c r="V368">
        <v>516613</v>
      </c>
    </row>
    <row r="369" spans="1:22">
      <c r="A369">
        <v>5352</v>
      </c>
      <c r="B369" t="s">
        <v>2625</v>
      </c>
      <c r="C369">
        <v>5697</v>
      </c>
      <c r="D369" t="s">
        <v>2344</v>
      </c>
      <c r="E369" t="s">
        <v>2036</v>
      </c>
      <c r="F369">
        <v>202107</v>
      </c>
      <c r="G369" t="s">
        <v>180</v>
      </c>
      <c r="H369">
        <v>250</v>
      </c>
      <c r="O369">
        <v>5352</v>
      </c>
      <c r="P369" t="s">
        <v>2625</v>
      </c>
      <c r="Q369">
        <v>5697</v>
      </c>
      <c r="R369" t="s">
        <v>2344</v>
      </c>
      <c r="S369" t="s">
        <v>2036</v>
      </c>
      <c r="T369">
        <v>202112</v>
      </c>
      <c r="U369" t="s">
        <v>184</v>
      </c>
      <c r="V369">
        <v>70651</v>
      </c>
    </row>
    <row r="370" spans="1:22">
      <c r="A370">
        <v>5352</v>
      </c>
      <c r="B370" t="s">
        <v>2625</v>
      </c>
      <c r="C370">
        <v>5697</v>
      </c>
      <c r="D370" t="s">
        <v>2344</v>
      </c>
      <c r="E370" t="s">
        <v>2036</v>
      </c>
      <c r="F370">
        <v>202107</v>
      </c>
      <c r="G370" t="s">
        <v>182</v>
      </c>
      <c r="H370">
        <v>55458</v>
      </c>
      <c r="O370">
        <v>5352</v>
      </c>
      <c r="P370" t="s">
        <v>2625</v>
      </c>
      <c r="Q370">
        <v>5697</v>
      </c>
      <c r="R370" t="s">
        <v>2344</v>
      </c>
      <c r="S370" t="s">
        <v>2036</v>
      </c>
      <c r="T370">
        <v>202112</v>
      </c>
      <c r="U370" t="s">
        <v>186</v>
      </c>
      <c r="V370">
        <v>0</v>
      </c>
    </row>
    <row r="371" spans="1:22">
      <c r="A371">
        <v>5352</v>
      </c>
      <c r="B371" t="s">
        <v>2625</v>
      </c>
      <c r="C371">
        <v>5697</v>
      </c>
      <c r="D371" t="s">
        <v>2344</v>
      </c>
      <c r="E371" t="s">
        <v>2036</v>
      </c>
      <c r="F371">
        <v>202107</v>
      </c>
      <c r="G371" t="s">
        <v>184</v>
      </c>
      <c r="H371">
        <v>7486</v>
      </c>
      <c r="O371">
        <v>5352</v>
      </c>
      <c r="P371" t="s">
        <v>2625</v>
      </c>
      <c r="Q371">
        <v>5697</v>
      </c>
      <c r="R371" t="s">
        <v>2344</v>
      </c>
      <c r="S371" t="s">
        <v>2036</v>
      </c>
      <c r="T371">
        <v>202112</v>
      </c>
      <c r="U371" t="s">
        <v>190</v>
      </c>
      <c r="V371">
        <v>124381</v>
      </c>
    </row>
    <row r="372" spans="1:22">
      <c r="A372">
        <v>5352</v>
      </c>
      <c r="B372" t="s">
        <v>2625</v>
      </c>
      <c r="C372">
        <v>5697</v>
      </c>
      <c r="D372" t="s">
        <v>2344</v>
      </c>
      <c r="E372" t="s">
        <v>2036</v>
      </c>
      <c r="F372">
        <v>202107</v>
      </c>
      <c r="G372" t="s">
        <v>192</v>
      </c>
      <c r="H372">
        <v>0</v>
      </c>
      <c r="O372">
        <v>5352</v>
      </c>
      <c r="P372" t="s">
        <v>2625</v>
      </c>
      <c r="Q372">
        <v>5697</v>
      </c>
      <c r="R372" t="s">
        <v>2344</v>
      </c>
      <c r="S372" t="s">
        <v>2036</v>
      </c>
      <c r="T372">
        <v>202112</v>
      </c>
      <c r="U372" t="s">
        <v>191</v>
      </c>
      <c r="V372">
        <v>16221</v>
      </c>
    </row>
    <row r="373" spans="1:22">
      <c r="A373">
        <v>5352</v>
      </c>
      <c r="B373" t="s">
        <v>2625</v>
      </c>
      <c r="C373">
        <v>5697</v>
      </c>
      <c r="D373" t="s">
        <v>2344</v>
      </c>
      <c r="E373" t="s">
        <v>2036</v>
      </c>
      <c r="F373">
        <v>202107</v>
      </c>
      <c r="G373" t="s">
        <v>2170</v>
      </c>
      <c r="H373">
        <v>535.79</v>
      </c>
      <c r="O373">
        <v>5352</v>
      </c>
      <c r="P373" t="s">
        <v>2625</v>
      </c>
      <c r="Q373">
        <v>5697</v>
      </c>
      <c r="R373" t="s">
        <v>2344</v>
      </c>
      <c r="S373" t="s">
        <v>2036</v>
      </c>
      <c r="T373">
        <v>202112</v>
      </c>
      <c r="U373" t="s">
        <v>178</v>
      </c>
      <c r="V373">
        <v>450</v>
      </c>
    </row>
    <row r="374" spans="1:22">
      <c r="A374">
        <v>5352</v>
      </c>
      <c r="B374" t="s">
        <v>2625</v>
      </c>
      <c r="C374">
        <v>5697</v>
      </c>
      <c r="D374" t="s">
        <v>2344</v>
      </c>
      <c r="E374" t="s">
        <v>2036</v>
      </c>
      <c r="F374">
        <v>202107</v>
      </c>
      <c r="G374" t="s">
        <v>186</v>
      </c>
      <c r="H374">
        <v>0</v>
      </c>
      <c r="O374">
        <v>5352</v>
      </c>
      <c r="P374" t="s">
        <v>2625</v>
      </c>
      <c r="Q374">
        <v>5697</v>
      </c>
      <c r="R374" t="s">
        <v>2344</v>
      </c>
      <c r="S374" t="s">
        <v>2036</v>
      </c>
      <c r="T374">
        <v>202112</v>
      </c>
      <c r="U374" t="s">
        <v>180</v>
      </c>
      <c r="V374">
        <v>450</v>
      </c>
    </row>
    <row r="375" spans="1:22">
      <c r="A375">
        <v>5352</v>
      </c>
      <c r="B375" t="s">
        <v>2625</v>
      </c>
      <c r="C375">
        <v>5697</v>
      </c>
      <c r="D375" t="s">
        <v>2344</v>
      </c>
      <c r="E375" t="s">
        <v>2036</v>
      </c>
      <c r="F375">
        <v>202107</v>
      </c>
      <c r="G375" t="s">
        <v>2169</v>
      </c>
      <c r="H375">
        <v>99.17</v>
      </c>
      <c r="O375">
        <v>5352</v>
      </c>
      <c r="P375" t="s">
        <v>2625</v>
      </c>
      <c r="Q375">
        <v>5697</v>
      </c>
      <c r="R375" t="s">
        <v>2344</v>
      </c>
      <c r="S375" t="s">
        <v>2036</v>
      </c>
      <c r="T375">
        <v>202112</v>
      </c>
      <c r="U375" t="s">
        <v>182</v>
      </c>
      <c r="V375">
        <v>124381</v>
      </c>
    </row>
    <row r="376" spans="1:22">
      <c r="A376">
        <v>5352</v>
      </c>
      <c r="B376" t="s">
        <v>2625</v>
      </c>
      <c r="C376">
        <v>5697</v>
      </c>
      <c r="D376" t="s">
        <v>2344</v>
      </c>
      <c r="E376" t="s">
        <v>2036</v>
      </c>
      <c r="F376">
        <v>202107</v>
      </c>
      <c r="G376" t="s">
        <v>2166</v>
      </c>
      <c r="H376">
        <v>12.33</v>
      </c>
      <c r="O376">
        <v>5352</v>
      </c>
      <c r="P376" t="s">
        <v>2625</v>
      </c>
      <c r="Q376">
        <v>5697</v>
      </c>
      <c r="R376" t="s">
        <v>2344</v>
      </c>
      <c r="S376" t="s">
        <v>2036</v>
      </c>
      <c r="T376">
        <v>202112</v>
      </c>
      <c r="U376" t="s">
        <v>184</v>
      </c>
      <c r="V376">
        <v>16221</v>
      </c>
    </row>
    <row r="377" spans="1:22">
      <c r="A377">
        <v>5352</v>
      </c>
      <c r="B377" t="s">
        <v>2625</v>
      </c>
      <c r="C377">
        <v>5697</v>
      </c>
      <c r="D377" t="s">
        <v>2344</v>
      </c>
      <c r="E377" t="s">
        <v>2036</v>
      </c>
      <c r="F377">
        <v>202107</v>
      </c>
      <c r="G377" t="s">
        <v>2167</v>
      </c>
      <c r="H377">
        <v>23.94</v>
      </c>
      <c r="O377">
        <v>5352</v>
      </c>
      <c r="P377" t="s">
        <v>2625</v>
      </c>
      <c r="Q377">
        <v>5697</v>
      </c>
      <c r="R377" t="s">
        <v>2344</v>
      </c>
      <c r="S377" t="s">
        <v>2036</v>
      </c>
      <c r="T377">
        <v>202112</v>
      </c>
      <c r="U377" t="s">
        <v>186</v>
      </c>
      <c r="V377">
        <v>0</v>
      </c>
    </row>
    <row r="378" spans="1:22">
      <c r="A378">
        <v>5352</v>
      </c>
      <c r="B378" t="s">
        <v>2625</v>
      </c>
      <c r="C378">
        <v>5697</v>
      </c>
      <c r="D378" t="s">
        <v>2344</v>
      </c>
      <c r="E378" t="s">
        <v>2036</v>
      </c>
      <c r="F378">
        <v>202107</v>
      </c>
      <c r="G378" t="s">
        <v>2168</v>
      </c>
      <c r="H378">
        <v>10.17</v>
      </c>
      <c r="O378">
        <v>5352</v>
      </c>
      <c r="P378" t="s">
        <v>2625</v>
      </c>
      <c r="Q378">
        <v>5697</v>
      </c>
      <c r="R378" t="s">
        <v>2344</v>
      </c>
      <c r="S378" t="s">
        <v>2036</v>
      </c>
      <c r="T378">
        <v>202112</v>
      </c>
      <c r="U378" t="s">
        <v>190</v>
      </c>
      <c r="V378">
        <v>271354</v>
      </c>
    </row>
    <row r="379" spans="1:22">
      <c r="A379">
        <v>5352</v>
      </c>
      <c r="B379" t="s">
        <v>2625</v>
      </c>
      <c r="C379">
        <v>5697</v>
      </c>
      <c r="D379" t="s">
        <v>2344</v>
      </c>
      <c r="E379" t="s">
        <v>2036</v>
      </c>
      <c r="F379">
        <v>202107</v>
      </c>
      <c r="G379" t="s">
        <v>2171</v>
      </c>
      <c r="H379">
        <v>20351.05</v>
      </c>
      <c r="O379">
        <v>5352</v>
      </c>
      <c r="P379" t="s">
        <v>2625</v>
      </c>
      <c r="Q379">
        <v>5697</v>
      </c>
      <c r="R379" t="s">
        <v>2344</v>
      </c>
      <c r="S379" t="s">
        <v>2036</v>
      </c>
      <c r="T379">
        <v>202112</v>
      </c>
      <c r="U379" t="s">
        <v>191</v>
      </c>
      <c r="V379">
        <v>34069</v>
      </c>
    </row>
    <row r="380" spans="1:22">
      <c r="A380">
        <v>5352</v>
      </c>
      <c r="B380" t="s">
        <v>2625</v>
      </c>
      <c r="C380">
        <v>5697</v>
      </c>
      <c r="D380" t="s">
        <v>2344</v>
      </c>
      <c r="E380" t="s">
        <v>2036</v>
      </c>
      <c r="F380">
        <v>202107</v>
      </c>
      <c r="G380" t="s">
        <v>190</v>
      </c>
      <c r="H380">
        <v>144936</v>
      </c>
      <c r="O380">
        <v>5352</v>
      </c>
      <c r="P380" t="s">
        <v>2625</v>
      </c>
      <c r="Q380">
        <v>5697</v>
      </c>
      <c r="R380" t="s">
        <v>2344</v>
      </c>
      <c r="S380" t="s">
        <v>2036</v>
      </c>
      <c r="T380">
        <v>202112</v>
      </c>
      <c r="U380" t="s">
        <v>178</v>
      </c>
      <c r="V380">
        <v>820</v>
      </c>
    </row>
    <row r="381" spans="1:22">
      <c r="A381">
        <v>5352</v>
      </c>
      <c r="B381" t="s">
        <v>2625</v>
      </c>
      <c r="C381">
        <v>5697</v>
      </c>
      <c r="D381" t="s">
        <v>2344</v>
      </c>
      <c r="E381" t="s">
        <v>2036</v>
      </c>
      <c r="F381">
        <v>202107</v>
      </c>
      <c r="G381" t="s">
        <v>191</v>
      </c>
      <c r="H381">
        <v>21996</v>
      </c>
      <c r="O381">
        <v>5352</v>
      </c>
      <c r="P381" t="s">
        <v>2625</v>
      </c>
      <c r="Q381">
        <v>5697</v>
      </c>
      <c r="R381" t="s">
        <v>2344</v>
      </c>
      <c r="S381" t="s">
        <v>2036</v>
      </c>
      <c r="T381">
        <v>202112</v>
      </c>
      <c r="U381" t="s">
        <v>180</v>
      </c>
      <c r="V381">
        <v>820</v>
      </c>
    </row>
    <row r="382" spans="1:22">
      <c r="A382">
        <v>5352</v>
      </c>
      <c r="B382" t="s">
        <v>2625</v>
      </c>
      <c r="C382">
        <v>5697</v>
      </c>
      <c r="D382" t="s">
        <v>2344</v>
      </c>
      <c r="E382" t="s">
        <v>2036</v>
      </c>
      <c r="F382">
        <v>202107</v>
      </c>
      <c r="G382" t="s">
        <v>176</v>
      </c>
      <c r="H382">
        <v>0</v>
      </c>
      <c r="O382">
        <v>5352</v>
      </c>
      <c r="P382" t="s">
        <v>2625</v>
      </c>
      <c r="Q382">
        <v>5697</v>
      </c>
      <c r="R382" t="s">
        <v>2344</v>
      </c>
      <c r="S382" t="s">
        <v>2036</v>
      </c>
      <c r="T382">
        <v>202112</v>
      </c>
      <c r="U382" t="s">
        <v>182</v>
      </c>
      <c r="V382">
        <v>271354</v>
      </c>
    </row>
    <row r="383" spans="1:22">
      <c r="A383">
        <v>5352</v>
      </c>
      <c r="B383" t="s">
        <v>2625</v>
      </c>
      <c r="C383">
        <v>5697</v>
      </c>
      <c r="D383" t="s">
        <v>2344</v>
      </c>
      <c r="E383" t="s">
        <v>2036</v>
      </c>
      <c r="F383">
        <v>202107</v>
      </c>
      <c r="G383" t="s">
        <v>178</v>
      </c>
      <c r="H383">
        <v>470</v>
      </c>
      <c r="O383">
        <v>5352</v>
      </c>
      <c r="P383" t="s">
        <v>2625</v>
      </c>
      <c r="Q383">
        <v>5697</v>
      </c>
      <c r="R383" t="s">
        <v>2344</v>
      </c>
      <c r="S383" t="s">
        <v>2036</v>
      </c>
      <c r="T383">
        <v>202112</v>
      </c>
      <c r="U383" t="s">
        <v>184</v>
      </c>
      <c r="V383">
        <v>34069</v>
      </c>
    </row>
    <row r="384" spans="1:22">
      <c r="A384">
        <v>5352</v>
      </c>
      <c r="B384" t="s">
        <v>2625</v>
      </c>
      <c r="C384">
        <v>5697</v>
      </c>
      <c r="D384" t="s">
        <v>2344</v>
      </c>
      <c r="E384" t="s">
        <v>2036</v>
      </c>
      <c r="F384">
        <v>202107</v>
      </c>
      <c r="G384" t="s">
        <v>180</v>
      </c>
      <c r="H384">
        <v>530</v>
      </c>
      <c r="O384">
        <v>5352</v>
      </c>
      <c r="P384" t="s">
        <v>2625</v>
      </c>
      <c r="Q384">
        <v>5697</v>
      </c>
      <c r="R384" t="s">
        <v>2344</v>
      </c>
      <c r="S384" t="s">
        <v>2036</v>
      </c>
      <c r="T384">
        <v>202112</v>
      </c>
      <c r="U384" t="s">
        <v>186</v>
      </c>
      <c r="V384">
        <v>0</v>
      </c>
    </row>
    <row r="385" spans="1:22">
      <c r="A385">
        <v>5352</v>
      </c>
      <c r="B385" t="s">
        <v>2625</v>
      </c>
      <c r="C385">
        <v>5697</v>
      </c>
      <c r="D385" t="s">
        <v>2344</v>
      </c>
      <c r="E385" t="s">
        <v>2036</v>
      </c>
      <c r="F385">
        <v>202107</v>
      </c>
      <c r="G385" t="s">
        <v>182</v>
      </c>
      <c r="H385">
        <v>144936</v>
      </c>
      <c r="O385">
        <v>5352</v>
      </c>
      <c r="P385" t="s">
        <v>2625</v>
      </c>
      <c r="Q385">
        <v>5697</v>
      </c>
      <c r="R385" t="s">
        <v>2344</v>
      </c>
      <c r="S385" t="s">
        <v>2036</v>
      </c>
      <c r="T385">
        <v>202112</v>
      </c>
      <c r="U385" t="s">
        <v>190</v>
      </c>
      <c r="V385">
        <v>382391</v>
      </c>
    </row>
    <row r="386" spans="1:22">
      <c r="A386">
        <v>5352</v>
      </c>
      <c r="B386" t="s">
        <v>2625</v>
      </c>
      <c r="C386">
        <v>5697</v>
      </c>
      <c r="D386" t="s">
        <v>2344</v>
      </c>
      <c r="E386" t="s">
        <v>2036</v>
      </c>
      <c r="F386">
        <v>202107</v>
      </c>
      <c r="G386" t="s">
        <v>184</v>
      </c>
      <c r="H386">
        <v>21996</v>
      </c>
      <c r="O386">
        <v>5352</v>
      </c>
      <c r="P386" t="s">
        <v>2625</v>
      </c>
      <c r="Q386">
        <v>5697</v>
      </c>
      <c r="R386" t="s">
        <v>2344</v>
      </c>
      <c r="S386" t="s">
        <v>2036</v>
      </c>
      <c r="T386">
        <v>202112</v>
      </c>
      <c r="U386" t="s">
        <v>191</v>
      </c>
      <c r="V386">
        <v>47768</v>
      </c>
    </row>
    <row r="387" spans="1:22">
      <c r="A387">
        <v>5352</v>
      </c>
      <c r="B387" t="s">
        <v>2625</v>
      </c>
      <c r="C387">
        <v>5697</v>
      </c>
      <c r="D387" t="s">
        <v>2344</v>
      </c>
      <c r="E387" t="s">
        <v>2036</v>
      </c>
      <c r="F387">
        <v>202107</v>
      </c>
      <c r="G387" t="s">
        <v>192</v>
      </c>
      <c r="H387">
        <v>0</v>
      </c>
      <c r="O387">
        <v>5352</v>
      </c>
      <c r="P387" t="s">
        <v>2625</v>
      </c>
      <c r="Q387">
        <v>5697</v>
      </c>
      <c r="R387" t="s">
        <v>2344</v>
      </c>
      <c r="S387" t="s">
        <v>2036</v>
      </c>
      <c r="T387">
        <v>202112</v>
      </c>
      <c r="U387" t="s">
        <v>178</v>
      </c>
      <c r="V387">
        <v>1300</v>
      </c>
    </row>
    <row r="388" spans="1:22">
      <c r="A388">
        <v>5352</v>
      </c>
      <c r="B388" t="s">
        <v>2625</v>
      </c>
      <c r="C388">
        <v>5697</v>
      </c>
      <c r="D388" t="s">
        <v>2344</v>
      </c>
      <c r="E388" t="s">
        <v>2036</v>
      </c>
      <c r="F388">
        <v>202107</v>
      </c>
      <c r="G388" t="s">
        <v>2170</v>
      </c>
      <c r="H388">
        <v>1234.02</v>
      </c>
      <c r="O388">
        <v>5352</v>
      </c>
      <c r="P388" t="s">
        <v>2625</v>
      </c>
      <c r="Q388">
        <v>5697</v>
      </c>
      <c r="R388" t="s">
        <v>2344</v>
      </c>
      <c r="S388" t="s">
        <v>2036</v>
      </c>
      <c r="T388">
        <v>202112</v>
      </c>
      <c r="U388" t="s">
        <v>180</v>
      </c>
      <c r="V388">
        <v>1350</v>
      </c>
    </row>
    <row r="389" spans="1:22">
      <c r="A389">
        <v>5352</v>
      </c>
      <c r="B389" t="s">
        <v>2625</v>
      </c>
      <c r="C389">
        <v>5697</v>
      </c>
      <c r="D389" t="s">
        <v>2344</v>
      </c>
      <c r="E389" t="s">
        <v>2036</v>
      </c>
      <c r="F389">
        <v>202107</v>
      </c>
      <c r="G389" t="s">
        <v>186</v>
      </c>
      <c r="H389">
        <v>0</v>
      </c>
      <c r="O389">
        <v>5352</v>
      </c>
      <c r="P389" t="s">
        <v>2625</v>
      </c>
      <c r="Q389">
        <v>5697</v>
      </c>
      <c r="R389" t="s">
        <v>2344</v>
      </c>
      <c r="S389" t="s">
        <v>2036</v>
      </c>
      <c r="T389">
        <v>202112</v>
      </c>
      <c r="U389" t="s">
        <v>182</v>
      </c>
      <c r="V389">
        <v>382391</v>
      </c>
    </row>
    <row r="390" spans="1:22">
      <c r="A390">
        <v>5352</v>
      </c>
      <c r="B390" t="s">
        <v>2625</v>
      </c>
      <c r="C390">
        <v>5697</v>
      </c>
      <c r="D390" t="s">
        <v>2344</v>
      </c>
      <c r="E390" t="s">
        <v>2036</v>
      </c>
      <c r="F390">
        <v>202107</v>
      </c>
      <c r="G390" t="s">
        <v>2169</v>
      </c>
      <c r="H390">
        <v>99.17</v>
      </c>
      <c r="O390">
        <v>5352</v>
      </c>
      <c r="P390" t="s">
        <v>2625</v>
      </c>
      <c r="Q390">
        <v>5697</v>
      </c>
      <c r="R390" t="s">
        <v>2344</v>
      </c>
      <c r="S390" t="s">
        <v>2036</v>
      </c>
      <c r="T390">
        <v>202112</v>
      </c>
      <c r="U390" t="s">
        <v>184</v>
      </c>
      <c r="V390">
        <v>47768</v>
      </c>
    </row>
    <row r="391" spans="1:22">
      <c r="A391">
        <v>5352</v>
      </c>
      <c r="B391" t="s">
        <v>2625</v>
      </c>
      <c r="C391">
        <v>5697</v>
      </c>
      <c r="D391" t="s">
        <v>2344</v>
      </c>
      <c r="E391" t="s">
        <v>2036</v>
      </c>
      <c r="F391">
        <v>202107</v>
      </c>
      <c r="G391" t="s">
        <v>2166</v>
      </c>
      <c r="H391">
        <v>12.33</v>
      </c>
      <c r="O391">
        <v>5352</v>
      </c>
      <c r="P391" t="s">
        <v>2625</v>
      </c>
      <c r="Q391">
        <v>5697</v>
      </c>
      <c r="R391" t="s">
        <v>2344</v>
      </c>
      <c r="S391" t="s">
        <v>2036</v>
      </c>
      <c r="T391">
        <v>202112</v>
      </c>
      <c r="U391" t="s">
        <v>186</v>
      </c>
      <c r="V391">
        <v>0</v>
      </c>
    </row>
    <row r="392" spans="1:22">
      <c r="A392">
        <v>5352</v>
      </c>
      <c r="B392" t="s">
        <v>2625</v>
      </c>
      <c r="C392">
        <v>5697</v>
      </c>
      <c r="D392" t="s">
        <v>2344</v>
      </c>
      <c r="E392" t="s">
        <v>2036</v>
      </c>
      <c r="F392">
        <v>202107</v>
      </c>
      <c r="G392" t="s">
        <v>2167</v>
      </c>
      <c r="H392">
        <v>23.94</v>
      </c>
      <c r="O392">
        <v>5352</v>
      </c>
      <c r="P392" t="s">
        <v>2625</v>
      </c>
      <c r="Q392">
        <v>5697</v>
      </c>
      <c r="R392" t="s">
        <v>2344</v>
      </c>
      <c r="S392" t="s">
        <v>2036</v>
      </c>
      <c r="T392">
        <v>202112</v>
      </c>
      <c r="U392" t="s">
        <v>190</v>
      </c>
      <c r="V392">
        <v>191926</v>
      </c>
    </row>
    <row r="393" spans="1:22">
      <c r="A393">
        <v>5352</v>
      </c>
      <c r="B393" t="s">
        <v>2625</v>
      </c>
      <c r="C393">
        <v>5697</v>
      </c>
      <c r="D393" t="s">
        <v>2344</v>
      </c>
      <c r="E393" t="s">
        <v>2036</v>
      </c>
      <c r="F393">
        <v>202107</v>
      </c>
      <c r="G393" t="s">
        <v>2168</v>
      </c>
      <c r="H393">
        <v>10.17</v>
      </c>
      <c r="O393">
        <v>5352</v>
      </c>
      <c r="P393" t="s">
        <v>2625</v>
      </c>
      <c r="Q393">
        <v>5697</v>
      </c>
      <c r="R393" t="s">
        <v>2344</v>
      </c>
      <c r="S393" t="s">
        <v>2036</v>
      </c>
      <c r="T393">
        <v>202112</v>
      </c>
      <c r="U393" t="s">
        <v>191</v>
      </c>
      <c r="V393">
        <v>29417</v>
      </c>
    </row>
    <row r="394" spans="1:22">
      <c r="A394">
        <v>5352</v>
      </c>
      <c r="B394" t="s">
        <v>2625</v>
      </c>
      <c r="C394">
        <v>5697</v>
      </c>
      <c r="D394" t="s">
        <v>2344</v>
      </c>
      <c r="E394" t="s">
        <v>2036</v>
      </c>
      <c r="F394">
        <v>202107</v>
      </c>
      <c r="G394" t="s">
        <v>2171</v>
      </c>
      <c r="H394">
        <v>37969.64</v>
      </c>
      <c r="O394">
        <v>5352</v>
      </c>
      <c r="P394" t="s">
        <v>2625</v>
      </c>
      <c r="Q394">
        <v>5697</v>
      </c>
      <c r="R394" t="s">
        <v>2344</v>
      </c>
      <c r="S394" t="s">
        <v>2036</v>
      </c>
      <c r="T394">
        <v>202112</v>
      </c>
      <c r="U394" t="s">
        <v>178</v>
      </c>
      <c r="V394">
        <v>810</v>
      </c>
    </row>
    <row r="395" spans="1:22">
      <c r="A395">
        <v>5352</v>
      </c>
      <c r="B395" t="s">
        <v>2625</v>
      </c>
      <c r="C395">
        <v>5697</v>
      </c>
      <c r="D395" t="s">
        <v>2344</v>
      </c>
      <c r="E395" t="s">
        <v>2036</v>
      </c>
      <c r="F395">
        <v>202107</v>
      </c>
      <c r="G395" t="s">
        <v>190</v>
      </c>
      <c r="H395">
        <v>332183</v>
      </c>
      <c r="O395">
        <v>5352</v>
      </c>
      <c r="P395" t="s">
        <v>2625</v>
      </c>
      <c r="Q395">
        <v>5697</v>
      </c>
      <c r="R395" t="s">
        <v>2344</v>
      </c>
      <c r="S395" t="s">
        <v>2036</v>
      </c>
      <c r="T395">
        <v>202112</v>
      </c>
      <c r="U395" t="s">
        <v>180</v>
      </c>
      <c r="V395">
        <v>930</v>
      </c>
    </row>
    <row r="396" spans="1:22">
      <c r="A396">
        <v>5352</v>
      </c>
      <c r="B396" t="s">
        <v>2625</v>
      </c>
      <c r="C396">
        <v>5697</v>
      </c>
      <c r="D396" t="s">
        <v>2344</v>
      </c>
      <c r="E396" t="s">
        <v>2036</v>
      </c>
      <c r="F396">
        <v>202107</v>
      </c>
      <c r="G396" t="s">
        <v>191</v>
      </c>
      <c r="H396">
        <v>44391</v>
      </c>
      <c r="O396">
        <v>5352</v>
      </c>
      <c r="P396" t="s">
        <v>2625</v>
      </c>
      <c r="Q396">
        <v>5697</v>
      </c>
      <c r="R396" t="s">
        <v>2344</v>
      </c>
      <c r="S396" t="s">
        <v>2036</v>
      </c>
      <c r="T396">
        <v>202112</v>
      </c>
      <c r="U396" t="s">
        <v>182</v>
      </c>
      <c r="V396">
        <v>191926</v>
      </c>
    </row>
    <row r="397" spans="1:22">
      <c r="A397">
        <v>5352</v>
      </c>
      <c r="B397" t="s">
        <v>2625</v>
      </c>
      <c r="C397">
        <v>5697</v>
      </c>
      <c r="D397" t="s">
        <v>2344</v>
      </c>
      <c r="E397" t="s">
        <v>2036</v>
      </c>
      <c r="F397">
        <v>202107</v>
      </c>
      <c r="G397" t="s">
        <v>176</v>
      </c>
      <c r="H397">
        <v>-430.89</v>
      </c>
      <c r="O397">
        <v>5352</v>
      </c>
      <c r="P397" t="s">
        <v>2625</v>
      </c>
      <c r="Q397">
        <v>5697</v>
      </c>
      <c r="R397" t="s">
        <v>2344</v>
      </c>
      <c r="S397" t="s">
        <v>2036</v>
      </c>
      <c r="T397">
        <v>202112</v>
      </c>
      <c r="U397" t="s">
        <v>184</v>
      </c>
      <c r="V397">
        <v>29417</v>
      </c>
    </row>
    <row r="398" spans="1:22">
      <c r="A398">
        <v>5352</v>
      </c>
      <c r="B398" t="s">
        <v>2625</v>
      </c>
      <c r="C398">
        <v>5697</v>
      </c>
      <c r="D398" t="s">
        <v>2344</v>
      </c>
      <c r="E398" t="s">
        <v>2036</v>
      </c>
      <c r="F398">
        <v>202107</v>
      </c>
      <c r="G398" t="s">
        <v>178</v>
      </c>
      <c r="H398">
        <v>913</v>
      </c>
      <c r="O398">
        <v>5352</v>
      </c>
      <c r="P398" t="s">
        <v>2625</v>
      </c>
      <c r="Q398">
        <v>5697</v>
      </c>
      <c r="R398" t="s">
        <v>2344</v>
      </c>
      <c r="S398" t="s">
        <v>2036</v>
      </c>
      <c r="T398">
        <v>202112</v>
      </c>
      <c r="U398" t="s">
        <v>186</v>
      </c>
      <c r="V398">
        <v>0</v>
      </c>
    </row>
    <row r="399" spans="1:22">
      <c r="A399">
        <v>5352</v>
      </c>
      <c r="B399" t="s">
        <v>2625</v>
      </c>
      <c r="C399">
        <v>5697</v>
      </c>
      <c r="D399" t="s">
        <v>2344</v>
      </c>
      <c r="E399" t="s">
        <v>2036</v>
      </c>
      <c r="F399">
        <v>202107</v>
      </c>
      <c r="G399" t="s">
        <v>180</v>
      </c>
      <c r="H399">
        <v>873</v>
      </c>
      <c r="O399">
        <v>5352</v>
      </c>
      <c r="P399" t="s">
        <v>2625</v>
      </c>
      <c r="Q399">
        <v>5697</v>
      </c>
      <c r="R399" t="s">
        <v>2344</v>
      </c>
      <c r="S399" t="s">
        <v>2036</v>
      </c>
      <c r="T399">
        <v>202112</v>
      </c>
      <c r="U399" t="s">
        <v>190</v>
      </c>
      <c r="V399">
        <v>55648</v>
      </c>
    </row>
    <row r="400" spans="1:22">
      <c r="A400">
        <v>5352</v>
      </c>
      <c r="B400" t="s">
        <v>2625</v>
      </c>
      <c r="C400">
        <v>5697</v>
      </c>
      <c r="D400" t="s">
        <v>2344</v>
      </c>
      <c r="E400" t="s">
        <v>2036</v>
      </c>
      <c r="F400">
        <v>202107</v>
      </c>
      <c r="G400" t="s">
        <v>182</v>
      </c>
      <c r="H400">
        <v>332183</v>
      </c>
      <c r="O400">
        <v>5352</v>
      </c>
      <c r="P400" t="s">
        <v>2625</v>
      </c>
      <c r="Q400">
        <v>5697</v>
      </c>
      <c r="R400" t="s">
        <v>2344</v>
      </c>
      <c r="S400" t="s">
        <v>2036</v>
      </c>
      <c r="T400">
        <v>202112</v>
      </c>
      <c r="U400" t="s">
        <v>191</v>
      </c>
      <c r="V400">
        <v>8363</v>
      </c>
    </row>
    <row r="401" spans="1:22">
      <c r="A401">
        <v>5352</v>
      </c>
      <c r="B401" t="s">
        <v>2625</v>
      </c>
      <c r="C401">
        <v>5697</v>
      </c>
      <c r="D401" t="s">
        <v>2344</v>
      </c>
      <c r="E401" t="s">
        <v>2036</v>
      </c>
      <c r="F401">
        <v>202107</v>
      </c>
      <c r="G401" t="s">
        <v>184</v>
      </c>
      <c r="H401">
        <v>44391</v>
      </c>
      <c r="O401">
        <v>5352</v>
      </c>
      <c r="P401" t="s">
        <v>2625</v>
      </c>
      <c r="Q401">
        <v>5697</v>
      </c>
      <c r="R401" t="s">
        <v>2344</v>
      </c>
      <c r="S401" t="s">
        <v>2036</v>
      </c>
      <c r="T401">
        <v>202112</v>
      </c>
      <c r="U401" t="s">
        <v>178</v>
      </c>
      <c r="V401">
        <v>250</v>
      </c>
    </row>
    <row r="402" spans="1:22">
      <c r="A402">
        <v>5352</v>
      </c>
      <c r="B402" t="s">
        <v>2625</v>
      </c>
      <c r="C402">
        <v>5697</v>
      </c>
      <c r="D402" t="s">
        <v>2344</v>
      </c>
      <c r="E402" t="s">
        <v>2036</v>
      </c>
      <c r="F402">
        <v>202107</v>
      </c>
      <c r="G402" t="s">
        <v>192</v>
      </c>
      <c r="H402">
        <v>0</v>
      </c>
      <c r="O402">
        <v>5352</v>
      </c>
      <c r="P402" t="s">
        <v>2625</v>
      </c>
      <c r="Q402">
        <v>5697</v>
      </c>
      <c r="R402" t="s">
        <v>2344</v>
      </c>
      <c r="S402" t="s">
        <v>2036</v>
      </c>
      <c r="T402">
        <v>202112</v>
      </c>
      <c r="U402" t="s">
        <v>180</v>
      </c>
      <c r="V402">
        <v>250</v>
      </c>
    </row>
    <row r="403" spans="1:22">
      <c r="A403">
        <v>5352</v>
      </c>
      <c r="B403" t="s">
        <v>2625</v>
      </c>
      <c r="C403">
        <v>5697</v>
      </c>
      <c r="D403" t="s">
        <v>2344</v>
      </c>
      <c r="E403" t="s">
        <v>2036</v>
      </c>
      <c r="F403">
        <v>202107</v>
      </c>
      <c r="G403" t="s">
        <v>2170</v>
      </c>
      <c r="H403">
        <v>2604.88</v>
      </c>
      <c r="O403">
        <v>5352</v>
      </c>
      <c r="P403" t="s">
        <v>2625</v>
      </c>
      <c r="Q403">
        <v>5697</v>
      </c>
      <c r="R403" t="s">
        <v>2344</v>
      </c>
      <c r="S403" t="s">
        <v>2036</v>
      </c>
      <c r="T403">
        <v>202112</v>
      </c>
      <c r="U403" t="s">
        <v>182</v>
      </c>
      <c r="V403">
        <v>55648</v>
      </c>
    </row>
    <row r="404" spans="1:22">
      <c r="A404">
        <v>5352</v>
      </c>
      <c r="B404" t="s">
        <v>2625</v>
      </c>
      <c r="C404">
        <v>5697</v>
      </c>
      <c r="D404" t="s">
        <v>2344</v>
      </c>
      <c r="E404" t="s">
        <v>2036</v>
      </c>
      <c r="F404">
        <v>202107</v>
      </c>
      <c r="G404" t="s">
        <v>186</v>
      </c>
      <c r="H404">
        <v>0</v>
      </c>
      <c r="O404">
        <v>5352</v>
      </c>
      <c r="P404" t="s">
        <v>2625</v>
      </c>
      <c r="Q404">
        <v>5697</v>
      </c>
      <c r="R404" t="s">
        <v>2344</v>
      </c>
      <c r="S404" t="s">
        <v>2036</v>
      </c>
      <c r="T404">
        <v>202112</v>
      </c>
      <c r="U404" t="s">
        <v>184</v>
      </c>
      <c r="V404">
        <v>8363</v>
      </c>
    </row>
    <row r="405" spans="1:22">
      <c r="A405">
        <v>5352</v>
      </c>
      <c r="B405" t="s">
        <v>2625</v>
      </c>
      <c r="C405">
        <v>5697</v>
      </c>
      <c r="D405" t="s">
        <v>2344</v>
      </c>
      <c r="E405" t="s">
        <v>2036</v>
      </c>
      <c r="F405">
        <v>202107</v>
      </c>
      <c r="G405" t="s">
        <v>2169</v>
      </c>
      <c r="H405">
        <v>99.17</v>
      </c>
      <c r="O405">
        <v>5352</v>
      </c>
      <c r="P405" t="s">
        <v>2625</v>
      </c>
      <c r="Q405">
        <v>5697</v>
      </c>
      <c r="R405" t="s">
        <v>2344</v>
      </c>
      <c r="S405" t="s">
        <v>2036</v>
      </c>
      <c r="T405">
        <v>202112</v>
      </c>
      <c r="U405" t="s">
        <v>186</v>
      </c>
      <c r="V405">
        <v>0</v>
      </c>
    </row>
    <row r="406" spans="1:22">
      <c r="A406">
        <v>5352</v>
      </c>
      <c r="B406" t="s">
        <v>2625</v>
      </c>
      <c r="C406">
        <v>5697</v>
      </c>
      <c r="D406" t="s">
        <v>2344</v>
      </c>
      <c r="E406" t="s">
        <v>2036</v>
      </c>
      <c r="F406">
        <v>202107</v>
      </c>
      <c r="G406" t="s">
        <v>2166</v>
      </c>
      <c r="H406">
        <v>12.33</v>
      </c>
      <c r="O406">
        <v>5352</v>
      </c>
      <c r="P406" t="s">
        <v>2625</v>
      </c>
      <c r="Q406">
        <v>5697</v>
      </c>
      <c r="R406" t="s">
        <v>2344</v>
      </c>
      <c r="S406" t="s">
        <v>2036</v>
      </c>
      <c r="T406">
        <v>202112</v>
      </c>
      <c r="U406" t="s">
        <v>190</v>
      </c>
      <c r="V406">
        <v>658224</v>
      </c>
    </row>
    <row r="407" spans="1:22">
      <c r="A407">
        <v>5352</v>
      </c>
      <c r="B407" t="s">
        <v>2625</v>
      </c>
      <c r="C407">
        <v>5697</v>
      </c>
      <c r="D407" t="s">
        <v>2344</v>
      </c>
      <c r="E407" t="s">
        <v>2036</v>
      </c>
      <c r="F407">
        <v>202107</v>
      </c>
      <c r="G407" t="s">
        <v>2167</v>
      </c>
      <c r="H407">
        <v>23.94</v>
      </c>
      <c r="O407">
        <v>5352</v>
      </c>
      <c r="P407" t="s">
        <v>2625</v>
      </c>
      <c r="Q407">
        <v>5697</v>
      </c>
      <c r="R407" t="s">
        <v>2344</v>
      </c>
      <c r="S407" t="s">
        <v>2036</v>
      </c>
      <c r="T407">
        <v>202112</v>
      </c>
      <c r="U407" t="s">
        <v>191</v>
      </c>
      <c r="V407">
        <v>45690</v>
      </c>
    </row>
    <row r="408" spans="1:22">
      <c r="A408">
        <v>5352</v>
      </c>
      <c r="B408" t="s">
        <v>2625</v>
      </c>
      <c r="C408">
        <v>5697</v>
      </c>
      <c r="D408" t="s">
        <v>2344</v>
      </c>
      <c r="E408" t="s">
        <v>2036</v>
      </c>
      <c r="F408">
        <v>202107</v>
      </c>
      <c r="G408" t="s">
        <v>2168</v>
      </c>
      <c r="H408">
        <v>10.17</v>
      </c>
      <c r="O408">
        <v>5352</v>
      </c>
      <c r="P408" t="s">
        <v>2625</v>
      </c>
      <c r="Q408">
        <v>5697</v>
      </c>
      <c r="R408" t="s">
        <v>2344</v>
      </c>
      <c r="S408" t="s">
        <v>2036</v>
      </c>
      <c r="T408">
        <v>202112</v>
      </c>
      <c r="U408" t="s">
        <v>178</v>
      </c>
      <c r="V408">
        <v>1419</v>
      </c>
    </row>
    <row r="409" spans="1:22">
      <c r="A409">
        <v>5352</v>
      </c>
      <c r="B409" t="s">
        <v>2625</v>
      </c>
      <c r="C409">
        <v>5697</v>
      </c>
      <c r="D409" t="s">
        <v>2344</v>
      </c>
      <c r="E409" t="s">
        <v>2036</v>
      </c>
      <c r="F409">
        <v>202107</v>
      </c>
      <c r="G409" t="s">
        <v>2171</v>
      </c>
      <c r="H409">
        <v>79718.960000000006</v>
      </c>
      <c r="O409">
        <v>5352</v>
      </c>
      <c r="P409" t="s">
        <v>2625</v>
      </c>
      <c r="Q409">
        <v>5697</v>
      </c>
      <c r="R409" t="s">
        <v>2344</v>
      </c>
      <c r="S409" t="s">
        <v>2036</v>
      </c>
      <c r="T409">
        <v>202112</v>
      </c>
      <c r="U409" t="s">
        <v>180</v>
      </c>
      <c r="V409">
        <v>1250</v>
      </c>
    </row>
    <row r="410" spans="1:22">
      <c r="A410">
        <v>5352</v>
      </c>
      <c r="B410" t="s">
        <v>2625</v>
      </c>
      <c r="C410">
        <v>5697</v>
      </c>
      <c r="D410" t="s">
        <v>2344</v>
      </c>
      <c r="E410" t="s">
        <v>2036</v>
      </c>
      <c r="F410">
        <v>202107</v>
      </c>
      <c r="G410" t="s">
        <v>190</v>
      </c>
      <c r="H410">
        <v>638693</v>
      </c>
      <c r="O410">
        <v>5352</v>
      </c>
      <c r="P410" t="s">
        <v>2625</v>
      </c>
      <c r="Q410">
        <v>5697</v>
      </c>
      <c r="R410" t="s">
        <v>2344</v>
      </c>
      <c r="S410" t="s">
        <v>2036</v>
      </c>
      <c r="T410">
        <v>202112</v>
      </c>
      <c r="U410" t="s">
        <v>182</v>
      </c>
      <c r="V410">
        <v>658224</v>
      </c>
    </row>
    <row r="411" spans="1:22">
      <c r="A411">
        <v>5352</v>
      </c>
      <c r="B411" t="s">
        <v>2625</v>
      </c>
      <c r="C411">
        <v>5697</v>
      </c>
      <c r="D411" t="s">
        <v>2344</v>
      </c>
      <c r="E411" t="s">
        <v>2036</v>
      </c>
      <c r="F411">
        <v>202107</v>
      </c>
      <c r="G411" t="s">
        <v>191</v>
      </c>
      <c r="H411">
        <v>44019</v>
      </c>
      <c r="O411">
        <v>5352</v>
      </c>
      <c r="P411" t="s">
        <v>2625</v>
      </c>
      <c r="Q411">
        <v>5697</v>
      </c>
      <c r="R411" t="s">
        <v>2344</v>
      </c>
      <c r="S411" t="s">
        <v>2036</v>
      </c>
      <c r="T411">
        <v>202112</v>
      </c>
      <c r="U411" t="s">
        <v>184</v>
      </c>
      <c r="V411">
        <v>45690</v>
      </c>
    </row>
    <row r="412" spans="1:22">
      <c r="A412">
        <v>5352</v>
      </c>
      <c r="B412" t="s">
        <v>2625</v>
      </c>
      <c r="C412">
        <v>5697</v>
      </c>
      <c r="D412" t="s">
        <v>2344</v>
      </c>
      <c r="E412" t="s">
        <v>2036</v>
      </c>
      <c r="F412">
        <v>202107</v>
      </c>
      <c r="G412" t="s">
        <v>176</v>
      </c>
      <c r="H412">
        <v>0</v>
      </c>
      <c r="O412">
        <v>5352</v>
      </c>
      <c r="P412" t="s">
        <v>2625</v>
      </c>
      <c r="Q412">
        <v>5697</v>
      </c>
      <c r="R412" t="s">
        <v>2344</v>
      </c>
      <c r="S412" t="s">
        <v>2036</v>
      </c>
      <c r="T412">
        <v>202112</v>
      </c>
      <c r="U412" t="s">
        <v>186</v>
      </c>
      <c r="V412">
        <v>0</v>
      </c>
    </row>
    <row r="413" spans="1:22">
      <c r="A413">
        <v>5352</v>
      </c>
      <c r="B413" t="s">
        <v>2625</v>
      </c>
      <c r="C413">
        <v>5697</v>
      </c>
      <c r="D413" t="s">
        <v>2344</v>
      </c>
      <c r="E413" t="s">
        <v>2036</v>
      </c>
      <c r="F413">
        <v>202107</v>
      </c>
      <c r="G413" t="s">
        <v>178</v>
      </c>
      <c r="H413">
        <v>1363</v>
      </c>
      <c r="O413">
        <v>5352</v>
      </c>
      <c r="P413" t="s">
        <v>2625</v>
      </c>
      <c r="Q413">
        <v>5697</v>
      </c>
      <c r="R413" t="s">
        <v>2344</v>
      </c>
      <c r="S413" t="s">
        <v>2036</v>
      </c>
      <c r="T413">
        <v>202112</v>
      </c>
      <c r="U413" t="s">
        <v>190</v>
      </c>
      <c r="V413">
        <v>165376</v>
      </c>
    </row>
    <row r="414" spans="1:22">
      <c r="A414">
        <v>5352</v>
      </c>
      <c r="B414" t="s">
        <v>2625</v>
      </c>
      <c r="C414">
        <v>5697</v>
      </c>
      <c r="D414" t="s">
        <v>2344</v>
      </c>
      <c r="E414" t="s">
        <v>2036</v>
      </c>
      <c r="F414">
        <v>202107</v>
      </c>
      <c r="G414" t="s">
        <v>180</v>
      </c>
      <c r="H414">
        <v>1250</v>
      </c>
      <c r="O414">
        <v>5352</v>
      </c>
      <c r="P414" t="s">
        <v>2625</v>
      </c>
      <c r="Q414">
        <v>5697</v>
      </c>
      <c r="R414" t="s">
        <v>2344</v>
      </c>
      <c r="S414" t="s">
        <v>2036</v>
      </c>
      <c r="T414">
        <v>202112</v>
      </c>
      <c r="U414" t="s">
        <v>191</v>
      </c>
      <c r="V414">
        <v>21682</v>
      </c>
    </row>
    <row r="415" spans="1:22">
      <c r="A415">
        <v>5352</v>
      </c>
      <c r="B415" t="s">
        <v>2625</v>
      </c>
      <c r="C415">
        <v>5697</v>
      </c>
      <c r="D415" t="s">
        <v>2344</v>
      </c>
      <c r="E415" t="s">
        <v>2036</v>
      </c>
      <c r="F415">
        <v>202107</v>
      </c>
      <c r="G415" t="s">
        <v>182</v>
      </c>
      <c r="H415">
        <v>638693</v>
      </c>
      <c r="O415">
        <v>5352</v>
      </c>
      <c r="P415" t="s">
        <v>2625</v>
      </c>
      <c r="Q415">
        <v>5697</v>
      </c>
      <c r="R415" t="s">
        <v>2344</v>
      </c>
      <c r="S415" t="s">
        <v>2036</v>
      </c>
      <c r="T415">
        <v>202112</v>
      </c>
      <c r="U415" t="s">
        <v>178</v>
      </c>
      <c r="V415">
        <v>580</v>
      </c>
    </row>
    <row r="416" spans="1:22">
      <c r="A416">
        <v>5352</v>
      </c>
      <c r="B416" t="s">
        <v>2625</v>
      </c>
      <c r="C416">
        <v>5697</v>
      </c>
      <c r="D416" t="s">
        <v>2344</v>
      </c>
      <c r="E416" t="s">
        <v>2036</v>
      </c>
      <c r="F416">
        <v>202107</v>
      </c>
      <c r="G416" t="s">
        <v>184</v>
      </c>
      <c r="H416">
        <v>44019</v>
      </c>
      <c r="O416">
        <v>5352</v>
      </c>
      <c r="P416" t="s">
        <v>2625</v>
      </c>
      <c r="Q416">
        <v>5697</v>
      </c>
      <c r="R416" t="s">
        <v>2344</v>
      </c>
      <c r="S416" t="s">
        <v>2036</v>
      </c>
      <c r="T416">
        <v>202112</v>
      </c>
      <c r="U416" t="s">
        <v>180</v>
      </c>
      <c r="V416">
        <v>580</v>
      </c>
    </row>
    <row r="417" spans="1:22">
      <c r="A417">
        <v>5352</v>
      </c>
      <c r="B417" t="s">
        <v>2625</v>
      </c>
      <c r="C417">
        <v>5697</v>
      </c>
      <c r="D417" t="s">
        <v>2344</v>
      </c>
      <c r="E417" t="s">
        <v>2036</v>
      </c>
      <c r="F417">
        <v>202107</v>
      </c>
      <c r="G417" t="s">
        <v>192</v>
      </c>
      <c r="H417">
        <v>0</v>
      </c>
      <c r="O417">
        <v>5352</v>
      </c>
      <c r="P417" t="s">
        <v>2625</v>
      </c>
      <c r="Q417">
        <v>5697</v>
      </c>
      <c r="R417" t="s">
        <v>2344</v>
      </c>
      <c r="S417" t="s">
        <v>2036</v>
      </c>
      <c r="T417">
        <v>202112</v>
      </c>
      <c r="U417" t="s">
        <v>182</v>
      </c>
      <c r="V417">
        <v>165376</v>
      </c>
    </row>
    <row r="418" spans="1:22">
      <c r="A418">
        <v>5352</v>
      </c>
      <c r="B418" t="s">
        <v>2625</v>
      </c>
      <c r="C418">
        <v>5697</v>
      </c>
      <c r="D418" t="s">
        <v>2344</v>
      </c>
      <c r="E418" t="s">
        <v>2036</v>
      </c>
      <c r="F418">
        <v>202107</v>
      </c>
      <c r="G418" t="s">
        <v>2170</v>
      </c>
      <c r="H418">
        <v>4077.23</v>
      </c>
      <c r="O418">
        <v>5352</v>
      </c>
      <c r="P418" t="s">
        <v>2625</v>
      </c>
      <c r="Q418">
        <v>5697</v>
      </c>
      <c r="R418" t="s">
        <v>2344</v>
      </c>
      <c r="S418" t="s">
        <v>2036</v>
      </c>
      <c r="T418">
        <v>202112</v>
      </c>
      <c r="U418" t="s">
        <v>184</v>
      </c>
      <c r="V418">
        <v>21682</v>
      </c>
    </row>
    <row r="419" spans="1:22">
      <c r="A419">
        <v>5352</v>
      </c>
      <c r="B419" t="s">
        <v>2625</v>
      </c>
      <c r="C419">
        <v>5697</v>
      </c>
      <c r="D419" t="s">
        <v>2344</v>
      </c>
      <c r="E419" t="s">
        <v>2036</v>
      </c>
      <c r="F419">
        <v>202107</v>
      </c>
      <c r="G419" t="s">
        <v>186</v>
      </c>
      <c r="H419">
        <v>0</v>
      </c>
      <c r="O419">
        <v>5352</v>
      </c>
      <c r="P419" t="s">
        <v>2625</v>
      </c>
      <c r="Q419">
        <v>5697</v>
      </c>
      <c r="R419" t="s">
        <v>2344</v>
      </c>
      <c r="S419" t="s">
        <v>2036</v>
      </c>
      <c r="T419">
        <v>202112</v>
      </c>
      <c r="U419" t="s">
        <v>186</v>
      </c>
      <c r="V419">
        <v>0</v>
      </c>
    </row>
    <row r="420" spans="1:22">
      <c r="A420">
        <v>5352</v>
      </c>
      <c r="B420" t="s">
        <v>2625</v>
      </c>
      <c r="C420">
        <v>5697</v>
      </c>
      <c r="D420" t="s">
        <v>2344</v>
      </c>
      <c r="E420" t="s">
        <v>2036</v>
      </c>
      <c r="F420">
        <v>202107</v>
      </c>
      <c r="G420" t="s">
        <v>2169</v>
      </c>
      <c r="H420">
        <v>99.17</v>
      </c>
      <c r="O420">
        <v>5352</v>
      </c>
      <c r="P420" t="s">
        <v>2625</v>
      </c>
      <c r="Q420">
        <v>5697</v>
      </c>
      <c r="R420" t="s">
        <v>2344</v>
      </c>
      <c r="S420" t="s">
        <v>2036</v>
      </c>
      <c r="T420">
        <v>202112</v>
      </c>
      <c r="U420" t="s">
        <v>190</v>
      </c>
      <c r="V420">
        <v>128614</v>
      </c>
    </row>
    <row r="421" spans="1:22">
      <c r="A421">
        <v>5352</v>
      </c>
      <c r="B421" t="s">
        <v>2625</v>
      </c>
      <c r="C421">
        <v>5697</v>
      </c>
      <c r="D421" t="s">
        <v>2344</v>
      </c>
      <c r="E421" t="s">
        <v>2036</v>
      </c>
      <c r="F421">
        <v>202107</v>
      </c>
      <c r="G421" t="s">
        <v>2166</v>
      </c>
      <c r="H421">
        <v>12.33</v>
      </c>
      <c r="O421">
        <v>5352</v>
      </c>
      <c r="P421" t="s">
        <v>2625</v>
      </c>
      <c r="Q421">
        <v>5697</v>
      </c>
      <c r="R421" t="s">
        <v>2344</v>
      </c>
      <c r="S421" t="s">
        <v>2036</v>
      </c>
      <c r="T421">
        <v>202112</v>
      </c>
      <c r="U421" t="s">
        <v>191</v>
      </c>
      <c r="V421">
        <v>17011</v>
      </c>
    </row>
    <row r="422" spans="1:22">
      <c r="A422">
        <v>5352</v>
      </c>
      <c r="B422" t="s">
        <v>2625</v>
      </c>
      <c r="C422">
        <v>5697</v>
      </c>
      <c r="D422" t="s">
        <v>2344</v>
      </c>
      <c r="E422" t="s">
        <v>2036</v>
      </c>
      <c r="F422">
        <v>202107</v>
      </c>
      <c r="G422" t="s">
        <v>2167</v>
      </c>
      <c r="H422">
        <v>23.94</v>
      </c>
      <c r="O422">
        <v>5352</v>
      </c>
      <c r="P422" t="s">
        <v>2625</v>
      </c>
      <c r="Q422">
        <v>5697</v>
      </c>
      <c r="R422" t="s">
        <v>2344</v>
      </c>
      <c r="S422" t="s">
        <v>2036</v>
      </c>
      <c r="T422">
        <v>202112</v>
      </c>
      <c r="U422" t="s">
        <v>178</v>
      </c>
      <c r="V422">
        <v>600</v>
      </c>
    </row>
    <row r="423" spans="1:22">
      <c r="A423">
        <v>5352</v>
      </c>
      <c r="B423" t="s">
        <v>2625</v>
      </c>
      <c r="C423">
        <v>5697</v>
      </c>
      <c r="D423" t="s">
        <v>2344</v>
      </c>
      <c r="E423" t="s">
        <v>2036</v>
      </c>
      <c r="F423">
        <v>202107</v>
      </c>
      <c r="G423" t="s">
        <v>2168</v>
      </c>
      <c r="H423">
        <v>10.17</v>
      </c>
      <c r="O423">
        <v>5352</v>
      </c>
      <c r="P423" t="s">
        <v>2625</v>
      </c>
      <c r="Q423">
        <v>5697</v>
      </c>
      <c r="R423" t="s">
        <v>2344</v>
      </c>
      <c r="S423" t="s">
        <v>2036</v>
      </c>
      <c r="T423">
        <v>202112</v>
      </c>
      <c r="U423" t="s">
        <v>180</v>
      </c>
      <c r="V423">
        <v>600</v>
      </c>
    </row>
    <row r="424" spans="1:22">
      <c r="A424">
        <v>5352</v>
      </c>
      <c r="B424" t="s">
        <v>2625</v>
      </c>
      <c r="C424">
        <v>5697</v>
      </c>
      <c r="D424" t="s">
        <v>2344</v>
      </c>
      <c r="E424" t="s">
        <v>2036</v>
      </c>
      <c r="F424">
        <v>202107</v>
      </c>
      <c r="G424" t="s">
        <v>2171</v>
      </c>
      <c r="H424">
        <v>125453.28</v>
      </c>
      <c r="O424">
        <v>5352</v>
      </c>
      <c r="P424" t="s">
        <v>2625</v>
      </c>
      <c r="Q424">
        <v>5697</v>
      </c>
      <c r="R424" t="s">
        <v>2344</v>
      </c>
      <c r="S424" t="s">
        <v>2036</v>
      </c>
      <c r="T424">
        <v>202112</v>
      </c>
      <c r="U424" t="s">
        <v>182</v>
      </c>
      <c r="V424">
        <v>128614</v>
      </c>
    </row>
    <row r="425" spans="1:22">
      <c r="A425">
        <v>5352</v>
      </c>
      <c r="B425" t="s">
        <v>2625</v>
      </c>
      <c r="C425">
        <v>5697</v>
      </c>
      <c r="D425" t="s">
        <v>2344</v>
      </c>
      <c r="E425" t="s">
        <v>2036</v>
      </c>
      <c r="F425">
        <v>202107</v>
      </c>
      <c r="G425" t="s">
        <v>190</v>
      </c>
      <c r="H425">
        <v>732924</v>
      </c>
      <c r="O425">
        <v>5352</v>
      </c>
      <c r="P425" t="s">
        <v>2625</v>
      </c>
      <c r="Q425">
        <v>5697</v>
      </c>
      <c r="R425" t="s">
        <v>2344</v>
      </c>
      <c r="S425" t="s">
        <v>2036</v>
      </c>
      <c r="T425">
        <v>202112</v>
      </c>
      <c r="U425" t="s">
        <v>184</v>
      </c>
      <c r="V425">
        <v>17011</v>
      </c>
    </row>
    <row r="426" spans="1:22">
      <c r="A426">
        <v>5352</v>
      </c>
      <c r="B426" t="s">
        <v>2625</v>
      </c>
      <c r="C426">
        <v>5697</v>
      </c>
      <c r="D426" t="s">
        <v>2344</v>
      </c>
      <c r="E426" t="s">
        <v>2036</v>
      </c>
      <c r="F426">
        <v>202107</v>
      </c>
      <c r="G426" t="s">
        <v>191</v>
      </c>
      <c r="H426">
        <v>124705</v>
      </c>
      <c r="O426">
        <v>5352</v>
      </c>
      <c r="P426" t="s">
        <v>2625</v>
      </c>
      <c r="Q426">
        <v>5697</v>
      </c>
      <c r="R426" t="s">
        <v>2344</v>
      </c>
      <c r="S426" t="s">
        <v>2036</v>
      </c>
      <c r="T426">
        <v>202112</v>
      </c>
      <c r="U426" t="s">
        <v>186</v>
      </c>
      <c r="V426">
        <v>0</v>
      </c>
    </row>
    <row r="427" spans="1:22">
      <c r="A427">
        <v>5352</v>
      </c>
      <c r="B427" t="s">
        <v>2625</v>
      </c>
      <c r="C427">
        <v>5697</v>
      </c>
      <c r="D427" t="s">
        <v>2344</v>
      </c>
      <c r="E427" t="s">
        <v>2036</v>
      </c>
      <c r="F427">
        <v>202107</v>
      </c>
      <c r="G427" t="s">
        <v>176</v>
      </c>
      <c r="H427">
        <v>0</v>
      </c>
      <c r="O427">
        <v>5352</v>
      </c>
      <c r="P427" t="s">
        <v>2625</v>
      </c>
      <c r="Q427">
        <v>5697</v>
      </c>
      <c r="R427" t="s">
        <v>2344</v>
      </c>
      <c r="S427" t="s">
        <v>2036</v>
      </c>
      <c r="T427">
        <v>202112</v>
      </c>
      <c r="U427" t="s">
        <v>190</v>
      </c>
      <c r="V427">
        <v>331879</v>
      </c>
    </row>
    <row r="428" spans="1:22">
      <c r="A428">
        <v>5352</v>
      </c>
      <c r="B428" t="s">
        <v>2625</v>
      </c>
      <c r="C428">
        <v>5697</v>
      </c>
      <c r="D428" t="s">
        <v>2344</v>
      </c>
      <c r="E428" t="s">
        <v>2036</v>
      </c>
      <c r="F428">
        <v>202107</v>
      </c>
      <c r="G428" t="s">
        <v>178</v>
      </c>
      <c r="H428">
        <v>2400</v>
      </c>
      <c r="O428">
        <v>5352</v>
      </c>
      <c r="P428" t="s">
        <v>2625</v>
      </c>
      <c r="Q428">
        <v>5697</v>
      </c>
      <c r="R428" t="s">
        <v>2344</v>
      </c>
      <c r="S428" t="s">
        <v>2036</v>
      </c>
      <c r="T428">
        <v>202112</v>
      </c>
      <c r="U428" t="s">
        <v>191</v>
      </c>
      <c r="V428">
        <v>45550</v>
      </c>
    </row>
    <row r="429" spans="1:22">
      <c r="A429">
        <v>5352</v>
      </c>
      <c r="B429" t="s">
        <v>2625</v>
      </c>
      <c r="C429">
        <v>5697</v>
      </c>
      <c r="D429" t="s">
        <v>2344</v>
      </c>
      <c r="E429" t="s">
        <v>2036</v>
      </c>
      <c r="F429">
        <v>202107</v>
      </c>
      <c r="G429" t="s">
        <v>180</v>
      </c>
      <c r="H429">
        <v>2601</v>
      </c>
      <c r="O429">
        <v>5352</v>
      </c>
      <c r="P429" t="s">
        <v>2625</v>
      </c>
      <c r="Q429">
        <v>5697</v>
      </c>
      <c r="R429" t="s">
        <v>2344</v>
      </c>
      <c r="S429" t="s">
        <v>2036</v>
      </c>
      <c r="T429">
        <v>202112</v>
      </c>
      <c r="U429" t="s">
        <v>178</v>
      </c>
      <c r="V429">
        <v>879</v>
      </c>
    </row>
    <row r="430" spans="1:22">
      <c r="A430">
        <v>5352</v>
      </c>
      <c r="B430" t="s">
        <v>2625</v>
      </c>
      <c r="C430">
        <v>5697</v>
      </c>
      <c r="D430" t="s">
        <v>2344</v>
      </c>
      <c r="E430" t="s">
        <v>2036</v>
      </c>
      <c r="F430">
        <v>202107</v>
      </c>
      <c r="G430" t="s">
        <v>182</v>
      </c>
      <c r="H430">
        <v>812493</v>
      </c>
      <c r="O430">
        <v>5352</v>
      </c>
      <c r="P430" t="s">
        <v>2625</v>
      </c>
      <c r="Q430">
        <v>5697</v>
      </c>
      <c r="R430" t="s">
        <v>2344</v>
      </c>
      <c r="S430" t="s">
        <v>2036</v>
      </c>
      <c r="T430">
        <v>202112</v>
      </c>
      <c r="U430" t="s">
        <v>180</v>
      </c>
      <c r="V430">
        <v>865</v>
      </c>
    </row>
    <row r="431" spans="1:22">
      <c r="A431">
        <v>5352</v>
      </c>
      <c r="B431" t="s">
        <v>2625</v>
      </c>
      <c r="C431">
        <v>5697</v>
      </c>
      <c r="D431" t="s">
        <v>2344</v>
      </c>
      <c r="E431" t="s">
        <v>2036</v>
      </c>
      <c r="F431">
        <v>202107</v>
      </c>
      <c r="G431" t="s">
        <v>184</v>
      </c>
      <c r="H431">
        <v>124705</v>
      </c>
      <c r="O431">
        <v>5352</v>
      </c>
      <c r="P431" t="s">
        <v>2625</v>
      </c>
      <c r="Q431">
        <v>5697</v>
      </c>
      <c r="R431" t="s">
        <v>2344</v>
      </c>
      <c r="S431" t="s">
        <v>2036</v>
      </c>
      <c r="T431">
        <v>202112</v>
      </c>
      <c r="U431" t="s">
        <v>182</v>
      </c>
      <c r="V431">
        <v>331879</v>
      </c>
    </row>
    <row r="432" spans="1:22">
      <c r="A432">
        <v>5352</v>
      </c>
      <c r="B432" t="s">
        <v>2625</v>
      </c>
      <c r="C432">
        <v>5697</v>
      </c>
      <c r="D432" t="s">
        <v>2344</v>
      </c>
      <c r="E432" t="s">
        <v>2036</v>
      </c>
      <c r="F432">
        <v>202107</v>
      </c>
      <c r="G432" t="s">
        <v>192</v>
      </c>
      <c r="H432">
        <v>0</v>
      </c>
      <c r="O432">
        <v>5352</v>
      </c>
      <c r="P432" t="s">
        <v>2625</v>
      </c>
      <c r="Q432">
        <v>5697</v>
      </c>
      <c r="R432" t="s">
        <v>2344</v>
      </c>
      <c r="S432" t="s">
        <v>2036</v>
      </c>
      <c r="T432">
        <v>202112</v>
      </c>
      <c r="U432" t="s">
        <v>184</v>
      </c>
      <c r="V432">
        <v>45550</v>
      </c>
    </row>
    <row r="433" spans="1:22">
      <c r="A433">
        <v>5352</v>
      </c>
      <c r="B433" t="s">
        <v>2625</v>
      </c>
      <c r="C433">
        <v>5697</v>
      </c>
      <c r="D433" t="s">
        <v>2344</v>
      </c>
      <c r="E433" t="s">
        <v>2036</v>
      </c>
      <c r="F433">
        <v>202107</v>
      </c>
      <c r="G433" t="s">
        <v>2170</v>
      </c>
      <c r="H433">
        <v>6262.62</v>
      </c>
      <c r="O433">
        <v>5352</v>
      </c>
      <c r="P433" t="s">
        <v>2625</v>
      </c>
      <c r="Q433">
        <v>5697</v>
      </c>
      <c r="R433" t="s">
        <v>2344</v>
      </c>
      <c r="S433" t="s">
        <v>2036</v>
      </c>
      <c r="T433">
        <v>202112</v>
      </c>
      <c r="U433" t="s">
        <v>186</v>
      </c>
      <c r="V433">
        <v>0</v>
      </c>
    </row>
    <row r="434" spans="1:22">
      <c r="A434">
        <v>5352</v>
      </c>
      <c r="B434" t="s">
        <v>2625</v>
      </c>
      <c r="C434">
        <v>5697</v>
      </c>
      <c r="D434" t="s">
        <v>2344</v>
      </c>
      <c r="E434" t="s">
        <v>2036</v>
      </c>
      <c r="F434">
        <v>202107</v>
      </c>
      <c r="G434" t="s">
        <v>186</v>
      </c>
      <c r="H434">
        <v>79569</v>
      </c>
      <c r="O434">
        <v>5352</v>
      </c>
      <c r="P434" t="s">
        <v>2625</v>
      </c>
      <c r="Q434">
        <v>5697</v>
      </c>
      <c r="R434" t="s">
        <v>2344</v>
      </c>
      <c r="S434" t="s">
        <v>2036</v>
      </c>
      <c r="T434">
        <v>202112</v>
      </c>
      <c r="U434" t="s">
        <v>190</v>
      </c>
      <c r="V434">
        <v>92952</v>
      </c>
    </row>
    <row r="435" spans="1:22">
      <c r="A435">
        <v>5352</v>
      </c>
      <c r="B435" t="s">
        <v>2625</v>
      </c>
      <c r="C435">
        <v>5697</v>
      </c>
      <c r="D435" t="s">
        <v>2344</v>
      </c>
      <c r="E435" t="s">
        <v>2036</v>
      </c>
      <c r="F435">
        <v>202107</v>
      </c>
      <c r="G435" t="s">
        <v>2169</v>
      </c>
      <c r="H435">
        <v>99.17</v>
      </c>
      <c r="O435">
        <v>5352</v>
      </c>
      <c r="P435" t="s">
        <v>2625</v>
      </c>
      <c r="Q435">
        <v>5697</v>
      </c>
      <c r="R435" t="s">
        <v>2344</v>
      </c>
      <c r="S435" t="s">
        <v>2036</v>
      </c>
      <c r="T435">
        <v>202112</v>
      </c>
      <c r="U435" t="s">
        <v>191</v>
      </c>
      <c r="V435">
        <v>12997</v>
      </c>
    </row>
    <row r="436" spans="1:22">
      <c r="A436">
        <v>5352</v>
      </c>
      <c r="B436" t="s">
        <v>2625</v>
      </c>
      <c r="C436">
        <v>5697</v>
      </c>
      <c r="D436" t="s">
        <v>2344</v>
      </c>
      <c r="E436" t="s">
        <v>2036</v>
      </c>
      <c r="F436">
        <v>202107</v>
      </c>
      <c r="G436" t="s">
        <v>2166</v>
      </c>
      <c r="H436">
        <v>12.33</v>
      </c>
      <c r="O436">
        <v>5352</v>
      </c>
      <c r="P436" t="s">
        <v>2625</v>
      </c>
      <c r="Q436">
        <v>5697</v>
      </c>
      <c r="R436" t="s">
        <v>2344</v>
      </c>
      <c r="S436" t="s">
        <v>2036</v>
      </c>
      <c r="T436">
        <v>202112</v>
      </c>
      <c r="U436" t="s">
        <v>178</v>
      </c>
      <c r="V436">
        <v>350</v>
      </c>
    </row>
    <row r="437" spans="1:22">
      <c r="A437">
        <v>5352</v>
      </c>
      <c r="B437" t="s">
        <v>2625</v>
      </c>
      <c r="C437">
        <v>5697</v>
      </c>
      <c r="D437" t="s">
        <v>2344</v>
      </c>
      <c r="E437" t="s">
        <v>2036</v>
      </c>
      <c r="F437">
        <v>202107</v>
      </c>
      <c r="G437" t="s">
        <v>2167</v>
      </c>
      <c r="H437">
        <v>23.94</v>
      </c>
      <c r="O437">
        <v>5352</v>
      </c>
      <c r="P437" t="s">
        <v>2625</v>
      </c>
      <c r="Q437">
        <v>5697</v>
      </c>
      <c r="R437" t="s">
        <v>2344</v>
      </c>
      <c r="S437" t="s">
        <v>2036</v>
      </c>
      <c r="T437">
        <v>202112</v>
      </c>
      <c r="U437" t="s">
        <v>180</v>
      </c>
      <c r="V437">
        <v>350</v>
      </c>
    </row>
    <row r="438" spans="1:22">
      <c r="A438">
        <v>5352</v>
      </c>
      <c r="B438" t="s">
        <v>2625</v>
      </c>
      <c r="C438">
        <v>5697</v>
      </c>
      <c r="D438" t="s">
        <v>2344</v>
      </c>
      <c r="E438" t="s">
        <v>2036</v>
      </c>
      <c r="F438">
        <v>202107</v>
      </c>
      <c r="G438" t="s">
        <v>2168</v>
      </c>
      <c r="H438">
        <v>10.17</v>
      </c>
      <c r="O438">
        <v>5352</v>
      </c>
      <c r="P438" t="s">
        <v>2625</v>
      </c>
      <c r="Q438">
        <v>5697</v>
      </c>
      <c r="R438" t="s">
        <v>2344</v>
      </c>
      <c r="S438" t="s">
        <v>2036</v>
      </c>
      <c r="T438">
        <v>202112</v>
      </c>
      <c r="U438" t="s">
        <v>182</v>
      </c>
      <c r="V438">
        <v>92952</v>
      </c>
    </row>
    <row r="439" spans="1:22">
      <c r="A439">
        <v>5352</v>
      </c>
      <c r="B439" t="s">
        <v>2625</v>
      </c>
      <c r="C439">
        <v>5697</v>
      </c>
      <c r="D439" t="s">
        <v>2344</v>
      </c>
      <c r="E439" t="s">
        <v>2036</v>
      </c>
      <c r="F439">
        <v>202107</v>
      </c>
      <c r="G439" t="s">
        <v>2171</v>
      </c>
      <c r="H439">
        <v>192696.29</v>
      </c>
      <c r="O439">
        <v>5352</v>
      </c>
      <c r="P439" t="s">
        <v>2625</v>
      </c>
      <c r="Q439">
        <v>5697</v>
      </c>
      <c r="R439" t="s">
        <v>2344</v>
      </c>
      <c r="S439" t="s">
        <v>2036</v>
      </c>
      <c r="T439">
        <v>202112</v>
      </c>
      <c r="U439" t="s">
        <v>184</v>
      </c>
      <c r="V439">
        <v>12997</v>
      </c>
    </row>
    <row r="440" spans="1:22">
      <c r="A440">
        <v>5352</v>
      </c>
      <c r="B440" t="s">
        <v>2625</v>
      </c>
      <c r="C440">
        <v>5697</v>
      </c>
      <c r="D440" t="s">
        <v>2344</v>
      </c>
      <c r="E440" t="s">
        <v>2036</v>
      </c>
      <c r="F440">
        <v>202107</v>
      </c>
      <c r="G440" t="s">
        <v>190</v>
      </c>
      <c r="H440">
        <v>464714</v>
      </c>
      <c r="O440">
        <v>5352</v>
      </c>
      <c r="P440" t="s">
        <v>2625</v>
      </c>
      <c r="Q440">
        <v>5697</v>
      </c>
      <c r="R440" t="s">
        <v>2344</v>
      </c>
      <c r="S440" t="s">
        <v>2036</v>
      </c>
      <c r="T440">
        <v>202112</v>
      </c>
      <c r="U440" t="s">
        <v>186</v>
      </c>
      <c r="V440">
        <v>0</v>
      </c>
    </row>
    <row r="441" spans="1:22">
      <c r="A441">
        <v>5352</v>
      </c>
      <c r="B441" t="s">
        <v>2625</v>
      </c>
      <c r="C441">
        <v>5697</v>
      </c>
      <c r="D441" t="s">
        <v>2344</v>
      </c>
      <c r="E441" t="s">
        <v>2036</v>
      </c>
      <c r="F441">
        <v>202107</v>
      </c>
      <c r="G441" t="s">
        <v>191</v>
      </c>
      <c r="H441">
        <v>68247</v>
      </c>
      <c r="O441">
        <v>5352</v>
      </c>
      <c r="P441" t="s">
        <v>2625</v>
      </c>
      <c r="Q441">
        <v>5697</v>
      </c>
      <c r="R441" t="s">
        <v>2344</v>
      </c>
      <c r="S441" t="s">
        <v>2036</v>
      </c>
      <c r="T441">
        <v>202112</v>
      </c>
      <c r="U441" t="s">
        <v>190</v>
      </c>
      <c r="V441">
        <v>14936</v>
      </c>
    </row>
    <row r="442" spans="1:22">
      <c r="A442">
        <v>5352</v>
      </c>
      <c r="B442" t="s">
        <v>2625</v>
      </c>
      <c r="C442">
        <v>5697</v>
      </c>
      <c r="D442" t="s">
        <v>2344</v>
      </c>
      <c r="E442" t="s">
        <v>2036</v>
      </c>
      <c r="F442">
        <v>202107</v>
      </c>
      <c r="G442" t="s">
        <v>176</v>
      </c>
      <c r="H442">
        <v>0</v>
      </c>
      <c r="O442">
        <v>5352</v>
      </c>
      <c r="P442" t="s">
        <v>2625</v>
      </c>
      <c r="Q442">
        <v>5697</v>
      </c>
      <c r="R442" t="s">
        <v>2344</v>
      </c>
      <c r="S442" t="s">
        <v>2036</v>
      </c>
      <c r="T442">
        <v>202112</v>
      </c>
      <c r="U442" t="s">
        <v>191</v>
      </c>
      <c r="V442">
        <v>2178</v>
      </c>
    </row>
    <row r="443" spans="1:22">
      <c r="A443">
        <v>5352</v>
      </c>
      <c r="B443" t="s">
        <v>2625</v>
      </c>
      <c r="C443">
        <v>5697</v>
      </c>
      <c r="D443" t="s">
        <v>2344</v>
      </c>
      <c r="E443" t="s">
        <v>2036</v>
      </c>
      <c r="F443">
        <v>202107</v>
      </c>
      <c r="G443" t="s">
        <v>178</v>
      </c>
      <c r="H443">
        <v>1356</v>
      </c>
      <c r="O443">
        <v>5352</v>
      </c>
      <c r="P443" t="s">
        <v>2625</v>
      </c>
      <c r="Q443">
        <v>5697</v>
      </c>
      <c r="R443" t="s">
        <v>2344</v>
      </c>
      <c r="S443" t="s">
        <v>2036</v>
      </c>
      <c r="T443">
        <v>202112</v>
      </c>
      <c r="U443" t="s">
        <v>178</v>
      </c>
      <c r="V443">
        <v>80</v>
      </c>
    </row>
    <row r="444" spans="1:22">
      <c r="A444">
        <v>5352</v>
      </c>
      <c r="B444" t="s">
        <v>2625</v>
      </c>
      <c r="C444">
        <v>5697</v>
      </c>
      <c r="D444" t="s">
        <v>2344</v>
      </c>
      <c r="E444" t="s">
        <v>2036</v>
      </c>
      <c r="F444">
        <v>202107</v>
      </c>
      <c r="G444" t="s">
        <v>180</v>
      </c>
      <c r="H444">
        <v>1270</v>
      </c>
      <c r="O444">
        <v>5352</v>
      </c>
      <c r="P444" t="s">
        <v>2625</v>
      </c>
      <c r="Q444">
        <v>5697</v>
      </c>
      <c r="R444" t="s">
        <v>2344</v>
      </c>
      <c r="S444" t="s">
        <v>2036</v>
      </c>
      <c r="T444">
        <v>202112</v>
      </c>
      <c r="U444" t="s">
        <v>180</v>
      </c>
      <c r="V444">
        <v>95</v>
      </c>
    </row>
    <row r="445" spans="1:22">
      <c r="A445">
        <v>5352</v>
      </c>
      <c r="B445" t="s">
        <v>2625</v>
      </c>
      <c r="C445">
        <v>5697</v>
      </c>
      <c r="D445" t="s">
        <v>2344</v>
      </c>
      <c r="E445" t="s">
        <v>2036</v>
      </c>
      <c r="F445">
        <v>202107</v>
      </c>
      <c r="G445" t="s">
        <v>182</v>
      </c>
      <c r="H445">
        <v>464714</v>
      </c>
      <c r="O445">
        <v>5352</v>
      </c>
      <c r="P445" t="s">
        <v>2625</v>
      </c>
      <c r="Q445">
        <v>5697</v>
      </c>
      <c r="R445" t="s">
        <v>2344</v>
      </c>
      <c r="S445" t="s">
        <v>2036</v>
      </c>
      <c r="T445">
        <v>202112</v>
      </c>
      <c r="U445" t="s">
        <v>182</v>
      </c>
      <c r="V445">
        <v>14936</v>
      </c>
    </row>
    <row r="446" spans="1:22">
      <c r="A446">
        <v>5352</v>
      </c>
      <c r="B446" t="s">
        <v>2625</v>
      </c>
      <c r="C446">
        <v>5697</v>
      </c>
      <c r="D446" t="s">
        <v>2344</v>
      </c>
      <c r="E446" t="s">
        <v>2036</v>
      </c>
      <c r="F446">
        <v>202107</v>
      </c>
      <c r="G446" t="s">
        <v>184</v>
      </c>
      <c r="H446">
        <v>68247</v>
      </c>
      <c r="O446">
        <v>5352</v>
      </c>
      <c r="P446" t="s">
        <v>2625</v>
      </c>
      <c r="Q446">
        <v>5697</v>
      </c>
      <c r="R446" t="s">
        <v>2344</v>
      </c>
      <c r="S446" t="s">
        <v>2036</v>
      </c>
      <c r="T446">
        <v>202112</v>
      </c>
      <c r="U446" t="s">
        <v>184</v>
      </c>
      <c r="V446">
        <v>2178</v>
      </c>
    </row>
    <row r="447" spans="1:22">
      <c r="A447">
        <v>5352</v>
      </c>
      <c r="B447" t="s">
        <v>2625</v>
      </c>
      <c r="C447">
        <v>5697</v>
      </c>
      <c r="D447" t="s">
        <v>2344</v>
      </c>
      <c r="E447" t="s">
        <v>2036</v>
      </c>
      <c r="F447">
        <v>202107</v>
      </c>
      <c r="G447" t="s">
        <v>192</v>
      </c>
      <c r="H447">
        <v>0</v>
      </c>
      <c r="O447">
        <v>5352</v>
      </c>
      <c r="P447" t="s">
        <v>2625</v>
      </c>
      <c r="Q447">
        <v>5697</v>
      </c>
      <c r="R447" t="s">
        <v>2344</v>
      </c>
      <c r="S447" t="s">
        <v>2036</v>
      </c>
      <c r="T447">
        <v>202112</v>
      </c>
      <c r="U447" t="s">
        <v>186</v>
      </c>
      <c r="V447">
        <v>0</v>
      </c>
    </row>
    <row r="448" spans="1:22">
      <c r="A448">
        <v>5352</v>
      </c>
      <c r="B448" t="s">
        <v>2625</v>
      </c>
      <c r="C448">
        <v>5697</v>
      </c>
      <c r="D448" t="s">
        <v>2344</v>
      </c>
      <c r="E448" t="s">
        <v>2036</v>
      </c>
      <c r="F448">
        <v>202107</v>
      </c>
      <c r="G448" t="s">
        <v>2170</v>
      </c>
      <c r="H448">
        <v>3669.46</v>
      </c>
      <c r="O448">
        <v>5352</v>
      </c>
      <c r="P448" t="s">
        <v>2625</v>
      </c>
      <c r="Q448">
        <v>5697</v>
      </c>
      <c r="R448" t="s">
        <v>2344</v>
      </c>
      <c r="S448" t="s">
        <v>2036</v>
      </c>
      <c r="T448">
        <v>202112</v>
      </c>
      <c r="U448" t="s">
        <v>190</v>
      </c>
      <c r="V448">
        <v>322816</v>
      </c>
    </row>
    <row r="449" spans="1:22">
      <c r="A449">
        <v>5352</v>
      </c>
      <c r="B449" t="s">
        <v>2625</v>
      </c>
      <c r="C449">
        <v>5697</v>
      </c>
      <c r="D449" t="s">
        <v>2344</v>
      </c>
      <c r="E449" t="s">
        <v>2036</v>
      </c>
      <c r="F449">
        <v>202107</v>
      </c>
      <c r="G449" t="s">
        <v>186</v>
      </c>
      <c r="H449">
        <v>0</v>
      </c>
      <c r="O449">
        <v>5352</v>
      </c>
      <c r="P449" t="s">
        <v>2625</v>
      </c>
      <c r="Q449">
        <v>5697</v>
      </c>
      <c r="R449" t="s">
        <v>2344</v>
      </c>
      <c r="S449" t="s">
        <v>2036</v>
      </c>
      <c r="T449">
        <v>202112</v>
      </c>
      <c r="U449" t="s">
        <v>191</v>
      </c>
      <c r="V449">
        <v>38837</v>
      </c>
    </row>
    <row r="450" spans="1:22">
      <c r="A450">
        <v>5352</v>
      </c>
      <c r="B450" t="s">
        <v>2625</v>
      </c>
      <c r="C450">
        <v>5697</v>
      </c>
      <c r="D450" t="s">
        <v>2344</v>
      </c>
      <c r="E450" t="s">
        <v>2036</v>
      </c>
      <c r="F450">
        <v>202107</v>
      </c>
      <c r="G450" t="s">
        <v>2169</v>
      </c>
      <c r="H450">
        <v>99.17</v>
      </c>
      <c r="O450">
        <v>5352</v>
      </c>
      <c r="P450" t="s">
        <v>2625</v>
      </c>
      <c r="Q450">
        <v>5697</v>
      </c>
      <c r="R450" t="s">
        <v>2344</v>
      </c>
      <c r="S450" t="s">
        <v>2036</v>
      </c>
      <c r="T450">
        <v>202112</v>
      </c>
      <c r="U450" t="s">
        <v>178</v>
      </c>
      <c r="V450">
        <v>805</v>
      </c>
    </row>
    <row r="451" spans="1:22">
      <c r="A451">
        <v>5352</v>
      </c>
      <c r="B451" t="s">
        <v>2625</v>
      </c>
      <c r="C451">
        <v>5697</v>
      </c>
      <c r="D451" t="s">
        <v>2344</v>
      </c>
      <c r="E451" t="s">
        <v>2036</v>
      </c>
      <c r="F451">
        <v>202107</v>
      </c>
      <c r="G451" t="s">
        <v>2166</v>
      </c>
      <c r="H451">
        <v>12.33</v>
      </c>
      <c r="O451">
        <v>5352</v>
      </c>
      <c r="P451" t="s">
        <v>2625</v>
      </c>
      <c r="Q451">
        <v>5697</v>
      </c>
      <c r="R451" t="s">
        <v>2344</v>
      </c>
      <c r="S451" t="s">
        <v>2036</v>
      </c>
      <c r="T451">
        <v>202112</v>
      </c>
      <c r="U451" t="s">
        <v>180</v>
      </c>
      <c r="V451">
        <v>798</v>
      </c>
    </row>
    <row r="452" spans="1:22">
      <c r="A452">
        <v>5352</v>
      </c>
      <c r="B452" t="s">
        <v>2625</v>
      </c>
      <c r="C452">
        <v>5697</v>
      </c>
      <c r="D452" t="s">
        <v>2344</v>
      </c>
      <c r="E452" t="s">
        <v>2036</v>
      </c>
      <c r="F452">
        <v>202107</v>
      </c>
      <c r="G452" t="s">
        <v>2167</v>
      </c>
      <c r="H452">
        <v>23.94</v>
      </c>
      <c r="O452">
        <v>5352</v>
      </c>
      <c r="P452" t="s">
        <v>2625</v>
      </c>
      <c r="Q452">
        <v>5697</v>
      </c>
      <c r="R452" t="s">
        <v>2344</v>
      </c>
      <c r="S452" t="s">
        <v>2036</v>
      </c>
      <c r="T452">
        <v>202112</v>
      </c>
      <c r="U452" t="s">
        <v>182</v>
      </c>
      <c r="V452">
        <v>322816</v>
      </c>
    </row>
    <row r="453" spans="1:22">
      <c r="A453">
        <v>5352</v>
      </c>
      <c r="B453" t="s">
        <v>2625</v>
      </c>
      <c r="C453">
        <v>5697</v>
      </c>
      <c r="D453" t="s">
        <v>2344</v>
      </c>
      <c r="E453" t="s">
        <v>2036</v>
      </c>
      <c r="F453">
        <v>202107</v>
      </c>
      <c r="G453" t="s">
        <v>2168</v>
      </c>
      <c r="H453">
        <v>10.17</v>
      </c>
      <c r="O453">
        <v>5352</v>
      </c>
      <c r="P453" t="s">
        <v>2625</v>
      </c>
      <c r="Q453">
        <v>5697</v>
      </c>
      <c r="R453" t="s">
        <v>2344</v>
      </c>
      <c r="S453" t="s">
        <v>2036</v>
      </c>
      <c r="T453">
        <v>202112</v>
      </c>
      <c r="U453" t="s">
        <v>184</v>
      </c>
      <c r="V453">
        <v>38837</v>
      </c>
    </row>
    <row r="454" spans="1:22">
      <c r="A454">
        <v>5352</v>
      </c>
      <c r="B454" t="s">
        <v>2625</v>
      </c>
      <c r="C454">
        <v>5697</v>
      </c>
      <c r="D454" t="s">
        <v>2344</v>
      </c>
      <c r="E454" t="s">
        <v>2036</v>
      </c>
      <c r="F454">
        <v>202107</v>
      </c>
      <c r="G454" t="s">
        <v>2171</v>
      </c>
      <c r="H454">
        <v>112906.67</v>
      </c>
      <c r="O454">
        <v>5352</v>
      </c>
      <c r="P454" t="s">
        <v>2625</v>
      </c>
      <c r="Q454">
        <v>5697</v>
      </c>
      <c r="R454" t="s">
        <v>2344</v>
      </c>
      <c r="S454" t="s">
        <v>2036</v>
      </c>
      <c r="T454">
        <v>202112</v>
      </c>
      <c r="U454" t="s">
        <v>186</v>
      </c>
      <c r="V454">
        <v>0</v>
      </c>
    </row>
    <row r="455" spans="1:22">
      <c r="A455">
        <v>5352</v>
      </c>
      <c r="B455" t="s">
        <v>2625</v>
      </c>
      <c r="C455">
        <v>5697</v>
      </c>
      <c r="D455" t="s">
        <v>2344</v>
      </c>
      <c r="E455" t="s">
        <v>2036</v>
      </c>
      <c r="F455">
        <v>202107</v>
      </c>
      <c r="G455" t="s">
        <v>190</v>
      </c>
      <c r="H455">
        <v>180696</v>
      </c>
      <c r="O455">
        <v>5352</v>
      </c>
      <c r="P455" t="s">
        <v>2625</v>
      </c>
      <c r="Q455">
        <v>5697</v>
      </c>
      <c r="R455" t="s">
        <v>2344</v>
      </c>
      <c r="S455" t="s">
        <v>2036</v>
      </c>
      <c r="T455">
        <v>202112</v>
      </c>
      <c r="U455" t="s">
        <v>190</v>
      </c>
      <c r="V455">
        <v>99546</v>
      </c>
    </row>
    <row r="456" spans="1:22">
      <c r="A456">
        <v>5352</v>
      </c>
      <c r="B456" t="s">
        <v>2625</v>
      </c>
      <c r="C456">
        <v>5697</v>
      </c>
      <c r="D456" t="s">
        <v>2344</v>
      </c>
      <c r="E456" t="s">
        <v>2036</v>
      </c>
      <c r="F456">
        <v>202107</v>
      </c>
      <c r="G456" t="s">
        <v>191</v>
      </c>
      <c r="H456">
        <v>25422</v>
      </c>
      <c r="O456">
        <v>5352</v>
      </c>
      <c r="P456" t="s">
        <v>2625</v>
      </c>
      <c r="Q456">
        <v>5697</v>
      </c>
      <c r="R456" t="s">
        <v>2344</v>
      </c>
      <c r="S456" t="s">
        <v>2036</v>
      </c>
      <c r="T456">
        <v>202112</v>
      </c>
      <c r="U456" t="s">
        <v>191</v>
      </c>
      <c r="V456">
        <v>13524</v>
      </c>
    </row>
    <row r="457" spans="1:22">
      <c r="A457">
        <v>5352</v>
      </c>
      <c r="B457" t="s">
        <v>2625</v>
      </c>
      <c r="C457">
        <v>5697</v>
      </c>
      <c r="D457" t="s">
        <v>2344</v>
      </c>
      <c r="E457" t="s">
        <v>2036</v>
      </c>
      <c r="F457">
        <v>202107</v>
      </c>
      <c r="G457" t="s">
        <v>176</v>
      </c>
      <c r="H457">
        <v>0</v>
      </c>
      <c r="O457">
        <v>5352</v>
      </c>
      <c r="P457" t="s">
        <v>2625</v>
      </c>
      <c r="Q457">
        <v>5697</v>
      </c>
      <c r="R457" t="s">
        <v>2344</v>
      </c>
      <c r="S457" t="s">
        <v>2036</v>
      </c>
      <c r="T457">
        <v>202112</v>
      </c>
      <c r="U457" t="s">
        <v>178</v>
      </c>
      <c r="V457">
        <v>320</v>
      </c>
    </row>
    <row r="458" spans="1:22">
      <c r="A458">
        <v>5352</v>
      </c>
      <c r="B458" t="s">
        <v>2625</v>
      </c>
      <c r="C458">
        <v>5697</v>
      </c>
      <c r="D458" t="s">
        <v>2344</v>
      </c>
      <c r="E458" t="s">
        <v>2036</v>
      </c>
      <c r="F458">
        <v>202107</v>
      </c>
      <c r="G458" t="s">
        <v>178</v>
      </c>
      <c r="H458">
        <v>598</v>
      </c>
      <c r="O458">
        <v>5352</v>
      </c>
      <c r="P458" t="s">
        <v>2625</v>
      </c>
      <c r="Q458">
        <v>5697</v>
      </c>
      <c r="R458" t="s">
        <v>2344</v>
      </c>
      <c r="S458" t="s">
        <v>2036</v>
      </c>
      <c r="T458">
        <v>202112</v>
      </c>
      <c r="U458" t="s">
        <v>180</v>
      </c>
      <c r="V458">
        <v>320</v>
      </c>
    </row>
    <row r="459" spans="1:22">
      <c r="A459">
        <v>5352</v>
      </c>
      <c r="B459" t="s">
        <v>2625</v>
      </c>
      <c r="C459">
        <v>5697</v>
      </c>
      <c r="D459" t="s">
        <v>2344</v>
      </c>
      <c r="E459" t="s">
        <v>2036</v>
      </c>
      <c r="F459">
        <v>202107</v>
      </c>
      <c r="G459" t="s">
        <v>180</v>
      </c>
      <c r="H459">
        <v>560</v>
      </c>
      <c r="O459">
        <v>5352</v>
      </c>
      <c r="P459" t="s">
        <v>2625</v>
      </c>
      <c r="Q459">
        <v>5697</v>
      </c>
      <c r="R459" t="s">
        <v>2344</v>
      </c>
      <c r="S459" t="s">
        <v>2036</v>
      </c>
      <c r="T459">
        <v>202112</v>
      </c>
      <c r="U459" t="s">
        <v>182</v>
      </c>
      <c r="V459">
        <v>99546</v>
      </c>
    </row>
    <row r="460" spans="1:22">
      <c r="A460">
        <v>5352</v>
      </c>
      <c r="B460" t="s">
        <v>2625</v>
      </c>
      <c r="C460">
        <v>5697</v>
      </c>
      <c r="D460" t="s">
        <v>2344</v>
      </c>
      <c r="E460" t="s">
        <v>2036</v>
      </c>
      <c r="F460">
        <v>202107</v>
      </c>
      <c r="G460" t="s">
        <v>182</v>
      </c>
      <c r="H460">
        <v>180696</v>
      </c>
      <c r="O460">
        <v>5352</v>
      </c>
      <c r="P460" t="s">
        <v>2625</v>
      </c>
      <c r="Q460">
        <v>5697</v>
      </c>
      <c r="R460" t="s">
        <v>2344</v>
      </c>
      <c r="S460" t="s">
        <v>2036</v>
      </c>
      <c r="T460">
        <v>202112</v>
      </c>
      <c r="U460" t="s">
        <v>184</v>
      </c>
      <c r="V460">
        <v>13524</v>
      </c>
    </row>
    <row r="461" spans="1:22">
      <c r="A461">
        <v>5352</v>
      </c>
      <c r="B461" t="s">
        <v>2625</v>
      </c>
      <c r="C461">
        <v>5697</v>
      </c>
      <c r="D461" t="s">
        <v>2344</v>
      </c>
      <c r="E461" t="s">
        <v>2036</v>
      </c>
      <c r="F461">
        <v>202107</v>
      </c>
      <c r="G461" t="s">
        <v>184</v>
      </c>
      <c r="H461">
        <v>25422</v>
      </c>
      <c r="O461">
        <v>5352</v>
      </c>
      <c r="P461" t="s">
        <v>2625</v>
      </c>
      <c r="Q461">
        <v>5697</v>
      </c>
      <c r="R461" t="s">
        <v>2344</v>
      </c>
      <c r="S461" t="s">
        <v>2036</v>
      </c>
      <c r="T461">
        <v>202112</v>
      </c>
      <c r="U461" t="s">
        <v>186</v>
      </c>
      <c r="V461">
        <v>0</v>
      </c>
    </row>
    <row r="462" spans="1:22">
      <c r="A462">
        <v>5352</v>
      </c>
      <c r="B462" t="s">
        <v>2625</v>
      </c>
      <c r="C462">
        <v>5697</v>
      </c>
      <c r="D462" t="s">
        <v>2344</v>
      </c>
      <c r="E462" t="s">
        <v>2036</v>
      </c>
      <c r="F462">
        <v>202107</v>
      </c>
      <c r="G462" t="s">
        <v>192</v>
      </c>
      <c r="H462">
        <v>0</v>
      </c>
      <c r="O462">
        <v>5352</v>
      </c>
      <c r="P462" t="s">
        <v>2625</v>
      </c>
      <c r="Q462">
        <v>5697</v>
      </c>
      <c r="R462" t="s">
        <v>2344</v>
      </c>
      <c r="S462" t="s">
        <v>2036</v>
      </c>
      <c r="T462">
        <v>202112</v>
      </c>
      <c r="U462" t="s">
        <v>190</v>
      </c>
      <c r="V462">
        <v>778183</v>
      </c>
    </row>
    <row r="463" spans="1:22">
      <c r="A463">
        <v>5352</v>
      </c>
      <c r="B463" t="s">
        <v>2625</v>
      </c>
      <c r="C463">
        <v>5697</v>
      </c>
      <c r="D463" t="s">
        <v>2344</v>
      </c>
      <c r="E463" t="s">
        <v>2036</v>
      </c>
      <c r="F463">
        <v>202107</v>
      </c>
      <c r="G463" t="s">
        <v>2170</v>
      </c>
      <c r="H463">
        <v>1455.02</v>
      </c>
      <c r="O463">
        <v>5352</v>
      </c>
      <c r="P463" t="s">
        <v>2625</v>
      </c>
      <c r="Q463">
        <v>5697</v>
      </c>
      <c r="R463" t="s">
        <v>2344</v>
      </c>
      <c r="S463" t="s">
        <v>2036</v>
      </c>
      <c r="T463">
        <v>202112</v>
      </c>
      <c r="U463" t="s">
        <v>191</v>
      </c>
      <c r="V463">
        <v>119165</v>
      </c>
    </row>
    <row r="464" spans="1:22">
      <c r="A464">
        <v>5352</v>
      </c>
      <c r="B464" t="s">
        <v>2625</v>
      </c>
      <c r="C464">
        <v>5697</v>
      </c>
      <c r="D464" t="s">
        <v>2344</v>
      </c>
      <c r="E464" t="s">
        <v>2036</v>
      </c>
      <c r="F464">
        <v>202107</v>
      </c>
      <c r="G464" t="s">
        <v>186</v>
      </c>
      <c r="H464">
        <v>0</v>
      </c>
      <c r="O464">
        <v>5352</v>
      </c>
      <c r="P464" t="s">
        <v>2625</v>
      </c>
      <c r="Q464">
        <v>5697</v>
      </c>
      <c r="R464" t="s">
        <v>2344</v>
      </c>
      <c r="S464" t="s">
        <v>2036</v>
      </c>
      <c r="T464">
        <v>202112</v>
      </c>
      <c r="U464" t="s">
        <v>178</v>
      </c>
      <c r="V464">
        <v>2400</v>
      </c>
    </row>
    <row r="465" spans="1:22">
      <c r="A465">
        <v>5352</v>
      </c>
      <c r="B465" t="s">
        <v>2625</v>
      </c>
      <c r="C465">
        <v>5697</v>
      </c>
      <c r="D465" t="s">
        <v>2344</v>
      </c>
      <c r="E465" t="s">
        <v>2036</v>
      </c>
      <c r="F465">
        <v>202107</v>
      </c>
      <c r="G465" t="s">
        <v>2169</v>
      </c>
      <c r="H465">
        <v>99.17</v>
      </c>
      <c r="O465">
        <v>5352</v>
      </c>
      <c r="P465" t="s">
        <v>2625</v>
      </c>
      <c r="Q465">
        <v>5697</v>
      </c>
      <c r="R465" t="s">
        <v>2344</v>
      </c>
      <c r="S465" t="s">
        <v>2036</v>
      </c>
      <c r="T465">
        <v>202112</v>
      </c>
      <c r="U465" t="s">
        <v>180</v>
      </c>
      <c r="V465">
        <v>2462</v>
      </c>
    </row>
    <row r="466" spans="1:22">
      <c r="A466">
        <v>5352</v>
      </c>
      <c r="B466" t="s">
        <v>2625</v>
      </c>
      <c r="C466">
        <v>5697</v>
      </c>
      <c r="D466" t="s">
        <v>2344</v>
      </c>
      <c r="E466" t="s">
        <v>2036</v>
      </c>
      <c r="F466">
        <v>202107</v>
      </c>
      <c r="G466" t="s">
        <v>2166</v>
      </c>
      <c r="H466">
        <v>12.33</v>
      </c>
      <c r="O466">
        <v>5352</v>
      </c>
      <c r="P466" t="s">
        <v>2625</v>
      </c>
      <c r="Q466">
        <v>5697</v>
      </c>
      <c r="R466" t="s">
        <v>2344</v>
      </c>
      <c r="S466" t="s">
        <v>2036</v>
      </c>
      <c r="T466">
        <v>202112</v>
      </c>
      <c r="U466" t="s">
        <v>182</v>
      </c>
      <c r="V466">
        <v>868673</v>
      </c>
    </row>
    <row r="467" spans="1:22">
      <c r="A467">
        <v>5352</v>
      </c>
      <c r="B467" t="s">
        <v>2625</v>
      </c>
      <c r="C467">
        <v>5697</v>
      </c>
      <c r="D467" t="s">
        <v>2344</v>
      </c>
      <c r="E467" t="s">
        <v>2036</v>
      </c>
      <c r="F467">
        <v>202107</v>
      </c>
      <c r="G467" t="s">
        <v>2167</v>
      </c>
      <c r="H467">
        <v>23.94</v>
      </c>
      <c r="O467">
        <v>5352</v>
      </c>
      <c r="P467" t="s">
        <v>2625</v>
      </c>
      <c r="Q467">
        <v>5697</v>
      </c>
      <c r="R467" t="s">
        <v>2344</v>
      </c>
      <c r="S467" t="s">
        <v>2036</v>
      </c>
      <c r="T467">
        <v>202112</v>
      </c>
      <c r="U467" t="s">
        <v>184</v>
      </c>
      <c r="V467">
        <v>119165</v>
      </c>
    </row>
    <row r="468" spans="1:22">
      <c r="A468">
        <v>5352</v>
      </c>
      <c r="B468" t="s">
        <v>2625</v>
      </c>
      <c r="C468">
        <v>5697</v>
      </c>
      <c r="D468" t="s">
        <v>2344</v>
      </c>
      <c r="E468" t="s">
        <v>2036</v>
      </c>
      <c r="F468">
        <v>202107</v>
      </c>
      <c r="G468" t="s">
        <v>2168</v>
      </c>
      <c r="H468">
        <v>10.17</v>
      </c>
      <c r="O468">
        <v>5352</v>
      </c>
      <c r="P468" t="s">
        <v>2625</v>
      </c>
      <c r="Q468">
        <v>5697</v>
      </c>
      <c r="R468" t="s">
        <v>2344</v>
      </c>
      <c r="S468" t="s">
        <v>2036</v>
      </c>
      <c r="T468">
        <v>202112</v>
      </c>
      <c r="U468" t="s">
        <v>186</v>
      </c>
      <c r="V468">
        <v>90490</v>
      </c>
    </row>
    <row r="469" spans="1:22">
      <c r="A469">
        <v>5352</v>
      </c>
      <c r="B469" t="s">
        <v>2625</v>
      </c>
      <c r="C469">
        <v>5697</v>
      </c>
      <c r="D469" t="s">
        <v>2344</v>
      </c>
      <c r="E469" t="s">
        <v>2036</v>
      </c>
      <c r="F469">
        <v>202107</v>
      </c>
      <c r="G469" t="s">
        <v>2171</v>
      </c>
      <c r="H469">
        <v>44770.2</v>
      </c>
      <c r="O469">
        <v>5352</v>
      </c>
      <c r="P469" t="s">
        <v>2625</v>
      </c>
      <c r="Q469">
        <v>5697</v>
      </c>
      <c r="R469" t="s">
        <v>2344</v>
      </c>
      <c r="S469" t="s">
        <v>2036</v>
      </c>
      <c r="T469">
        <v>202112</v>
      </c>
      <c r="U469" t="s">
        <v>190</v>
      </c>
      <c r="V469">
        <v>188890</v>
      </c>
    </row>
    <row r="470" spans="1:22">
      <c r="A470">
        <v>5352</v>
      </c>
      <c r="B470" t="s">
        <v>2625</v>
      </c>
      <c r="C470">
        <v>5697</v>
      </c>
      <c r="D470" t="s">
        <v>2344</v>
      </c>
      <c r="E470" t="s">
        <v>2036</v>
      </c>
      <c r="F470">
        <v>202107</v>
      </c>
      <c r="G470" t="s">
        <v>190</v>
      </c>
      <c r="H470">
        <v>178843</v>
      </c>
      <c r="O470">
        <v>5352</v>
      </c>
      <c r="P470" t="s">
        <v>2625</v>
      </c>
      <c r="Q470">
        <v>5697</v>
      </c>
      <c r="R470" t="s">
        <v>2344</v>
      </c>
      <c r="S470" t="s">
        <v>2036</v>
      </c>
      <c r="T470">
        <v>202112</v>
      </c>
      <c r="U470" t="s">
        <v>191</v>
      </c>
      <c r="V470">
        <v>25862</v>
      </c>
    </row>
    <row r="471" spans="1:22">
      <c r="A471">
        <v>5352</v>
      </c>
      <c r="B471" t="s">
        <v>2625</v>
      </c>
      <c r="C471">
        <v>5697</v>
      </c>
      <c r="D471" t="s">
        <v>2344</v>
      </c>
      <c r="E471" t="s">
        <v>2036</v>
      </c>
      <c r="F471">
        <v>202107</v>
      </c>
      <c r="G471" t="s">
        <v>191</v>
      </c>
      <c r="H471">
        <v>26066</v>
      </c>
      <c r="O471">
        <v>5352</v>
      </c>
      <c r="P471" t="s">
        <v>2625</v>
      </c>
      <c r="Q471">
        <v>5697</v>
      </c>
      <c r="R471" t="s">
        <v>2344</v>
      </c>
      <c r="S471" t="s">
        <v>2036</v>
      </c>
      <c r="T471">
        <v>202112</v>
      </c>
      <c r="U471" t="s">
        <v>178</v>
      </c>
      <c r="V471">
        <v>560</v>
      </c>
    </row>
    <row r="472" spans="1:22">
      <c r="A472">
        <v>5352</v>
      </c>
      <c r="B472" t="s">
        <v>2625</v>
      </c>
      <c r="C472">
        <v>5697</v>
      </c>
      <c r="D472" t="s">
        <v>2344</v>
      </c>
      <c r="E472" t="s">
        <v>2036</v>
      </c>
      <c r="F472">
        <v>202107</v>
      </c>
      <c r="G472" t="s">
        <v>176</v>
      </c>
      <c r="H472">
        <v>0</v>
      </c>
      <c r="O472">
        <v>5352</v>
      </c>
      <c r="P472" t="s">
        <v>2625</v>
      </c>
      <c r="Q472">
        <v>5697</v>
      </c>
      <c r="R472" t="s">
        <v>2344</v>
      </c>
      <c r="S472" t="s">
        <v>2036</v>
      </c>
      <c r="T472">
        <v>202112</v>
      </c>
      <c r="U472" t="s">
        <v>180</v>
      </c>
      <c r="V472">
        <v>560</v>
      </c>
    </row>
    <row r="473" spans="1:22">
      <c r="A473">
        <v>5352</v>
      </c>
      <c r="B473" t="s">
        <v>2625</v>
      </c>
      <c r="C473">
        <v>5697</v>
      </c>
      <c r="D473" t="s">
        <v>2344</v>
      </c>
      <c r="E473" t="s">
        <v>2036</v>
      </c>
      <c r="F473">
        <v>202107</v>
      </c>
      <c r="G473" t="s">
        <v>178</v>
      </c>
      <c r="H473">
        <v>735</v>
      </c>
      <c r="O473">
        <v>5352</v>
      </c>
      <c r="P473" t="s">
        <v>2625</v>
      </c>
      <c r="Q473">
        <v>5697</v>
      </c>
      <c r="R473" t="s">
        <v>2344</v>
      </c>
      <c r="S473" t="s">
        <v>2036</v>
      </c>
      <c r="T473">
        <v>202112</v>
      </c>
      <c r="U473" t="s">
        <v>182</v>
      </c>
      <c r="V473">
        <v>188890</v>
      </c>
    </row>
    <row r="474" spans="1:22">
      <c r="A474">
        <v>5352</v>
      </c>
      <c r="B474" t="s">
        <v>2625</v>
      </c>
      <c r="C474">
        <v>5697</v>
      </c>
      <c r="D474" t="s">
        <v>2344</v>
      </c>
      <c r="E474" t="s">
        <v>2036</v>
      </c>
      <c r="F474">
        <v>202107</v>
      </c>
      <c r="G474" t="s">
        <v>180</v>
      </c>
      <c r="H474">
        <v>650</v>
      </c>
      <c r="O474">
        <v>5352</v>
      </c>
      <c r="P474" t="s">
        <v>2625</v>
      </c>
      <c r="Q474">
        <v>5697</v>
      </c>
      <c r="R474" t="s">
        <v>2344</v>
      </c>
      <c r="S474" t="s">
        <v>2036</v>
      </c>
      <c r="T474">
        <v>202112</v>
      </c>
      <c r="U474" t="s">
        <v>184</v>
      </c>
      <c r="V474">
        <v>25862</v>
      </c>
    </row>
    <row r="475" spans="1:22">
      <c r="A475">
        <v>5352</v>
      </c>
      <c r="B475" t="s">
        <v>2625</v>
      </c>
      <c r="C475">
        <v>5697</v>
      </c>
      <c r="D475" t="s">
        <v>2344</v>
      </c>
      <c r="E475" t="s">
        <v>2036</v>
      </c>
      <c r="F475">
        <v>202107</v>
      </c>
      <c r="G475" t="s">
        <v>182</v>
      </c>
      <c r="H475">
        <v>178843</v>
      </c>
      <c r="O475">
        <v>5352</v>
      </c>
      <c r="P475" t="s">
        <v>2625</v>
      </c>
      <c r="Q475">
        <v>5697</v>
      </c>
      <c r="R475" t="s">
        <v>2344</v>
      </c>
      <c r="S475" t="s">
        <v>2036</v>
      </c>
      <c r="T475">
        <v>202112</v>
      </c>
      <c r="U475" t="s">
        <v>186</v>
      </c>
      <c r="V475">
        <v>0</v>
      </c>
    </row>
    <row r="476" spans="1:22">
      <c r="A476">
        <v>5352</v>
      </c>
      <c r="B476" t="s">
        <v>2625</v>
      </c>
      <c r="C476">
        <v>5697</v>
      </c>
      <c r="D476" t="s">
        <v>2344</v>
      </c>
      <c r="E476" t="s">
        <v>2036</v>
      </c>
      <c r="F476">
        <v>202107</v>
      </c>
      <c r="G476" t="s">
        <v>184</v>
      </c>
      <c r="H476">
        <v>26066</v>
      </c>
      <c r="O476">
        <v>5352</v>
      </c>
      <c r="P476" t="s">
        <v>2625</v>
      </c>
      <c r="Q476">
        <v>5697</v>
      </c>
      <c r="R476" t="s">
        <v>2344</v>
      </c>
      <c r="S476" t="s">
        <v>2036</v>
      </c>
      <c r="T476">
        <v>202201</v>
      </c>
      <c r="U476" t="s">
        <v>190</v>
      </c>
      <c r="V476">
        <v>162927</v>
      </c>
    </row>
    <row r="477" spans="1:22">
      <c r="A477">
        <v>5352</v>
      </c>
      <c r="B477" t="s">
        <v>2625</v>
      </c>
      <c r="C477">
        <v>5697</v>
      </c>
      <c r="D477" t="s">
        <v>2344</v>
      </c>
      <c r="E477" t="s">
        <v>2036</v>
      </c>
      <c r="F477">
        <v>202107</v>
      </c>
      <c r="G477" t="s">
        <v>192</v>
      </c>
      <c r="H477">
        <v>0</v>
      </c>
      <c r="O477">
        <v>5352</v>
      </c>
      <c r="P477" t="s">
        <v>2625</v>
      </c>
      <c r="Q477">
        <v>5697</v>
      </c>
      <c r="R477" t="s">
        <v>2344</v>
      </c>
      <c r="S477" t="s">
        <v>2036</v>
      </c>
      <c r="T477">
        <v>202201</v>
      </c>
      <c r="U477" t="s">
        <v>191</v>
      </c>
      <c r="V477">
        <v>24445</v>
      </c>
    </row>
    <row r="478" spans="1:22">
      <c r="A478">
        <v>5352</v>
      </c>
      <c r="B478" t="s">
        <v>2625</v>
      </c>
      <c r="C478">
        <v>5697</v>
      </c>
      <c r="D478" t="s">
        <v>2344</v>
      </c>
      <c r="E478" t="s">
        <v>2036</v>
      </c>
      <c r="F478">
        <v>202107</v>
      </c>
      <c r="G478" t="s">
        <v>2170</v>
      </c>
      <c r="H478">
        <v>1579.77</v>
      </c>
      <c r="O478">
        <v>5352</v>
      </c>
      <c r="P478" t="s">
        <v>2625</v>
      </c>
      <c r="Q478">
        <v>5697</v>
      </c>
      <c r="R478" t="s">
        <v>2344</v>
      </c>
      <c r="S478" t="s">
        <v>2036</v>
      </c>
      <c r="T478">
        <v>202201</v>
      </c>
      <c r="U478" t="s">
        <v>178</v>
      </c>
      <c r="V478">
        <v>470</v>
      </c>
    </row>
    <row r="479" spans="1:22">
      <c r="A479">
        <v>5352</v>
      </c>
      <c r="B479" t="s">
        <v>2625</v>
      </c>
      <c r="C479">
        <v>5697</v>
      </c>
      <c r="D479" t="s">
        <v>2344</v>
      </c>
      <c r="E479" t="s">
        <v>2036</v>
      </c>
      <c r="F479">
        <v>202107</v>
      </c>
      <c r="G479" t="s">
        <v>186</v>
      </c>
      <c r="H479">
        <v>0</v>
      </c>
      <c r="O479">
        <v>5352</v>
      </c>
      <c r="P479" t="s">
        <v>2625</v>
      </c>
      <c r="Q479">
        <v>5697</v>
      </c>
      <c r="R479" t="s">
        <v>2344</v>
      </c>
      <c r="S479" t="s">
        <v>2036</v>
      </c>
      <c r="T479">
        <v>202201</v>
      </c>
      <c r="U479" t="s">
        <v>180</v>
      </c>
      <c r="V479">
        <v>572</v>
      </c>
    </row>
    <row r="480" spans="1:22">
      <c r="A480">
        <v>5352</v>
      </c>
      <c r="B480" t="s">
        <v>2625</v>
      </c>
      <c r="C480">
        <v>5697</v>
      </c>
      <c r="D480" t="s">
        <v>2344</v>
      </c>
      <c r="E480" t="s">
        <v>2036</v>
      </c>
      <c r="F480">
        <v>202107</v>
      </c>
      <c r="G480" t="s">
        <v>2169</v>
      </c>
      <c r="H480">
        <v>99.17</v>
      </c>
      <c r="O480">
        <v>5352</v>
      </c>
      <c r="P480" t="s">
        <v>2625</v>
      </c>
      <c r="Q480">
        <v>5697</v>
      </c>
      <c r="R480" t="s">
        <v>2344</v>
      </c>
      <c r="S480" t="s">
        <v>2036</v>
      </c>
      <c r="T480">
        <v>202201</v>
      </c>
      <c r="U480" t="s">
        <v>182</v>
      </c>
      <c r="V480">
        <v>162927</v>
      </c>
    </row>
    <row r="481" spans="1:22">
      <c r="A481">
        <v>5352</v>
      </c>
      <c r="B481" t="s">
        <v>2625</v>
      </c>
      <c r="C481">
        <v>5697</v>
      </c>
      <c r="D481" t="s">
        <v>2344</v>
      </c>
      <c r="E481" t="s">
        <v>2036</v>
      </c>
      <c r="F481">
        <v>202107</v>
      </c>
      <c r="G481" t="s">
        <v>2166</v>
      </c>
      <c r="H481">
        <v>12.33</v>
      </c>
      <c r="O481">
        <v>5352</v>
      </c>
      <c r="P481" t="s">
        <v>2625</v>
      </c>
      <c r="Q481">
        <v>5697</v>
      </c>
      <c r="R481" t="s">
        <v>2344</v>
      </c>
      <c r="S481" t="s">
        <v>2036</v>
      </c>
      <c r="T481">
        <v>202201</v>
      </c>
      <c r="U481" t="s">
        <v>184</v>
      </c>
      <c r="V481">
        <v>24445</v>
      </c>
    </row>
    <row r="482" spans="1:22">
      <c r="A482">
        <v>5352</v>
      </c>
      <c r="B482" t="s">
        <v>2625</v>
      </c>
      <c r="C482">
        <v>5697</v>
      </c>
      <c r="D482" t="s">
        <v>2344</v>
      </c>
      <c r="E482" t="s">
        <v>2036</v>
      </c>
      <c r="F482">
        <v>202107</v>
      </c>
      <c r="G482" t="s">
        <v>2167</v>
      </c>
      <c r="H482">
        <v>23.94</v>
      </c>
      <c r="O482">
        <v>5352</v>
      </c>
      <c r="P482" t="s">
        <v>2625</v>
      </c>
      <c r="Q482">
        <v>5697</v>
      </c>
      <c r="R482" t="s">
        <v>2344</v>
      </c>
      <c r="S482" t="s">
        <v>2036</v>
      </c>
      <c r="T482">
        <v>202201</v>
      </c>
      <c r="U482" t="s">
        <v>186</v>
      </c>
      <c r="V482">
        <v>0</v>
      </c>
    </row>
    <row r="483" spans="1:22">
      <c r="A483">
        <v>5352</v>
      </c>
      <c r="B483" t="s">
        <v>2625</v>
      </c>
      <c r="C483">
        <v>5697</v>
      </c>
      <c r="D483" t="s">
        <v>2344</v>
      </c>
      <c r="E483" t="s">
        <v>2036</v>
      </c>
      <c r="F483">
        <v>202107</v>
      </c>
      <c r="G483" t="s">
        <v>2168</v>
      </c>
      <c r="H483">
        <v>10.17</v>
      </c>
      <c r="O483">
        <v>5352</v>
      </c>
      <c r="P483" t="s">
        <v>2625</v>
      </c>
      <c r="Q483">
        <v>5697</v>
      </c>
      <c r="R483" t="s">
        <v>2344</v>
      </c>
      <c r="S483" t="s">
        <v>2036</v>
      </c>
      <c r="T483">
        <v>202201</v>
      </c>
      <c r="U483" t="s">
        <v>190</v>
      </c>
      <c r="V483">
        <v>353556</v>
      </c>
    </row>
    <row r="484" spans="1:22">
      <c r="A484">
        <v>5352</v>
      </c>
      <c r="B484" t="s">
        <v>2625</v>
      </c>
      <c r="C484">
        <v>5697</v>
      </c>
      <c r="D484" t="s">
        <v>2344</v>
      </c>
      <c r="E484" t="s">
        <v>2036</v>
      </c>
      <c r="F484">
        <v>202107</v>
      </c>
      <c r="G484" t="s">
        <v>2171</v>
      </c>
      <c r="H484">
        <v>48608.06</v>
      </c>
      <c r="O484">
        <v>5352</v>
      </c>
      <c r="P484" t="s">
        <v>2625</v>
      </c>
      <c r="Q484">
        <v>5697</v>
      </c>
      <c r="R484" t="s">
        <v>2344</v>
      </c>
      <c r="S484" t="s">
        <v>2036</v>
      </c>
      <c r="T484">
        <v>202201</v>
      </c>
      <c r="U484" t="s">
        <v>191</v>
      </c>
      <c r="V484">
        <v>50662</v>
      </c>
    </row>
    <row r="485" spans="1:22">
      <c r="A485">
        <v>5352</v>
      </c>
      <c r="B485" t="s">
        <v>2625</v>
      </c>
      <c r="C485">
        <v>5697</v>
      </c>
      <c r="D485" t="s">
        <v>2344</v>
      </c>
      <c r="E485" t="s">
        <v>2036</v>
      </c>
      <c r="F485">
        <v>202107</v>
      </c>
      <c r="G485" t="s">
        <v>190</v>
      </c>
      <c r="H485">
        <v>92770</v>
      </c>
      <c r="O485">
        <v>5352</v>
      </c>
      <c r="P485" t="s">
        <v>2625</v>
      </c>
      <c r="Q485">
        <v>5697</v>
      </c>
      <c r="R485" t="s">
        <v>2344</v>
      </c>
      <c r="S485" t="s">
        <v>2036</v>
      </c>
      <c r="T485">
        <v>202201</v>
      </c>
      <c r="U485" t="s">
        <v>178</v>
      </c>
      <c r="V485">
        <v>871</v>
      </c>
    </row>
    <row r="486" spans="1:22">
      <c r="A486">
        <v>5352</v>
      </c>
      <c r="B486" t="s">
        <v>2625</v>
      </c>
      <c r="C486">
        <v>5697</v>
      </c>
      <c r="D486" t="s">
        <v>2344</v>
      </c>
      <c r="E486" t="s">
        <v>2036</v>
      </c>
      <c r="F486">
        <v>202107</v>
      </c>
      <c r="G486" t="s">
        <v>191</v>
      </c>
      <c r="H486">
        <v>12681</v>
      </c>
      <c r="O486">
        <v>5352</v>
      </c>
      <c r="P486" t="s">
        <v>2625</v>
      </c>
      <c r="Q486">
        <v>5697</v>
      </c>
      <c r="R486" t="s">
        <v>2344</v>
      </c>
      <c r="S486" t="s">
        <v>2036</v>
      </c>
      <c r="T486">
        <v>202201</v>
      </c>
      <c r="U486" t="s">
        <v>180</v>
      </c>
      <c r="V486">
        <v>884</v>
      </c>
    </row>
    <row r="487" spans="1:22">
      <c r="A487">
        <v>5352</v>
      </c>
      <c r="B487" t="s">
        <v>2625</v>
      </c>
      <c r="C487">
        <v>5697</v>
      </c>
      <c r="D487" t="s">
        <v>2344</v>
      </c>
      <c r="E487" t="s">
        <v>2036</v>
      </c>
      <c r="F487">
        <v>202107</v>
      </c>
      <c r="G487" t="s">
        <v>176</v>
      </c>
      <c r="H487">
        <v>0</v>
      </c>
      <c r="O487">
        <v>5352</v>
      </c>
      <c r="P487" t="s">
        <v>2625</v>
      </c>
      <c r="Q487">
        <v>5697</v>
      </c>
      <c r="R487" t="s">
        <v>2344</v>
      </c>
      <c r="S487" t="s">
        <v>2036</v>
      </c>
      <c r="T487">
        <v>202201</v>
      </c>
      <c r="U487" t="s">
        <v>182</v>
      </c>
      <c r="V487">
        <v>353556</v>
      </c>
    </row>
    <row r="488" spans="1:22">
      <c r="A488">
        <v>5352</v>
      </c>
      <c r="B488" t="s">
        <v>2625</v>
      </c>
      <c r="C488">
        <v>5697</v>
      </c>
      <c r="D488" t="s">
        <v>2344</v>
      </c>
      <c r="E488" t="s">
        <v>2036</v>
      </c>
      <c r="F488">
        <v>202107</v>
      </c>
      <c r="G488" t="s">
        <v>178</v>
      </c>
      <c r="H488">
        <v>320</v>
      </c>
      <c r="O488">
        <v>5352</v>
      </c>
      <c r="P488" t="s">
        <v>2625</v>
      </c>
      <c r="Q488">
        <v>5697</v>
      </c>
      <c r="R488" t="s">
        <v>2344</v>
      </c>
      <c r="S488" t="s">
        <v>2036</v>
      </c>
      <c r="T488">
        <v>202201</v>
      </c>
      <c r="U488" t="s">
        <v>184</v>
      </c>
      <c r="V488">
        <v>50662</v>
      </c>
    </row>
    <row r="489" spans="1:22">
      <c r="A489">
        <v>5352</v>
      </c>
      <c r="B489" t="s">
        <v>2625</v>
      </c>
      <c r="C489">
        <v>5697</v>
      </c>
      <c r="D489" t="s">
        <v>2344</v>
      </c>
      <c r="E489" t="s">
        <v>2036</v>
      </c>
      <c r="F489">
        <v>202107</v>
      </c>
      <c r="G489" t="s">
        <v>180</v>
      </c>
      <c r="H489">
        <v>320</v>
      </c>
      <c r="O489">
        <v>5352</v>
      </c>
      <c r="P489" t="s">
        <v>2625</v>
      </c>
      <c r="Q489">
        <v>5697</v>
      </c>
      <c r="R489" t="s">
        <v>2344</v>
      </c>
      <c r="S489" t="s">
        <v>2036</v>
      </c>
      <c r="T489">
        <v>202201</v>
      </c>
      <c r="U489" t="s">
        <v>186</v>
      </c>
      <c r="V489">
        <v>0</v>
      </c>
    </row>
    <row r="490" spans="1:22">
      <c r="A490">
        <v>5352</v>
      </c>
      <c r="B490" t="s">
        <v>2625</v>
      </c>
      <c r="C490">
        <v>5697</v>
      </c>
      <c r="D490" t="s">
        <v>2344</v>
      </c>
      <c r="E490" t="s">
        <v>2036</v>
      </c>
      <c r="F490">
        <v>202107</v>
      </c>
      <c r="G490" t="s">
        <v>182</v>
      </c>
      <c r="H490">
        <v>92770</v>
      </c>
      <c r="O490">
        <v>5352</v>
      </c>
      <c r="P490" t="s">
        <v>2625</v>
      </c>
      <c r="Q490">
        <v>5697</v>
      </c>
      <c r="R490" t="s">
        <v>2344</v>
      </c>
      <c r="S490" t="s">
        <v>2036</v>
      </c>
      <c r="T490">
        <v>202201</v>
      </c>
      <c r="U490" t="s">
        <v>190</v>
      </c>
      <c r="V490">
        <v>661197</v>
      </c>
    </row>
    <row r="491" spans="1:22">
      <c r="A491">
        <v>5352</v>
      </c>
      <c r="B491" t="s">
        <v>2625</v>
      </c>
      <c r="C491">
        <v>5697</v>
      </c>
      <c r="D491" t="s">
        <v>2344</v>
      </c>
      <c r="E491" t="s">
        <v>2036</v>
      </c>
      <c r="F491">
        <v>202107</v>
      </c>
      <c r="G491" t="s">
        <v>184</v>
      </c>
      <c r="H491">
        <v>12681</v>
      </c>
      <c r="O491">
        <v>5352</v>
      </c>
      <c r="P491" t="s">
        <v>2625</v>
      </c>
      <c r="Q491">
        <v>5697</v>
      </c>
      <c r="R491" t="s">
        <v>2344</v>
      </c>
      <c r="S491" t="s">
        <v>2036</v>
      </c>
      <c r="T491">
        <v>202201</v>
      </c>
      <c r="U491" t="s">
        <v>191</v>
      </c>
      <c r="V491">
        <v>45254</v>
      </c>
    </row>
    <row r="492" spans="1:22">
      <c r="A492">
        <v>5352</v>
      </c>
      <c r="B492" t="s">
        <v>2625</v>
      </c>
      <c r="C492">
        <v>5697</v>
      </c>
      <c r="D492" t="s">
        <v>2344</v>
      </c>
      <c r="E492" t="s">
        <v>2036</v>
      </c>
      <c r="F492">
        <v>202107</v>
      </c>
      <c r="G492" t="s">
        <v>192</v>
      </c>
      <c r="H492">
        <v>0</v>
      </c>
      <c r="O492">
        <v>5352</v>
      </c>
      <c r="P492" t="s">
        <v>2625</v>
      </c>
      <c r="Q492">
        <v>5697</v>
      </c>
      <c r="R492" t="s">
        <v>2344</v>
      </c>
      <c r="S492" t="s">
        <v>2036</v>
      </c>
      <c r="T492">
        <v>202201</v>
      </c>
      <c r="U492" t="s">
        <v>178</v>
      </c>
      <c r="V492">
        <v>1360</v>
      </c>
    </row>
    <row r="493" spans="1:22">
      <c r="A493">
        <v>5352</v>
      </c>
      <c r="B493" t="s">
        <v>2625</v>
      </c>
      <c r="C493">
        <v>5697</v>
      </c>
      <c r="D493" t="s">
        <v>2344</v>
      </c>
      <c r="E493" t="s">
        <v>2036</v>
      </c>
      <c r="F493">
        <v>202107</v>
      </c>
      <c r="G493" t="s">
        <v>2170</v>
      </c>
      <c r="H493">
        <v>777.19</v>
      </c>
      <c r="O493">
        <v>5352</v>
      </c>
      <c r="P493" t="s">
        <v>2625</v>
      </c>
      <c r="Q493">
        <v>5697</v>
      </c>
      <c r="R493" t="s">
        <v>2344</v>
      </c>
      <c r="S493" t="s">
        <v>2036</v>
      </c>
      <c r="T493">
        <v>202201</v>
      </c>
      <c r="U493" t="s">
        <v>180</v>
      </c>
      <c r="V493">
        <v>1250</v>
      </c>
    </row>
    <row r="494" spans="1:22">
      <c r="A494">
        <v>5352</v>
      </c>
      <c r="B494" t="s">
        <v>2625</v>
      </c>
      <c r="C494">
        <v>5697</v>
      </c>
      <c r="D494" t="s">
        <v>2344</v>
      </c>
      <c r="E494" t="s">
        <v>2036</v>
      </c>
      <c r="F494">
        <v>202107</v>
      </c>
      <c r="G494" t="s">
        <v>186</v>
      </c>
      <c r="H494">
        <v>0</v>
      </c>
      <c r="O494">
        <v>5352</v>
      </c>
      <c r="P494" t="s">
        <v>2625</v>
      </c>
      <c r="Q494">
        <v>5697</v>
      </c>
      <c r="R494" t="s">
        <v>2344</v>
      </c>
      <c r="S494" t="s">
        <v>2036</v>
      </c>
      <c r="T494">
        <v>202201</v>
      </c>
      <c r="U494" t="s">
        <v>182</v>
      </c>
      <c r="V494">
        <v>661197</v>
      </c>
    </row>
    <row r="495" spans="1:22">
      <c r="A495">
        <v>5352</v>
      </c>
      <c r="B495" t="s">
        <v>2625</v>
      </c>
      <c r="C495">
        <v>5697</v>
      </c>
      <c r="D495" t="s">
        <v>2344</v>
      </c>
      <c r="E495" t="s">
        <v>2036</v>
      </c>
      <c r="F495">
        <v>202107</v>
      </c>
      <c r="G495" t="s">
        <v>2169</v>
      </c>
      <c r="H495">
        <v>99.17</v>
      </c>
      <c r="O495">
        <v>5352</v>
      </c>
      <c r="P495" t="s">
        <v>2625</v>
      </c>
      <c r="Q495">
        <v>5697</v>
      </c>
      <c r="R495" t="s">
        <v>2344</v>
      </c>
      <c r="S495" t="s">
        <v>2036</v>
      </c>
      <c r="T495">
        <v>202201</v>
      </c>
      <c r="U495" t="s">
        <v>184</v>
      </c>
      <c r="V495">
        <v>45254</v>
      </c>
    </row>
    <row r="496" spans="1:22">
      <c r="A496">
        <v>5352</v>
      </c>
      <c r="B496" t="s">
        <v>2625</v>
      </c>
      <c r="C496">
        <v>5697</v>
      </c>
      <c r="D496" t="s">
        <v>2344</v>
      </c>
      <c r="E496" t="s">
        <v>2036</v>
      </c>
      <c r="F496">
        <v>202107</v>
      </c>
      <c r="G496" t="s">
        <v>2166</v>
      </c>
      <c r="H496">
        <v>12.33</v>
      </c>
      <c r="O496">
        <v>5352</v>
      </c>
      <c r="P496" t="s">
        <v>2625</v>
      </c>
      <c r="Q496">
        <v>5697</v>
      </c>
      <c r="R496" t="s">
        <v>2344</v>
      </c>
      <c r="S496" t="s">
        <v>2036</v>
      </c>
      <c r="T496">
        <v>202201</v>
      </c>
      <c r="U496" t="s">
        <v>186</v>
      </c>
      <c r="V496">
        <v>0</v>
      </c>
    </row>
    <row r="497" spans="1:22">
      <c r="A497">
        <v>5352</v>
      </c>
      <c r="B497" t="s">
        <v>2625</v>
      </c>
      <c r="C497">
        <v>5697</v>
      </c>
      <c r="D497" t="s">
        <v>2344</v>
      </c>
      <c r="E497" t="s">
        <v>2036</v>
      </c>
      <c r="F497">
        <v>202107</v>
      </c>
      <c r="G497" t="s">
        <v>2167</v>
      </c>
      <c r="H497">
        <v>23.94</v>
      </c>
      <c r="O497">
        <v>5352</v>
      </c>
      <c r="P497" t="s">
        <v>2625</v>
      </c>
      <c r="Q497">
        <v>5697</v>
      </c>
      <c r="R497" t="s">
        <v>2344</v>
      </c>
      <c r="S497" t="s">
        <v>2036</v>
      </c>
      <c r="T497">
        <v>202201</v>
      </c>
      <c r="U497" t="s">
        <v>190</v>
      </c>
      <c r="V497">
        <v>864697</v>
      </c>
    </row>
    <row r="498" spans="1:22">
      <c r="A498">
        <v>5352</v>
      </c>
      <c r="B498" t="s">
        <v>2625</v>
      </c>
      <c r="C498">
        <v>5697</v>
      </c>
      <c r="D498" t="s">
        <v>2344</v>
      </c>
      <c r="E498" t="s">
        <v>2036</v>
      </c>
      <c r="F498">
        <v>202107</v>
      </c>
      <c r="G498" t="s">
        <v>2168</v>
      </c>
      <c r="H498">
        <v>10.17</v>
      </c>
      <c r="O498">
        <v>5352</v>
      </c>
      <c r="P498" t="s">
        <v>2625</v>
      </c>
      <c r="Q498">
        <v>5697</v>
      </c>
      <c r="R498" t="s">
        <v>2344</v>
      </c>
      <c r="S498" t="s">
        <v>2036</v>
      </c>
      <c r="T498">
        <v>202201</v>
      </c>
      <c r="U498" t="s">
        <v>191</v>
      </c>
      <c r="V498">
        <v>137674</v>
      </c>
    </row>
    <row r="499" spans="1:22">
      <c r="A499">
        <v>5352</v>
      </c>
      <c r="B499" t="s">
        <v>2625</v>
      </c>
      <c r="C499">
        <v>5697</v>
      </c>
      <c r="D499" t="s">
        <v>2344</v>
      </c>
      <c r="E499" t="s">
        <v>2036</v>
      </c>
      <c r="F499">
        <v>202107</v>
      </c>
      <c r="G499" t="s">
        <v>2171</v>
      </c>
      <c r="H499">
        <v>23913.58</v>
      </c>
      <c r="O499">
        <v>5352</v>
      </c>
      <c r="P499" t="s">
        <v>2625</v>
      </c>
      <c r="Q499">
        <v>5697</v>
      </c>
      <c r="R499" t="s">
        <v>2344</v>
      </c>
      <c r="S499" t="s">
        <v>2036</v>
      </c>
      <c r="T499">
        <v>202201</v>
      </c>
      <c r="U499" t="s">
        <v>178</v>
      </c>
      <c r="V499">
        <v>2400</v>
      </c>
    </row>
    <row r="500" spans="1:22">
      <c r="A500">
        <v>5352</v>
      </c>
      <c r="B500" t="s">
        <v>2625</v>
      </c>
      <c r="C500">
        <v>5697</v>
      </c>
      <c r="D500" t="s">
        <v>2344</v>
      </c>
      <c r="E500" t="s">
        <v>2036</v>
      </c>
      <c r="F500">
        <v>202107</v>
      </c>
      <c r="G500" t="s">
        <v>190</v>
      </c>
      <c r="H500">
        <v>168247</v>
      </c>
      <c r="O500">
        <v>5352</v>
      </c>
      <c r="P500" t="s">
        <v>2625</v>
      </c>
      <c r="Q500">
        <v>5697</v>
      </c>
      <c r="R500" t="s">
        <v>2344</v>
      </c>
      <c r="S500" t="s">
        <v>2036</v>
      </c>
      <c r="T500">
        <v>202201</v>
      </c>
      <c r="U500" t="s">
        <v>180</v>
      </c>
      <c r="V500">
        <v>2442</v>
      </c>
    </row>
    <row r="501" spans="1:22">
      <c r="A501">
        <v>5352</v>
      </c>
      <c r="B501" t="s">
        <v>2625</v>
      </c>
      <c r="C501">
        <v>5697</v>
      </c>
      <c r="D501" t="s">
        <v>2344</v>
      </c>
      <c r="E501" t="s">
        <v>2036</v>
      </c>
      <c r="F501">
        <v>202107</v>
      </c>
      <c r="G501" t="s">
        <v>191</v>
      </c>
      <c r="H501">
        <v>23574</v>
      </c>
      <c r="O501">
        <v>5352</v>
      </c>
      <c r="P501" t="s">
        <v>2625</v>
      </c>
      <c r="Q501">
        <v>5697</v>
      </c>
      <c r="R501" t="s">
        <v>2344</v>
      </c>
      <c r="S501" t="s">
        <v>2036</v>
      </c>
      <c r="T501">
        <v>202201</v>
      </c>
      <c r="U501" t="s">
        <v>182</v>
      </c>
      <c r="V501">
        <v>947211</v>
      </c>
    </row>
    <row r="502" spans="1:22">
      <c r="A502">
        <v>5352</v>
      </c>
      <c r="B502" t="s">
        <v>2625</v>
      </c>
      <c r="C502">
        <v>5697</v>
      </c>
      <c r="D502" t="s">
        <v>2344</v>
      </c>
      <c r="E502" t="s">
        <v>2036</v>
      </c>
      <c r="F502">
        <v>202107</v>
      </c>
      <c r="G502" t="s">
        <v>176</v>
      </c>
      <c r="H502">
        <v>0</v>
      </c>
      <c r="O502">
        <v>5352</v>
      </c>
      <c r="P502" t="s">
        <v>2625</v>
      </c>
      <c r="Q502">
        <v>5697</v>
      </c>
      <c r="R502" t="s">
        <v>2344</v>
      </c>
      <c r="S502" t="s">
        <v>2036</v>
      </c>
      <c r="T502">
        <v>202201</v>
      </c>
      <c r="U502" t="s">
        <v>184</v>
      </c>
      <c r="V502">
        <v>137674</v>
      </c>
    </row>
    <row r="503" spans="1:22">
      <c r="A503">
        <v>5352</v>
      </c>
      <c r="B503" t="s">
        <v>2625</v>
      </c>
      <c r="C503">
        <v>5697</v>
      </c>
      <c r="D503" t="s">
        <v>2344</v>
      </c>
      <c r="E503" t="s">
        <v>2036</v>
      </c>
      <c r="F503">
        <v>202107</v>
      </c>
      <c r="G503" t="s">
        <v>178</v>
      </c>
      <c r="H503">
        <v>600</v>
      </c>
      <c r="O503">
        <v>5352</v>
      </c>
      <c r="P503" t="s">
        <v>2625</v>
      </c>
      <c r="Q503">
        <v>5697</v>
      </c>
      <c r="R503" t="s">
        <v>2344</v>
      </c>
      <c r="S503" t="s">
        <v>2036</v>
      </c>
      <c r="T503">
        <v>202201</v>
      </c>
      <c r="U503" t="s">
        <v>186</v>
      </c>
      <c r="V503">
        <v>82514</v>
      </c>
    </row>
    <row r="504" spans="1:22">
      <c r="A504">
        <v>5352</v>
      </c>
      <c r="B504" t="s">
        <v>2625</v>
      </c>
      <c r="C504">
        <v>5697</v>
      </c>
      <c r="D504" t="s">
        <v>2344</v>
      </c>
      <c r="E504" t="s">
        <v>2036</v>
      </c>
      <c r="F504">
        <v>202107</v>
      </c>
      <c r="G504" t="s">
        <v>180</v>
      </c>
      <c r="H504">
        <v>600</v>
      </c>
      <c r="O504">
        <v>5352</v>
      </c>
      <c r="P504" t="s">
        <v>2625</v>
      </c>
      <c r="Q504">
        <v>5697</v>
      </c>
      <c r="R504" t="s">
        <v>2344</v>
      </c>
      <c r="S504" t="s">
        <v>2036</v>
      </c>
      <c r="T504">
        <v>202201</v>
      </c>
      <c r="U504" t="s">
        <v>190</v>
      </c>
      <c r="V504">
        <v>565105</v>
      </c>
    </row>
    <row r="505" spans="1:22">
      <c r="A505">
        <v>5352</v>
      </c>
      <c r="B505" t="s">
        <v>2625</v>
      </c>
      <c r="C505">
        <v>5697</v>
      </c>
      <c r="D505" t="s">
        <v>2344</v>
      </c>
      <c r="E505" t="s">
        <v>2036</v>
      </c>
      <c r="F505">
        <v>202107</v>
      </c>
      <c r="G505" t="s">
        <v>182</v>
      </c>
      <c r="H505">
        <v>168247</v>
      </c>
      <c r="O505">
        <v>5352</v>
      </c>
      <c r="P505" t="s">
        <v>2625</v>
      </c>
      <c r="Q505">
        <v>5697</v>
      </c>
      <c r="R505" t="s">
        <v>2344</v>
      </c>
      <c r="S505" t="s">
        <v>2036</v>
      </c>
      <c r="T505">
        <v>202201</v>
      </c>
      <c r="U505" t="s">
        <v>191</v>
      </c>
      <c r="V505">
        <v>82334</v>
      </c>
    </row>
    <row r="506" spans="1:22">
      <c r="A506">
        <v>5352</v>
      </c>
      <c r="B506" t="s">
        <v>2625</v>
      </c>
      <c r="C506">
        <v>5697</v>
      </c>
      <c r="D506" t="s">
        <v>2344</v>
      </c>
      <c r="E506" t="s">
        <v>2036</v>
      </c>
      <c r="F506">
        <v>202107</v>
      </c>
      <c r="G506" t="s">
        <v>184</v>
      </c>
      <c r="H506">
        <v>23574</v>
      </c>
      <c r="O506">
        <v>5352</v>
      </c>
      <c r="P506" t="s">
        <v>2625</v>
      </c>
      <c r="Q506">
        <v>5697</v>
      </c>
      <c r="R506" t="s">
        <v>2344</v>
      </c>
      <c r="S506" t="s">
        <v>2036</v>
      </c>
      <c r="T506">
        <v>202201</v>
      </c>
      <c r="U506" t="s">
        <v>178</v>
      </c>
      <c r="V506">
        <v>1404</v>
      </c>
    </row>
    <row r="507" spans="1:22">
      <c r="A507">
        <v>5352</v>
      </c>
      <c r="B507" t="s">
        <v>2625</v>
      </c>
      <c r="C507">
        <v>5697</v>
      </c>
      <c r="D507" t="s">
        <v>2344</v>
      </c>
      <c r="E507" t="s">
        <v>2036</v>
      </c>
      <c r="F507">
        <v>202107</v>
      </c>
      <c r="G507" t="s">
        <v>192</v>
      </c>
      <c r="H507">
        <v>0</v>
      </c>
      <c r="O507">
        <v>5352</v>
      </c>
      <c r="P507" t="s">
        <v>2625</v>
      </c>
      <c r="Q507">
        <v>5697</v>
      </c>
      <c r="R507" t="s">
        <v>2344</v>
      </c>
      <c r="S507" t="s">
        <v>2036</v>
      </c>
      <c r="T507">
        <v>202201</v>
      </c>
      <c r="U507" t="s">
        <v>180</v>
      </c>
      <c r="V507">
        <v>1621</v>
      </c>
    </row>
    <row r="508" spans="1:22">
      <c r="A508">
        <v>5352</v>
      </c>
      <c r="B508" t="s">
        <v>2625</v>
      </c>
      <c r="C508">
        <v>5697</v>
      </c>
      <c r="D508" t="s">
        <v>2344</v>
      </c>
      <c r="E508" t="s">
        <v>2036</v>
      </c>
      <c r="F508">
        <v>202107</v>
      </c>
      <c r="G508" t="s">
        <v>2170</v>
      </c>
      <c r="H508">
        <v>1435.57</v>
      </c>
      <c r="O508">
        <v>5352</v>
      </c>
      <c r="P508" t="s">
        <v>2625</v>
      </c>
      <c r="Q508">
        <v>5697</v>
      </c>
      <c r="R508" t="s">
        <v>2344</v>
      </c>
      <c r="S508" t="s">
        <v>2036</v>
      </c>
      <c r="T508">
        <v>202201</v>
      </c>
      <c r="U508" t="s">
        <v>182</v>
      </c>
      <c r="V508">
        <v>565105</v>
      </c>
    </row>
    <row r="509" spans="1:22">
      <c r="A509">
        <v>5352</v>
      </c>
      <c r="B509" t="s">
        <v>2625</v>
      </c>
      <c r="C509">
        <v>5697</v>
      </c>
      <c r="D509" t="s">
        <v>2344</v>
      </c>
      <c r="E509" t="s">
        <v>2036</v>
      </c>
      <c r="F509">
        <v>202107</v>
      </c>
      <c r="G509" t="s">
        <v>186</v>
      </c>
      <c r="H509">
        <v>0</v>
      </c>
      <c r="O509">
        <v>5352</v>
      </c>
      <c r="P509" t="s">
        <v>2625</v>
      </c>
      <c r="Q509">
        <v>5697</v>
      </c>
      <c r="R509" t="s">
        <v>2344</v>
      </c>
      <c r="S509" t="s">
        <v>2036</v>
      </c>
      <c r="T509">
        <v>202201</v>
      </c>
      <c r="U509" t="s">
        <v>184</v>
      </c>
      <c r="V509">
        <v>82334</v>
      </c>
    </row>
    <row r="510" spans="1:22">
      <c r="A510">
        <v>5352</v>
      </c>
      <c r="B510" t="s">
        <v>2625</v>
      </c>
      <c r="C510">
        <v>5697</v>
      </c>
      <c r="D510" t="s">
        <v>2344</v>
      </c>
      <c r="E510" t="s">
        <v>2036</v>
      </c>
      <c r="F510">
        <v>202107</v>
      </c>
      <c r="G510" t="s">
        <v>2169</v>
      </c>
      <c r="H510">
        <v>99.17</v>
      </c>
      <c r="O510">
        <v>5352</v>
      </c>
      <c r="P510" t="s">
        <v>2625</v>
      </c>
      <c r="Q510">
        <v>5697</v>
      </c>
      <c r="R510" t="s">
        <v>2344</v>
      </c>
      <c r="S510" t="s">
        <v>2036</v>
      </c>
      <c r="T510">
        <v>202201</v>
      </c>
      <c r="U510" t="s">
        <v>186</v>
      </c>
      <c r="V510">
        <v>0</v>
      </c>
    </row>
    <row r="511" spans="1:22">
      <c r="A511">
        <v>5352</v>
      </c>
      <c r="B511" t="s">
        <v>2625</v>
      </c>
      <c r="C511">
        <v>5697</v>
      </c>
      <c r="D511" t="s">
        <v>2344</v>
      </c>
      <c r="E511" t="s">
        <v>2036</v>
      </c>
      <c r="F511">
        <v>202107</v>
      </c>
      <c r="G511" t="s">
        <v>2166</v>
      </c>
      <c r="H511">
        <v>12.33</v>
      </c>
      <c r="O511">
        <v>5352</v>
      </c>
      <c r="P511" t="s">
        <v>2625</v>
      </c>
      <c r="Q511">
        <v>5697</v>
      </c>
      <c r="R511" t="s">
        <v>2344</v>
      </c>
      <c r="S511" t="s">
        <v>2036</v>
      </c>
      <c r="T511">
        <v>202201</v>
      </c>
      <c r="U511" t="s">
        <v>190</v>
      </c>
      <c r="V511">
        <v>113235</v>
      </c>
    </row>
    <row r="512" spans="1:22">
      <c r="A512">
        <v>5352</v>
      </c>
      <c r="B512" t="s">
        <v>2625</v>
      </c>
      <c r="C512">
        <v>5697</v>
      </c>
      <c r="D512" t="s">
        <v>2344</v>
      </c>
      <c r="E512" t="s">
        <v>2036</v>
      </c>
      <c r="F512">
        <v>202107</v>
      </c>
      <c r="G512" t="s">
        <v>2167</v>
      </c>
      <c r="H512">
        <v>23.94</v>
      </c>
      <c r="O512">
        <v>5352</v>
      </c>
      <c r="P512" t="s">
        <v>2625</v>
      </c>
      <c r="Q512">
        <v>5697</v>
      </c>
      <c r="R512" t="s">
        <v>2344</v>
      </c>
      <c r="S512" t="s">
        <v>2036</v>
      </c>
      <c r="T512">
        <v>202201</v>
      </c>
      <c r="U512" t="s">
        <v>191</v>
      </c>
      <c r="V512">
        <v>17982</v>
      </c>
    </row>
    <row r="513" spans="1:22">
      <c r="A513">
        <v>5352</v>
      </c>
      <c r="B513" t="s">
        <v>2625</v>
      </c>
      <c r="C513">
        <v>5697</v>
      </c>
      <c r="D513" t="s">
        <v>2344</v>
      </c>
      <c r="E513" t="s">
        <v>2036</v>
      </c>
      <c r="F513">
        <v>202107</v>
      </c>
      <c r="G513" t="s">
        <v>2168</v>
      </c>
      <c r="H513">
        <v>10.17</v>
      </c>
      <c r="O513">
        <v>5352</v>
      </c>
      <c r="P513" t="s">
        <v>2625</v>
      </c>
      <c r="Q513">
        <v>5697</v>
      </c>
      <c r="R513" t="s">
        <v>2344</v>
      </c>
      <c r="S513" t="s">
        <v>2036</v>
      </c>
      <c r="T513">
        <v>202201</v>
      </c>
      <c r="U513" t="s">
        <v>178</v>
      </c>
      <c r="V513">
        <v>405</v>
      </c>
    </row>
    <row r="514" spans="1:22">
      <c r="A514">
        <v>5352</v>
      </c>
      <c r="B514" t="s">
        <v>2625</v>
      </c>
      <c r="C514">
        <v>5697</v>
      </c>
      <c r="D514" t="s">
        <v>2344</v>
      </c>
      <c r="E514" t="s">
        <v>2036</v>
      </c>
      <c r="F514">
        <v>202107</v>
      </c>
      <c r="G514" t="s">
        <v>2171</v>
      </c>
      <c r="H514">
        <v>44171.26</v>
      </c>
      <c r="O514">
        <v>5352</v>
      </c>
      <c r="P514" t="s">
        <v>2625</v>
      </c>
      <c r="Q514">
        <v>5697</v>
      </c>
      <c r="R514" t="s">
        <v>2344</v>
      </c>
      <c r="S514" t="s">
        <v>2036</v>
      </c>
      <c r="T514">
        <v>202201</v>
      </c>
      <c r="U514" t="s">
        <v>180</v>
      </c>
      <c r="V514">
        <v>575</v>
      </c>
    </row>
    <row r="515" spans="1:22">
      <c r="A515">
        <v>5352</v>
      </c>
      <c r="B515" t="s">
        <v>2625</v>
      </c>
      <c r="C515">
        <v>5697</v>
      </c>
      <c r="D515" t="s">
        <v>2344</v>
      </c>
      <c r="E515" t="s">
        <v>2036</v>
      </c>
      <c r="F515">
        <v>202107</v>
      </c>
      <c r="G515" t="s">
        <v>190</v>
      </c>
      <c r="H515">
        <v>158946</v>
      </c>
      <c r="O515">
        <v>5352</v>
      </c>
      <c r="P515" t="s">
        <v>2625</v>
      </c>
      <c r="Q515">
        <v>5697</v>
      </c>
      <c r="R515" t="s">
        <v>2344</v>
      </c>
      <c r="S515" t="s">
        <v>2036</v>
      </c>
      <c r="T515">
        <v>202201</v>
      </c>
      <c r="U515" t="s">
        <v>182</v>
      </c>
      <c r="V515">
        <v>113235</v>
      </c>
    </row>
    <row r="516" spans="1:22">
      <c r="A516">
        <v>5352</v>
      </c>
      <c r="B516" t="s">
        <v>2625</v>
      </c>
      <c r="C516">
        <v>5697</v>
      </c>
      <c r="D516" t="s">
        <v>2344</v>
      </c>
      <c r="E516" t="s">
        <v>2036</v>
      </c>
      <c r="F516">
        <v>202107</v>
      </c>
      <c r="G516" t="s">
        <v>191</v>
      </c>
      <c r="H516">
        <v>21393</v>
      </c>
      <c r="O516">
        <v>5352</v>
      </c>
      <c r="P516" t="s">
        <v>2625</v>
      </c>
      <c r="Q516">
        <v>5697</v>
      </c>
      <c r="R516" t="s">
        <v>2344</v>
      </c>
      <c r="S516" t="s">
        <v>2036</v>
      </c>
      <c r="T516">
        <v>202201</v>
      </c>
      <c r="U516" t="s">
        <v>184</v>
      </c>
      <c r="V516">
        <v>17982</v>
      </c>
    </row>
    <row r="517" spans="1:22">
      <c r="A517">
        <v>5352</v>
      </c>
      <c r="B517" t="s">
        <v>2625</v>
      </c>
      <c r="C517">
        <v>5697</v>
      </c>
      <c r="D517" t="s">
        <v>2344</v>
      </c>
      <c r="E517" t="s">
        <v>2036</v>
      </c>
      <c r="F517">
        <v>202107</v>
      </c>
      <c r="G517" t="s">
        <v>176</v>
      </c>
      <c r="H517">
        <v>0</v>
      </c>
      <c r="O517">
        <v>5352</v>
      </c>
      <c r="P517" t="s">
        <v>2625</v>
      </c>
      <c r="Q517">
        <v>5697</v>
      </c>
      <c r="R517" t="s">
        <v>2344</v>
      </c>
      <c r="S517" t="s">
        <v>2036</v>
      </c>
      <c r="T517">
        <v>202201</v>
      </c>
      <c r="U517" t="s">
        <v>186</v>
      </c>
      <c r="V517">
        <v>0</v>
      </c>
    </row>
    <row r="518" spans="1:22">
      <c r="A518">
        <v>5352</v>
      </c>
      <c r="B518" t="s">
        <v>2625</v>
      </c>
      <c r="C518">
        <v>5697</v>
      </c>
      <c r="D518" t="s">
        <v>2344</v>
      </c>
      <c r="E518" t="s">
        <v>2036</v>
      </c>
      <c r="F518">
        <v>202107</v>
      </c>
      <c r="G518" t="s">
        <v>178</v>
      </c>
      <c r="H518">
        <v>580</v>
      </c>
      <c r="O518">
        <v>5352</v>
      </c>
      <c r="P518" t="s">
        <v>2625</v>
      </c>
      <c r="Q518">
        <v>5697</v>
      </c>
      <c r="R518" t="s">
        <v>2344</v>
      </c>
      <c r="S518" t="s">
        <v>2036</v>
      </c>
      <c r="T518">
        <v>202201</v>
      </c>
      <c r="U518" t="s">
        <v>190</v>
      </c>
      <c r="V518">
        <v>205966</v>
      </c>
    </row>
    <row r="519" spans="1:22">
      <c r="A519">
        <v>5352</v>
      </c>
      <c r="B519" t="s">
        <v>2625</v>
      </c>
      <c r="C519">
        <v>5697</v>
      </c>
      <c r="D519" t="s">
        <v>2344</v>
      </c>
      <c r="E519" t="s">
        <v>2036</v>
      </c>
      <c r="F519">
        <v>202107</v>
      </c>
      <c r="G519" t="s">
        <v>180</v>
      </c>
      <c r="H519">
        <v>580</v>
      </c>
      <c r="O519">
        <v>5352</v>
      </c>
      <c r="P519" t="s">
        <v>2625</v>
      </c>
      <c r="Q519">
        <v>5697</v>
      </c>
      <c r="R519" t="s">
        <v>2344</v>
      </c>
      <c r="S519" t="s">
        <v>2036</v>
      </c>
      <c r="T519">
        <v>202201</v>
      </c>
      <c r="U519" t="s">
        <v>191</v>
      </c>
      <c r="V519">
        <v>31770</v>
      </c>
    </row>
    <row r="520" spans="1:22">
      <c r="A520">
        <v>5352</v>
      </c>
      <c r="B520" t="s">
        <v>2625</v>
      </c>
      <c r="C520">
        <v>5697</v>
      </c>
      <c r="D520" t="s">
        <v>2344</v>
      </c>
      <c r="E520" t="s">
        <v>2036</v>
      </c>
      <c r="F520">
        <v>202107</v>
      </c>
      <c r="G520" t="s">
        <v>182</v>
      </c>
      <c r="H520">
        <v>158946</v>
      </c>
      <c r="O520">
        <v>5352</v>
      </c>
      <c r="P520" t="s">
        <v>2625</v>
      </c>
      <c r="Q520">
        <v>5697</v>
      </c>
      <c r="R520" t="s">
        <v>2344</v>
      </c>
      <c r="S520" t="s">
        <v>2036</v>
      </c>
      <c r="T520">
        <v>202201</v>
      </c>
      <c r="U520" t="s">
        <v>178</v>
      </c>
      <c r="V520">
        <v>567</v>
      </c>
    </row>
    <row r="521" spans="1:22">
      <c r="A521">
        <v>5352</v>
      </c>
      <c r="B521" t="s">
        <v>2625</v>
      </c>
      <c r="C521">
        <v>5697</v>
      </c>
      <c r="D521" t="s">
        <v>2344</v>
      </c>
      <c r="E521" t="s">
        <v>2036</v>
      </c>
      <c r="F521">
        <v>202107</v>
      </c>
      <c r="G521" t="s">
        <v>184</v>
      </c>
      <c r="H521">
        <v>21393</v>
      </c>
      <c r="O521">
        <v>5352</v>
      </c>
      <c r="P521" t="s">
        <v>2625</v>
      </c>
      <c r="Q521">
        <v>5697</v>
      </c>
      <c r="R521" t="s">
        <v>2344</v>
      </c>
      <c r="S521" t="s">
        <v>2036</v>
      </c>
      <c r="T521">
        <v>202201</v>
      </c>
      <c r="U521" t="s">
        <v>180</v>
      </c>
      <c r="V521">
        <v>585</v>
      </c>
    </row>
    <row r="522" spans="1:22">
      <c r="A522">
        <v>5352</v>
      </c>
      <c r="B522" t="s">
        <v>2625</v>
      </c>
      <c r="C522">
        <v>5697</v>
      </c>
      <c r="D522" t="s">
        <v>2344</v>
      </c>
      <c r="E522" t="s">
        <v>2036</v>
      </c>
      <c r="F522">
        <v>202107</v>
      </c>
      <c r="G522" t="s">
        <v>192</v>
      </c>
      <c r="H522">
        <v>0</v>
      </c>
      <c r="O522">
        <v>5352</v>
      </c>
      <c r="P522" t="s">
        <v>2625</v>
      </c>
      <c r="Q522">
        <v>5697</v>
      </c>
      <c r="R522" t="s">
        <v>2344</v>
      </c>
      <c r="S522" t="s">
        <v>2036</v>
      </c>
      <c r="T522">
        <v>202201</v>
      </c>
      <c r="U522" t="s">
        <v>182</v>
      </c>
      <c r="V522">
        <v>205966</v>
      </c>
    </row>
    <row r="523" spans="1:22">
      <c r="A523">
        <v>5352</v>
      </c>
      <c r="B523" t="s">
        <v>2625</v>
      </c>
      <c r="C523">
        <v>5697</v>
      </c>
      <c r="D523" t="s">
        <v>2344</v>
      </c>
      <c r="E523" t="s">
        <v>2036</v>
      </c>
      <c r="F523">
        <v>202107</v>
      </c>
      <c r="G523" t="s">
        <v>2170</v>
      </c>
      <c r="H523">
        <v>1369.02</v>
      </c>
      <c r="O523">
        <v>5352</v>
      </c>
      <c r="P523" t="s">
        <v>2625</v>
      </c>
      <c r="Q523">
        <v>5697</v>
      </c>
      <c r="R523" t="s">
        <v>2344</v>
      </c>
      <c r="S523" t="s">
        <v>2036</v>
      </c>
      <c r="T523">
        <v>202201</v>
      </c>
      <c r="U523" t="s">
        <v>184</v>
      </c>
      <c r="V523">
        <v>31770</v>
      </c>
    </row>
    <row r="524" spans="1:22">
      <c r="A524">
        <v>5352</v>
      </c>
      <c r="B524" t="s">
        <v>2625</v>
      </c>
      <c r="C524">
        <v>5697</v>
      </c>
      <c r="D524" t="s">
        <v>2344</v>
      </c>
      <c r="E524" t="s">
        <v>2036</v>
      </c>
      <c r="F524">
        <v>202107</v>
      </c>
      <c r="G524" t="s">
        <v>186</v>
      </c>
      <c r="H524">
        <v>0</v>
      </c>
      <c r="O524">
        <v>5352</v>
      </c>
      <c r="P524" t="s">
        <v>2625</v>
      </c>
      <c r="Q524">
        <v>5697</v>
      </c>
      <c r="R524" t="s">
        <v>2344</v>
      </c>
      <c r="S524" t="s">
        <v>2036</v>
      </c>
      <c r="T524">
        <v>202201</v>
      </c>
      <c r="U524" t="s">
        <v>186</v>
      </c>
      <c r="V524">
        <v>0</v>
      </c>
    </row>
    <row r="525" spans="1:22">
      <c r="A525">
        <v>5352</v>
      </c>
      <c r="B525" t="s">
        <v>2625</v>
      </c>
      <c r="C525">
        <v>5697</v>
      </c>
      <c r="D525" t="s">
        <v>2344</v>
      </c>
      <c r="E525" t="s">
        <v>2036</v>
      </c>
      <c r="F525">
        <v>202107</v>
      </c>
      <c r="G525" t="s">
        <v>2169</v>
      </c>
      <c r="H525">
        <v>99.17</v>
      </c>
      <c r="O525">
        <v>5352</v>
      </c>
      <c r="P525" t="s">
        <v>2625</v>
      </c>
      <c r="Q525">
        <v>5697</v>
      </c>
      <c r="R525" t="s">
        <v>2344</v>
      </c>
      <c r="S525" t="s">
        <v>2036</v>
      </c>
      <c r="T525">
        <v>202201</v>
      </c>
      <c r="U525" t="s">
        <v>190</v>
      </c>
      <c r="V525">
        <v>15297</v>
      </c>
    </row>
    <row r="526" spans="1:22">
      <c r="A526">
        <v>5352</v>
      </c>
      <c r="B526" t="s">
        <v>2625</v>
      </c>
      <c r="C526">
        <v>5697</v>
      </c>
      <c r="D526" t="s">
        <v>2344</v>
      </c>
      <c r="E526" t="s">
        <v>2036</v>
      </c>
      <c r="F526">
        <v>202107</v>
      </c>
      <c r="G526" t="s">
        <v>2166</v>
      </c>
      <c r="H526">
        <v>12.33</v>
      </c>
      <c r="O526">
        <v>5352</v>
      </c>
      <c r="P526" t="s">
        <v>2625</v>
      </c>
      <c r="Q526">
        <v>5697</v>
      </c>
      <c r="R526" t="s">
        <v>2344</v>
      </c>
      <c r="S526" t="s">
        <v>2036</v>
      </c>
      <c r="T526">
        <v>202201</v>
      </c>
      <c r="U526" t="s">
        <v>191</v>
      </c>
      <c r="V526">
        <v>2244</v>
      </c>
    </row>
    <row r="527" spans="1:22">
      <c r="A527">
        <v>5352</v>
      </c>
      <c r="B527" t="s">
        <v>2625</v>
      </c>
      <c r="C527">
        <v>5697</v>
      </c>
      <c r="D527" t="s">
        <v>2344</v>
      </c>
      <c r="E527" t="s">
        <v>2036</v>
      </c>
      <c r="F527">
        <v>202107</v>
      </c>
      <c r="G527" t="s">
        <v>2167</v>
      </c>
      <c r="H527">
        <v>23.94</v>
      </c>
      <c r="O527">
        <v>5352</v>
      </c>
      <c r="P527" t="s">
        <v>2625</v>
      </c>
      <c r="Q527">
        <v>5697</v>
      </c>
      <c r="R527" t="s">
        <v>2344</v>
      </c>
      <c r="S527" t="s">
        <v>2036</v>
      </c>
      <c r="T527">
        <v>202201</v>
      </c>
      <c r="U527" t="s">
        <v>178</v>
      </c>
      <c r="V527">
        <v>80</v>
      </c>
    </row>
    <row r="528" spans="1:22">
      <c r="A528">
        <v>5352</v>
      </c>
      <c r="B528" t="s">
        <v>2625</v>
      </c>
      <c r="C528">
        <v>5697</v>
      </c>
      <c r="D528" t="s">
        <v>2344</v>
      </c>
      <c r="E528" t="s">
        <v>2036</v>
      </c>
      <c r="F528">
        <v>202107</v>
      </c>
      <c r="G528" t="s">
        <v>2168</v>
      </c>
      <c r="H528">
        <v>10.17</v>
      </c>
      <c r="O528">
        <v>5352</v>
      </c>
      <c r="P528" t="s">
        <v>2625</v>
      </c>
      <c r="Q528">
        <v>5697</v>
      </c>
      <c r="R528" t="s">
        <v>2344</v>
      </c>
      <c r="S528" t="s">
        <v>2036</v>
      </c>
      <c r="T528">
        <v>202201</v>
      </c>
      <c r="U528" t="s">
        <v>180</v>
      </c>
      <c r="V528">
        <v>70</v>
      </c>
    </row>
    <row r="529" spans="1:22">
      <c r="A529">
        <v>5352</v>
      </c>
      <c r="B529" t="s">
        <v>2625</v>
      </c>
      <c r="C529">
        <v>5697</v>
      </c>
      <c r="D529" t="s">
        <v>2344</v>
      </c>
      <c r="E529" t="s">
        <v>2036</v>
      </c>
      <c r="F529">
        <v>202107</v>
      </c>
      <c r="G529" t="s">
        <v>2171</v>
      </c>
      <c r="H529">
        <v>42123.87</v>
      </c>
      <c r="O529">
        <v>5352</v>
      </c>
      <c r="P529" t="s">
        <v>2625</v>
      </c>
      <c r="Q529">
        <v>5697</v>
      </c>
      <c r="R529" t="s">
        <v>2344</v>
      </c>
      <c r="S529" t="s">
        <v>2036</v>
      </c>
      <c r="T529">
        <v>202201</v>
      </c>
      <c r="U529" t="s">
        <v>182</v>
      </c>
      <c r="V529">
        <v>15297</v>
      </c>
    </row>
    <row r="530" spans="1:22">
      <c r="A530">
        <v>5352</v>
      </c>
      <c r="B530" t="s">
        <v>2625</v>
      </c>
      <c r="C530">
        <v>5697</v>
      </c>
      <c r="D530" t="s">
        <v>2344</v>
      </c>
      <c r="E530" t="s">
        <v>2036</v>
      </c>
      <c r="F530">
        <v>202107</v>
      </c>
      <c r="G530" t="s">
        <v>190</v>
      </c>
      <c r="H530">
        <v>121974</v>
      </c>
      <c r="O530">
        <v>5352</v>
      </c>
      <c r="P530" t="s">
        <v>2625</v>
      </c>
      <c r="Q530">
        <v>5697</v>
      </c>
      <c r="R530" t="s">
        <v>2344</v>
      </c>
      <c r="S530" t="s">
        <v>2036</v>
      </c>
      <c r="T530">
        <v>202201</v>
      </c>
      <c r="U530" t="s">
        <v>184</v>
      </c>
      <c r="V530">
        <v>2244</v>
      </c>
    </row>
    <row r="531" spans="1:22">
      <c r="A531">
        <v>5352</v>
      </c>
      <c r="B531" t="s">
        <v>2625</v>
      </c>
      <c r="C531">
        <v>5697</v>
      </c>
      <c r="D531" t="s">
        <v>2344</v>
      </c>
      <c r="E531" t="s">
        <v>2036</v>
      </c>
      <c r="F531">
        <v>202107</v>
      </c>
      <c r="G531" t="s">
        <v>191</v>
      </c>
      <c r="H531">
        <v>17034</v>
      </c>
      <c r="O531">
        <v>5352</v>
      </c>
      <c r="P531" t="s">
        <v>2625</v>
      </c>
      <c r="Q531">
        <v>5697</v>
      </c>
      <c r="R531" t="s">
        <v>2344</v>
      </c>
      <c r="S531" t="s">
        <v>2036</v>
      </c>
      <c r="T531">
        <v>202201</v>
      </c>
      <c r="U531" t="s">
        <v>186</v>
      </c>
      <c r="V531">
        <v>0</v>
      </c>
    </row>
    <row r="532" spans="1:22">
      <c r="A532">
        <v>5352</v>
      </c>
      <c r="B532" t="s">
        <v>2625</v>
      </c>
      <c r="C532">
        <v>5697</v>
      </c>
      <c r="D532" t="s">
        <v>2344</v>
      </c>
      <c r="E532" t="s">
        <v>2036</v>
      </c>
      <c r="F532">
        <v>202107</v>
      </c>
      <c r="G532" t="s">
        <v>176</v>
      </c>
      <c r="H532">
        <v>0</v>
      </c>
      <c r="O532">
        <v>5352</v>
      </c>
      <c r="P532" t="s">
        <v>2625</v>
      </c>
      <c r="Q532">
        <v>5697</v>
      </c>
      <c r="R532" t="s">
        <v>2344</v>
      </c>
      <c r="S532" t="s">
        <v>2036</v>
      </c>
      <c r="T532">
        <v>202201</v>
      </c>
      <c r="U532" t="s">
        <v>190</v>
      </c>
      <c r="V532">
        <v>185958</v>
      </c>
    </row>
    <row r="533" spans="1:22">
      <c r="A533">
        <v>5352</v>
      </c>
      <c r="B533" t="s">
        <v>2625</v>
      </c>
      <c r="C533">
        <v>5697</v>
      </c>
      <c r="D533" t="s">
        <v>2344</v>
      </c>
      <c r="E533" t="s">
        <v>2036</v>
      </c>
      <c r="F533">
        <v>202107</v>
      </c>
      <c r="G533" t="s">
        <v>178</v>
      </c>
      <c r="H533">
        <v>450</v>
      </c>
      <c r="O533">
        <v>5352</v>
      </c>
      <c r="P533" t="s">
        <v>2625</v>
      </c>
      <c r="Q533">
        <v>5697</v>
      </c>
      <c r="R533" t="s">
        <v>2344</v>
      </c>
      <c r="S533" t="s">
        <v>2036</v>
      </c>
      <c r="T533">
        <v>202201</v>
      </c>
      <c r="U533" t="s">
        <v>191</v>
      </c>
      <c r="V533">
        <v>28209</v>
      </c>
    </row>
    <row r="534" spans="1:22">
      <c r="A534">
        <v>5352</v>
      </c>
      <c r="B534" t="s">
        <v>2625</v>
      </c>
      <c r="C534">
        <v>5697</v>
      </c>
      <c r="D534" t="s">
        <v>2344</v>
      </c>
      <c r="E534" t="s">
        <v>2036</v>
      </c>
      <c r="F534">
        <v>202107</v>
      </c>
      <c r="G534" t="s">
        <v>180</v>
      </c>
      <c r="H534">
        <v>450</v>
      </c>
      <c r="O534">
        <v>5352</v>
      </c>
      <c r="P534" t="s">
        <v>2625</v>
      </c>
      <c r="Q534">
        <v>5697</v>
      </c>
      <c r="R534" t="s">
        <v>2344</v>
      </c>
      <c r="S534" t="s">
        <v>2036</v>
      </c>
      <c r="T534">
        <v>202201</v>
      </c>
      <c r="U534" t="s">
        <v>178</v>
      </c>
      <c r="V534">
        <v>728</v>
      </c>
    </row>
    <row r="535" spans="1:22">
      <c r="A535">
        <v>5352</v>
      </c>
      <c r="B535" t="s">
        <v>2625</v>
      </c>
      <c r="C535">
        <v>5697</v>
      </c>
      <c r="D535" t="s">
        <v>2344</v>
      </c>
      <c r="E535" t="s">
        <v>2036</v>
      </c>
      <c r="F535">
        <v>202107</v>
      </c>
      <c r="G535" t="s">
        <v>182</v>
      </c>
      <c r="H535">
        <v>121974</v>
      </c>
      <c r="O535">
        <v>5352</v>
      </c>
      <c r="P535" t="s">
        <v>2625</v>
      </c>
      <c r="Q535">
        <v>5697</v>
      </c>
      <c r="R535" t="s">
        <v>2344</v>
      </c>
      <c r="S535" t="s">
        <v>2036</v>
      </c>
      <c r="T535">
        <v>202201</v>
      </c>
      <c r="U535" t="s">
        <v>180</v>
      </c>
      <c r="V535">
        <v>811</v>
      </c>
    </row>
    <row r="536" spans="1:22">
      <c r="A536">
        <v>5352</v>
      </c>
      <c r="B536" t="s">
        <v>2625</v>
      </c>
      <c r="C536">
        <v>5697</v>
      </c>
      <c r="D536" t="s">
        <v>2344</v>
      </c>
      <c r="E536" t="s">
        <v>2036</v>
      </c>
      <c r="F536">
        <v>202107</v>
      </c>
      <c r="G536" t="s">
        <v>184</v>
      </c>
      <c r="H536">
        <v>17034</v>
      </c>
      <c r="O536">
        <v>5352</v>
      </c>
      <c r="P536" t="s">
        <v>2625</v>
      </c>
      <c r="Q536">
        <v>5697</v>
      </c>
      <c r="R536" t="s">
        <v>2344</v>
      </c>
      <c r="S536" t="s">
        <v>2036</v>
      </c>
      <c r="T536">
        <v>202201</v>
      </c>
      <c r="U536" t="s">
        <v>182</v>
      </c>
      <c r="V536">
        <v>185958</v>
      </c>
    </row>
    <row r="537" spans="1:22">
      <c r="A537">
        <v>5352</v>
      </c>
      <c r="B537" t="s">
        <v>2625</v>
      </c>
      <c r="C537">
        <v>5697</v>
      </c>
      <c r="D537" t="s">
        <v>2344</v>
      </c>
      <c r="E537" t="s">
        <v>2036</v>
      </c>
      <c r="F537">
        <v>202107</v>
      </c>
      <c r="G537" t="s">
        <v>192</v>
      </c>
      <c r="H537">
        <v>0</v>
      </c>
      <c r="O537">
        <v>5352</v>
      </c>
      <c r="P537" t="s">
        <v>2625</v>
      </c>
      <c r="Q537">
        <v>5697</v>
      </c>
      <c r="R537" t="s">
        <v>2344</v>
      </c>
      <c r="S537" t="s">
        <v>2036</v>
      </c>
      <c r="T537">
        <v>202201</v>
      </c>
      <c r="U537" t="s">
        <v>184</v>
      </c>
      <c r="V537">
        <v>28209</v>
      </c>
    </row>
    <row r="538" spans="1:22">
      <c r="A538">
        <v>5352</v>
      </c>
      <c r="B538" t="s">
        <v>2625</v>
      </c>
      <c r="C538">
        <v>5697</v>
      </c>
      <c r="D538" t="s">
        <v>2344</v>
      </c>
      <c r="E538" t="s">
        <v>2036</v>
      </c>
      <c r="F538">
        <v>202107</v>
      </c>
      <c r="G538" t="s">
        <v>2170</v>
      </c>
      <c r="H538">
        <v>1058.83</v>
      </c>
      <c r="O538">
        <v>5352</v>
      </c>
      <c r="P538" t="s">
        <v>2625</v>
      </c>
      <c r="Q538">
        <v>5697</v>
      </c>
      <c r="R538" t="s">
        <v>2344</v>
      </c>
      <c r="S538" t="s">
        <v>2036</v>
      </c>
      <c r="T538">
        <v>202201</v>
      </c>
      <c r="U538" t="s">
        <v>186</v>
      </c>
      <c r="V538">
        <v>0</v>
      </c>
    </row>
    <row r="539" spans="1:22">
      <c r="A539">
        <v>5352</v>
      </c>
      <c r="B539" t="s">
        <v>2625</v>
      </c>
      <c r="C539">
        <v>5697</v>
      </c>
      <c r="D539" t="s">
        <v>2344</v>
      </c>
      <c r="E539" t="s">
        <v>2036</v>
      </c>
      <c r="F539">
        <v>202107</v>
      </c>
      <c r="G539" t="s">
        <v>186</v>
      </c>
      <c r="H539">
        <v>0</v>
      </c>
      <c r="O539">
        <v>5352</v>
      </c>
      <c r="P539" t="s">
        <v>2625</v>
      </c>
      <c r="Q539">
        <v>5697</v>
      </c>
      <c r="R539" t="s">
        <v>2344</v>
      </c>
      <c r="S539" t="s">
        <v>2036</v>
      </c>
      <c r="T539">
        <v>202201</v>
      </c>
      <c r="U539" t="s">
        <v>190</v>
      </c>
      <c r="V539">
        <v>352704</v>
      </c>
    </row>
    <row r="540" spans="1:22">
      <c r="A540">
        <v>5352</v>
      </c>
      <c r="B540" t="s">
        <v>2625</v>
      </c>
      <c r="C540">
        <v>5697</v>
      </c>
      <c r="D540" t="s">
        <v>2344</v>
      </c>
      <c r="E540" t="s">
        <v>2036</v>
      </c>
      <c r="F540">
        <v>202107</v>
      </c>
      <c r="G540" t="s">
        <v>2169</v>
      </c>
      <c r="H540">
        <v>99.17</v>
      </c>
      <c r="O540">
        <v>5352</v>
      </c>
      <c r="P540" t="s">
        <v>2625</v>
      </c>
      <c r="Q540">
        <v>5697</v>
      </c>
      <c r="R540" t="s">
        <v>2344</v>
      </c>
      <c r="S540" t="s">
        <v>2036</v>
      </c>
      <c r="T540">
        <v>202201</v>
      </c>
      <c r="U540" t="s">
        <v>191</v>
      </c>
      <c r="V540">
        <v>46424</v>
      </c>
    </row>
    <row r="541" spans="1:22">
      <c r="A541">
        <v>5352</v>
      </c>
      <c r="B541" t="s">
        <v>2625</v>
      </c>
      <c r="C541">
        <v>5697</v>
      </c>
      <c r="D541" t="s">
        <v>2344</v>
      </c>
      <c r="E541" t="s">
        <v>2036</v>
      </c>
      <c r="F541">
        <v>202107</v>
      </c>
      <c r="G541" t="s">
        <v>2166</v>
      </c>
      <c r="H541">
        <v>12.33</v>
      </c>
      <c r="O541">
        <v>5352</v>
      </c>
      <c r="P541" t="s">
        <v>2625</v>
      </c>
      <c r="Q541">
        <v>5697</v>
      </c>
      <c r="R541" t="s">
        <v>2344</v>
      </c>
      <c r="S541" t="s">
        <v>2036</v>
      </c>
      <c r="T541">
        <v>202201</v>
      </c>
      <c r="U541" t="s">
        <v>178</v>
      </c>
      <c r="V541">
        <v>754</v>
      </c>
    </row>
    <row r="542" spans="1:22">
      <c r="A542">
        <v>5352</v>
      </c>
      <c r="B542" t="s">
        <v>2625</v>
      </c>
      <c r="C542">
        <v>5697</v>
      </c>
      <c r="D542" t="s">
        <v>2344</v>
      </c>
      <c r="E542" t="s">
        <v>2036</v>
      </c>
      <c r="F542">
        <v>202107</v>
      </c>
      <c r="G542" t="s">
        <v>2167</v>
      </c>
      <c r="H542">
        <v>23.94</v>
      </c>
      <c r="O542">
        <v>5352</v>
      </c>
      <c r="P542" t="s">
        <v>2625</v>
      </c>
      <c r="Q542">
        <v>5697</v>
      </c>
      <c r="R542" t="s">
        <v>2344</v>
      </c>
      <c r="S542" t="s">
        <v>2036</v>
      </c>
      <c r="T542">
        <v>202201</v>
      </c>
      <c r="U542" t="s">
        <v>180</v>
      </c>
      <c r="V542">
        <v>774</v>
      </c>
    </row>
    <row r="543" spans="1:22">
      <c r="A543">
        <v>5352</v>
      </c>
      <c r="B543" t="s">
        <v>2625</v>
      </c>
      <c r="C543">
        <v>5697</v>
      </c>
      <c r="D543" t="s">
        <v>2344</v>
      </c>
      <c r="E543" t="s">
        <v>2036</v>
      </c>
      <c r="F543">
        <v>202107</v>
      </c>
      <c r="G543" t="s">
        <v>2168</v>
      </c>
      <c r="H543">
        <v>10.17</v>
      </c>
      <c r="O543">
        <v>5352</v>
      </c>
      <c r="P543" t="s">
        <v>2625</v>
      </c>
      <c r="Q543">
        <v>5697</v>
      </c>
      <c r="R543" t="s">
        <v>2344</v>
      </c>
      <c r="S543" t="s">
        <v>2036</v>
      </c>
      <c r="T543">
        <v>202201</v>
      </c>
      <c r="U543" t="s">
        <v>182</v>
      </c>
      <c r="V543">
        <v>352704</v>
      </c>
    </row>
    <row r="544" spans="1:22">
      <c r="A544">
        <v>5352</v>
      </c>
      <c r="B544" t="s">
        <v>2625</v>
      </c>
      <c r="C544">
        <v>5697</v>
      </c>
      <c r="D544" t="s">
        <v>2344</v>
      </c>
      <c r="E544" t="s">
        <v>2036</v>
      </c>
      <c r="F544">
        <v>202107</v>
      </c>
      <c r="G544" t="s">
        <v>2171</v>
      </c>
      <c r="H544">
        <v>32579.45</v>
      </c>
      <c r="O544">
        <v>5352</v>
      </c>
      <c r="P544" t="s">
        <v>2625</v>
      </c>
      <c r="Q544">
        <v>5697</v>
      </c>
      <c r="R544" t="s">
        <v>2344</v>
      </c>
      <c r="S544" t="s">
        <v>2036</v>
      </c>
      <c r="T544">
        <v>202201</v>
      </c>
      <c r="U544" t="s">
        <v>184</v>
      </c>
      <c r="V544">
        <v>46424</v>
      </c>
    </row>
    <row r="545" spans="1:22">
      <c r="A545">
        <v>5352</v>
      </c>
      <c r="B545" t="s">
        <v>2625</v>
      </c>
      <c r="C545">
        <v>5697</v>
      </c>
      <c r="D545" t="s">
        <v>2344</v>
      </c>
      <c r="E545" t="s">
        <v>2036</v>
      </c>
      <c r="F545">
        <v>202107</v>
      </c>
      <c r="G545" t="s">
        <v>190</v>
      </c>
      <c r="H545">
        <v>274587</v>
      </c>
      <c r="O545">
        <v>5352</v>
      </c>
      <c r="P545" t="s">
        <v>2625</v>
      </c>
      <c r="Q545">
        <v>5697</v>
      </c>
      <c r="R545" t="s">
        <v>2344</v>
      </c>
      <c r="S545" t="s">
        <v>2036</v>
      </c>
      <c r="T545">
        <v>202201</v>
      </c>
      <c r="U545" t="s">
        <v>186</v>
      </c>
      <c r="V545">
        <v>0</v>
      </c>
    </row>
    <row r="546" spans="1:22">
      <c r="A546">
        <v>5352</v>
      </c>
      <c r="B546" t="s">
        <v>2625</v>
      </c>
      <c r="C546">
        <v>5697</v>
      </c>
      <c r="D546" t="s">
        <v>2344</v>
      </c>
      <c r="E546" t="s">
        <v>2036</v>
      </c>
      <c r="F546">
        <v>202107</v>
      </c>
      <c r="G546" t="s">
        <v>191</v>
      </c>
      <c r="H546">
        <v>36482</v>
      </c>
      <c r="O546">
        <v>5352</v>
      </c>
      <c r="P546" t="s">
        <v>2625</v>
      </c>
      <c r="Q546">
        <v>5697</v>
      </c>
      <c r="R546" t="s">
        <v>2344</v>
      </c>
      <c r="S546" t="s">
        <v>2036</v>
      </c>
      <c r="T546">
        <v>202201</v>
      </c>
      <c r="U546" t="s">
        <v>190</v>
      </c>
      <c r="V546">
        <v>113058</v>
      </c>
    </row>
    <row r="547" spans="1:22">
      <c r="A547">
        <v>5352</v>
      </c>
      <c r="B547" t="s">
        <v>2625</v>
      </c>
      <c r="C547">
        <v>5697</v>
      </c>
      <c r="D547" t="s">
        <v>2344</v>
      </c>
      <c r="E547" t="s">
        <v>2036</v>
      </c>
      <c r="F547">
        <v>202107</v>
      </c>
      <c r="G547" t="s">
        <v>176</v>
      </c>
      <c r="H547">
        <v>-949.6</v>
      </c>
      <c r="O547">
        <v>5352</v>
      </c>
      <c r="P547" t="s">
        <v>2625</v>
      </c>
      <c r="Q547">
        <v>5697</v>
      </c>
      <c r="R547" t="s">
        <v>2344</v>
      </c>
      <c r="S547" t="s">
        <v>2036</v>
      </c>
      <c r="T547">
        <v>202201</v>
      </c>
      <c r="U547" t="s">
        <v>191</v>
      </c>
      <c r="V547">
        <v>16744</v>
      </c>
    </row>
    <row r="548" spans="1:22">
      <c r="A548">
        <v>5352</v>
      </c>
      <c r="B548" t="s">
        <v>2625</v>
      </c>
      <c r="C548">
        <v>5697</v>
      </c>
      <c r="D548" t="s">
        <v>2344</v>
      </c>
      <c r="E548" t="s">
        <v>2036</v>
      </c>
      <c r="F548">
        <v>202107</v>
      </c>
      <c r="G548" t="s">
        <v>178</v>
      </c>
      <c r="H548">
        <v>820</v>
      </c>
      <c r="O548">
        <v>5352</v>
      </c>
      <c r="P548" t="s">
        <v>2625</v>
      </c>
      <c r="Q548">
        <v>5697</v>
      </c>
      <c r="R548" t="s">
        <v>2344</v>
      </c>
      <c r="S548" t="s">
        <v>2036</v>
      </c>
      <c r="T548">
        <v>202201</v>
      </c>
      <c r="U548" t="s">
        <v>178</v>
      </c>
      <c r="V548">
        <v>320</v>
      </c>
    </row>
    <row r="549" spans="1:22">
      <c r="A549">
        <v>5352</v>
      </c>
      <c r="B549" t="s">
        <v>2625</v>
      </c>
      <c r="C549">
        <v>5697</v>
      </c>
      <c r="D549" t="s">
        <v>2344</v>
      </c>
      <c r="E549" t="s">
        <v>2036</v>
      </c>
      <c r="F549">
        <v>202107</v>
      </c>
      <c r="G549" t="s">
        <v>180</v>
      </c>
      <c r="H549">
        <v>820</v>
      </c>
      <c r="O549">
        <v>5352</v>
      </c>
      <c r="P549" t="s">
        <v>2625</v>
      </c>
      <c r="Q549">
        <v>5697</v>
      </c>
      <c r="R549" t="s">
        <v>2344</v>
      </c>
      <c r="S549" t="s">
        <v>2036</v>
      </c>
      <c r="T549">
        <v>202201</v>
      </c>
      <c r="U549" t="s">
        <v>180</v>
      </c>
      <c r="V549">
        <v>340</v>
      </c>
    </row>
    <row r="550" spans="1:22">
      <c r="A550">
        <v>5352</v>
      </c>
      <c r="B550" t="s">
        <v>2625</v>
      </c>
      <c r="C550">
        <v>5697</v>
      </c>
      <c r="D550" t="s">
        <v>2344</v>
      </c>
      <c r="E550" t="s">
        <v>2036</v>
      </c>
      <c r="F550">
        <v>202107</v>
      </c>
      <c r="G550" t="s">
        <v>182</v>
      </c>
      <c r="H550">
        <v>274587</v>
      </c>
      <c r="O550">
        <v>5352</v>
      </c>
      <c r="P550" t="s">
        <v>2625</v>
      </c>
      <c r="Q550">
        <v>5697</v>
      </c>
      <c r="R550" t="s">
        <v>2344</v>
      </c>
      <c r="S550" t="s">
        <v>2036</v>
      </c>
      <c r="T550">
        <v>202201</v>
      </c>
      <c r="U550" t="s">
        <v>182</v>
      </c>
      <c r="V550">
        <v>113058</v>
      </c>
    </row>
    <row r="551" spans="1:22">
      <c r="A551">
        <v>5352</v>
      </c>
      <c r="B551" t="s">
        <v>2625</v>
      </c>
      <c r="C551">
        <v>5697</v>
      </c>
      <c r="D551" t="s">
        <v>2344</v>
      </c>
      <c r="E551" t="s">
        <v>2036</v>
      </c>
      <c r="F551">
        <v>202107</v>
      </c>
      <c r="G551" t="s">
        <v>184</v>
      </c>
      <c r="H551">
        <v>36482</v>
      </c>
      <c r="O551">
        <v>5352</v>
      </c>
      <c r="P551" t="s">
        <v>2625</v>
      </c>
      <c r="Q551">
        <v>5697</v>
      </c>
      <c r="R551" t="s">
        <v>2344</v>
      </c>
      <c r="S551" t="s">
        <v>2036</v>
      </c>
      <c r="T551">
        <v>202201</v>
      </c>
      <c r="U551" t="s">
        <v>184</v>
      </c>
      <c r="V551">
        <v>16744</v>
      </c>
    </row>
    <row r="552" spans="1:22">
      <c r="A552">
        <v>5352</v>
      </c>
      <c r="B552" t="s">
        <v>2625</v>
      </c>
      <c r="C552">
        <v>5697</v>
      </c>
      <c r="D552" t="s">
        <v>2344</v>
      </c>
      <c r="E552" t="s">
        <v>2036</v>
      </c>
      <c r="F552">
        <v>202107</v>
      </c>
      <c r="G552" t="s">
        <v>192</v>
      </c>
      <c r="H552">
        <v>0</v>
      </c>
      <c r="O552">
        <v>5352</v>
      </c>
      <c r="P552" t="s">
        <v>2625</v>
      </c>
      <c r="Q552">
        <v>5697</v>
      </c>
      <c r="R552" t="s">
        <v>2344</v>
      </c>
      <c r="S552" t="s">
        <v>2036</v>
      </c>
      <c r="T552">
        <v>202201</v>
      </c>
      <c r="U552" t="s">
        <v>186</v>
      </c>
      <c r="V552">
        <v>0</v>
      </c>
    </row>
    <row r="553" spans="1:22">
      <c r="A553">
        <v>5352</v>
      </c>
      <c r="B553" t="s">
        <v>2625</v>
      </c>
      <c r="C553">
        <v>5697</v>
      </c>
      <c r="D553" t="s">
        <v>2344</v>
      </c>
      <c r="E553" t="s">
        <v>2036</v>
      </c>
      <c r="F553">
        <v>202107</v>
      </c>
      <c r="G553" t="s">
        <v>2170</v>
      </c>
      <c r="H553">
        <v>2141.59</v>
      </c>
      <c r="O553">
        <v>5352</v>
      </c>
      <c r="P553" t="s">
        <v>2625</v>
      </c>
      <c r="Q553">
        <v>5697</v>
      </c>
      <c r="R553" t="s">
        <v>2344</v>
      </c>
      <c r="S553" t="s">
        <v>2036</v>
      </c>
      <c r="T553">
        <v>202201</v>
      </c>
      <c r="U553" t="s">
        <v>190</v>
      </c>
      <c r="V553">
        <v>135368</v>
      </c>
    </row>
    <row r="554" spans="1:22">
      <c r="A554">
        <v>5352</v>
      </c>
      <c r="B554" t="s">
        <v>2625</v>
      </c>
      <c r="C554">
        <v>5697</v>
      </c>
      <c r="D554" t="s">
        <v>2344</v>
      </c>
      <c r="E554" t="s">
        <v>2036</v>
      </c>
      <c r="F554">
        <v>202107</v>
      </c>
      <c r="G554" t="s">
        <v>186</v>
      </c>
      <c r="H554">
        <v>0</v>
      </c>
      <c r="O554">
        <v>5352</v>
      </c>
      <c r="P554" t="s">
        <v>2625</v>
      </c>
      <c r="Q554">
        <v>5697</v>
      </c>
      <c r="R554" t="s">
        <v>2344</v>
      </c>
      <c r="S554" t="s">
        <v>2036</v>
      </c>
      <c r="T554">
        <v>202201</v>
      </c>
      <c r="U554" t="s">
        <v>191</v>
      </c>
      <c r="V554">
        <v>20853</v>
      </c>
    </row>
    <row r="555" spans="1:22">
      <c r="A555">
        <v>5352</v>
      </c>
      <c r="B555" t="s">
        <v>2625</v>
      </c>
      <c r="C555">
        <v>5697</v>
      </c>
      <c r="D555" t="s">
        <v>2344</v>
      </c>
      <c r="E555" t="s">
        <v>2036</v>
      </c>
      <c r="F555">
        <v>202107</v>
      </c>
      <c r="G555" t="s">
        <v>2169</v>
      </c>
      <c r="H555">
        <v>99.17</v>
      </c>
      <c r="O555">
        <v>5352</v>
      </c>
      <c r="P555" t="s">
        <v>2625</v>
      </c>
      <c r="Q555">
        <v>5697</v>
      </c>
      <c r="R555" t="s">
        <v>2344</v>
      </c>
      <c r="S555" t="s">
        <v>2036</v>
      </c>
      <c r="T555">
        <v>202201</v>
      </c>
      <c r="U555" t="s">
        <v>178</v>
      </c>
      <c r="V555">
        <v>600</v>
      </c>
    </row>
    <row r="556" spans="1:22">
      <c r="A556">
        <v>5352</v>
      </c>
      <c r="B556" t="s">
        <v>2625</v>
      </c>
      <c r="C556">
        <v>5697</v>
      </c>
      <c r="D556" t="s">
        <v>2344</v>
      </c>
      <c r="E556" t="s">
        <v>2036</v>
      </c>
      <c r="F556">
        <v>202107</v>
      </c>
      <c r="G556" t="s">
        <v>2166</v>
      </c>
      <c r="H556">
        <v>12.33</v>
      </c>
      <c r="O556">
        <v>5352</v>
      </c>
      <c r="P556" t="s">
        <v>2625</v>
      </c>
      <c r="Q556">
        <v>5697</v>
      </c>
      <c r="R556" t="s">
        <v>2344</v>
      </c>
      <c r="S556" t="s">
        <v>2036</v>
      </c>
      <c r="T556">
        <v>202201</v>
      </c>
      <c r="U556" t="s">
        <v>180</v>
      </c>
      <c r="V556">
        <v>600</v>
      </c>
    </row>
    <row r="557" spans="1:22">
      <c r="A557">
        <v>5352</v>
      </c>
      <c r="B557" t="s">
        <v>2625</v>
      </c>
      <c r="C557">
        <v>5697</v>
      </c>
      <c r="D557" t="s">
        <v>2344</v>
      </c>
      <c r="E557" t="s">
        <v>2036</v>
      </c>
      <c r="F557">
        <v>202107</v>
      </c>
      <c r="G557" t="s">
        <v>2167</v>
      </c>
      <c r="H557">
        <v>23.94</v>
      </c>
      <c r="O557">
        <v>5352</v>
      </c>
      <c r="P557" t="s">
        <v>2625</v>
      </c>
      <c r="Q557">
        <v>5697</v>
      </c>
      <c r="R557" t="s">
        <v>2344</v>
      </c>
      <c r="S557" t="s">
        <v>2036</v>
      </c>
      <c r="T557">
        <v>202201</v>
      </c>
      <c r="U557" t="s">
        <v>182</v>
      </c>
      <c r="V557">
        <v>135368</v>
      </c>
    </row>
    <row r="558" spans="1:22">
      <c r="A558">
        <v>5352</v>
      </c>
      <c r="B558" t="s">
        <v>2625</v>
      </c>
      <c r="C558">
        <v>5697</v>
      </c>
      <c r="D558" t="s">
        <v>2344</v>
      </c>
      <c r="E558" t="s">
        <v>2036</v>
      </c>
      <c r="F558">
        <v>202107</v>
      </c>
      <c r="G558" t="s">
        <v>2168</v>
      </c>
      <c r="H558">
        <v>10.17</v>
      </c>
      <c r="O558">
        <v>5352</v>
      </c>
      <c r="P558" t="s">
        <v>2625</v>
      </c>
      <c r="Q558">
        <v>5697</v>
      </c>
      <c r="R558" t="s">
        <v>2344</v>
      </c>
      <c r="S558" t="s">
        <v>2036</v>
      </c>
      <c r="T558">
        <v>202201</v>
      </c>
      <c r="U558" t="s">
        <v>184</v>
      </c>
      <c r="V558">
        <v>20853</v>
      </c>
    </row>
    <row r="559" spans="1:22">
      <c r="A559">
        <v>5352</v>
      </c>
      <c r="B559" t="s">
        <v>2625</v>
      </c>
      <c r="C559">
        <v>5697</v>
      </c>
      <c r="D559" t="s">
        <v>2344</v>
      </c>
      <c r="E559" t="s">
        <v>2036</v>
      </c>
      <c r="F559">
        <v>202107</v>
      </c>
      <c r="G559" t="s">
        <v>2171</v>
      </c>
      <c r="H559">
        <v>64945.65</v>
      </c>
      <c r="O559">
        <v>5352</v>
      </c>
      <c r="P559" t="s">
        <v>2625</v>
      </c>
      <c r="Q559">
        <v>5697</v>
      </c>
      <c r="R559" t="s">
        <v>2344</v>
      </c>
      <c r="S559" t="s">
        <v>2036</v>
      </c>
      <c r="T559">
        <v>202201</v>
      </c>
      <c r="U559" t="s">
        <v>186</v>
      </c>
      <c r="V559">
        <v>0</v>
      </c>
    </row>
    <row r="560" spans="1:22">
      <c r="A560">
        <v>5352</v>
      </c>
      <c r="B560" t="s">
        <v>2625</v>
      </c>
      <c r="C560">
        <v>5697</v>
      </c>
      <c r="D560" t="s">
        <v>2344</v>
      </c>
      <c r="E560" t="s">
        <v>2036</v>
      </c>
      <c r="F560">
        <v>202107</v>
      </c>
      <c r="G560" t="s">
        <v>190</v>
      </c>
      <c r="H560">
        <v>25944</v>
      </c>
      <c r="O560">
        <v>5352</v>
      </c>
      <c r="P560" t="s">
        <v>2625</v>
      </c>
      <c r="Q560">
        <v>5697</v>
      </c>
      <c r="R560" t="s">
        <v>2344</v>
      </c>
      <c r="S560" t="s">
        <v>2036</v>
      </c>
      <c r="T560">
        <v>202201</v>
      </c>
      <c r="U560" t="s">
        <v>190</v>
      </c>
      <c r="V560">
        <v>136961</v>
      </c>
    </row>
    <row r="561" spans="1:22">
      <c r="A561">
        <v>5352</v>
      </c>
      <c r="B561" t="s">
        <v>2625</v>
      </c>
      <c r="C561">
        <v>5697</v>
      </c>
      <c r="D561" t="s">
        <v>2344</v>
      </c>
      <c r="E561" t="s">
        <v>2036</v>
      </c>
      <c r="F561">
        <v>202107</v>
      </c>
      <c r="G561" t="s">
        <v>191</v>
      </c>
      <c r="H561">
        <v>4126</v>
      </c>
      <c r="O561">
        <v>5352</v>
      </c>
      <c r="P561" t="s">
        <v>2625</v>
      </c>
      <c r="Q561">
        <v>5697</v>
      </c>
      <c r="R561" t="s">
        <v>2344</v>
      </c>
      <c r="S561" t="s">
        <v>2036</v>
      </c>
      <c r="T561">
        <v>202201</v>
      </c>
      <c r="U561" t="s">
        <v>191</v>
      </c>
      <c r="V561">
        <v>19336</v>
      </c>
    </row>
    <row r="562" spans="1:22">
      <c r="A562">
        <v>5352</v>
      </c>
      <c r="B562" t="s">
        <v>2625</v>
      </c>
      <c r="C562">
        <v>5697</v>
      </c>
      <c r="D562" t="s">
        <v>2344</v>
      </c>
      <c r="E562" t="s">
        <v>2036</v>
      </c>
      <c r="F562">
        <v>202107</v>
      </c>
      <c r="G562" t="s">
        <v>176</v>
      </c>
      <c r="H562">
        <v>-73.73</v>
      </c>
      <c r="O562">
        <v>5352</v>
      </c>
      <c r="P562" t="s">
        <v>2625</v>
      </c>
      <c r="Q562">
        <v>5697</v>
      </c>
      <c r="R562" t="s">
        <v>2344</v>
      </c>
      <c r="S562" t="s">
        <v>2036</v>
      </c>
      <c r="T562">
        <v>202201</v>
      </c>
      <c r="U562" t="s">
        <v>178</v>
      </c>
      <c r="V562">
        <v>450</v>
      </c>
    </row>
    <row r="563" spans="1:22">
      <c r="A563">
        <v>5352</v>
      </c>
      <c r="B563" t="s">
        <v>2625</v>
      </c>
      <c r="C563">
        <v>5697</v>
      </c>
      <c r="D563" t="s">
        <v>2344</v>
      </c>
      <c r="E563" t="s">
        <v>2036</v>
      </c>
      <c r="F563">
        <v>202107</v>
      </c>
      <c r="G563" t="s">
        <v>178</v>
      </c>
      <c r="H563">
        <v>101</v>
      </c>
      <c r="O563">
        <v>5352</v>
      </c>
      <c r="P563" t="s">
        <v>2625</v>
      </c>
      <c r="Q563">
        <v>5697</v>
      </c>
      <c r="R563" t="s">
        <v>2344</v>
      </c>
      <c r="S563" t="s">
        <v>2036</v>
      </c>
      <c r="T563">
        <v>202201</v>
      </c>
      <c r="U563" t="s">
        <v>180</v>
      </c>
      <c r="V563">
        <v>450</v>
      </c>
    </row>
    <row r="564" spans="1:22">
      <c r="A564">
        <v>5352</v>
      </c>
      <c r="B564" t="s">
        <v>2625</v>
      </c>
      <c r="C564">
        <v>5697</v>
      </c>
      <c r="D564" t="s">
        <v>2344</v>
      </c>
      <c r="E564" t="s">
        <v>2036</v>
      </c>
      <c r="F564">
        <v>202107</v>
      </c>
      <c r="G564" t="s">
        <v>180</v>
      </c>
      <c r="H564">
        <v>103</v>
      </c>
      <c r="O564">
        <v>5352</v>
      </c>
      <c r="P564" t="s">
        <v>2625</v>
      </c>
      <c r="Q564">
        <v>5697</v>
      </c>
      <c r="R564" t="s">
        <v>2344</v>
      </c>
      <c r="S564" t="s">
        <v>2036</v>
      </c>
      <c r="T564">
        <v>202201</v>
      </c>
      <c r="U564" t="s">
        <v>182</v>
      </c>
      <c r="V564">
        <v>136961</v>
      </c>
    </row>
    <row r="565" spans="1:22">
      <c r="A565">
        <v>5352</v>
      </c>
      <c r="B565" t="s">
        <v>2625</v>
      </c>
      <c r="C565">
        <v>5697</v>
      </c>
      <c r="D565" t="s">
        <v>2344</v>
      </c>
      <c r="E565" t="s">
        <v>2036</v>
      </c>
      <c r="F565">
        <v>202107</v>
      </c>
      <c r="G565" t="s">
        <v>182</v>
      </c>
      <c r="H565">
        <v>25944</v>
      </c>
      <c r="O565">
        <v>5352</v>
      </c>
      <c r="P565" t="s">
        <v>2625</v>
      </c>
      <c r="Q565">
        <v>5697</v>
      </c>
      <c r="R565" t="s">
        <v>2344</v>
      </c>
      <c r="S565" t="s">
        <v>2036</v>
      </c>
      <c r="T565">
        <v>202201</v>
      </c>
      <c r="U565" t="s">
        <v>184</v>
      </c>
      <c r="V565">
        <v>19336</v>
      </c>
    </row>
    <row r="566" spans="1:22">
      <c r="A566">
        <v>5352</v>
      </c>
      <c r="B566" t="s">
        <v>2625</v>
      </c>
      <c r="C566">
        <v>5697</v>
      </c>
      <c r="D566" t="s">
        <v>2344</v>
      </c>
      <c r="E566" t="s">
        <v>2036</v>
      </c>
      <c r="F566">
        <v>202107</v>
      </c>
      <c r="G566" t="s">
        <v>184</v>
      </c>
      <c r="H566">
        <v>4126</v>
      </c>
      <c r="O566">
        <v>5352</v>
      </c>
      <c r="P566" t="s">
        <v>2625</v>
      </c>
      <c r="Q566">
        <v>5697</v>
      </c>
      <c r="R566" t="s">
        <v>2344</v>
      </c>
      <c r="S566" t="s">
        <v>2036</v>
      </c>
      <c r="T566">
        <v>202201</v>
      </c>
      <c r="U566" t="s">
        <v>186</v>
      </c>
      <c r="V566">
        <v>0</v>
      </c>
    </row>
    <row r="567" spans="1:22">
      <c r="A567">
        <v>5352</v>
      </c>
      <c r="B567" t="s">
        <v>2625</v>
      </c>
      <c r="C567">
        <v>5697</v>
      </c>
      <c r="D567" t="s">
        <v>2344</v>
      </c>
      <c r="E567" t="s">
        <v>2036</v>
      </c>
      <c r="F567">
        <v>202107</v>
      </c>
      <c r="G567" t="s">
        <v>192</v>
      </c>
      <c r="H567">
        <v>0</v>
      </c>
      <c r="O567">
        <v>5352</v>
      </c>
      <c r="P567" t="s">
        <v>2625</v>
      </c>
      <c r="Q567">
        <v>5697</v>
      </c>
      <c r="R567" t="s">
        <v>2344</v>
      </c>
      <c r="S567" t="s">
        <v>2036</v>
      </c>
      <c r="T567">
        <v>202201</v>
      </c>
      <c r="U567" t="s">
        <v>190</v>
      </c>
      <c r="V567">
        <v>290438</v>
      </c>
    </row>
    <row r="568" spans="1:22">
      <c r="A568">
        <v>5352</v>
      </c>
      <c r="B568" t="s">
        <v>2625</v>
      </c>
      <c r="C568">
        <v>5697</v>
      </c>
      <c r="D568" t="s">
        <v>2344</v>
      </c>
      <c r="E568" t="s">
        <v>2036</v>
      </c>
      <c r="F568">
        <v>202107</v>
      </c>
      <c r="G568" t="s">
        <v>2170</v>
      </c>
      <c r="H568">
        <v>303.95999999999998</v>
      </c>
      <c r="O568">
        <v>5352</v>
      </c>
      <c r="P568" t="s">
        <v>2625</v>
      </c>
      <c r="Q568">
        <v>5697</v>
      </c>
      <c r="R568" t="s">
        <v>2344</v>
      </c>
      <c r="S568" t="s">
        <v>2036</v>
      </c>
      <c r="T568">
        <v>202201</v>
      </c>
      <c r="U568" t="s">
        <v>191</v>
      </c>
      <c r="V568">
        <v>40763</v>
      </c>
    </row>
    <row r="569" spans="1:22">
      <c r="A569">
        <v>5352</v>
      </c>
      <c r="B569" t="s">
        <v>2625</v>
      </c>
      <c r="C569">
        <v>5697</v>
      </c>
      <c r="D569" t="s">
        <v>2344</v>
      </c>
      <c r="E569" t="s">
        <v>2036</v>
      </c>
      <c r="F569">
        <v>202107</v>
      </c>
      <c r="G569" t="s">
        <v>186</v>
      </c>
      <c r="H569">
        <v>0</v>
      </c>
      <c r="O569">
        <v>5352</v>
      </c>
      <c r="P569" t="s">
        <v>2625</v>
      </c>
      <c r="Q569">
        <v>5697</v>
      </c>
      <c r="R569" t="s">
        <v>2344</v>
      </c>
      <c r="S569" t="s">
        <v>2036</v>
      </c>
      <c r="T569">
        <v>202201</v>
      </c>
      <c r="U569" t="s">
        <v>178</v>
      </c>
      <c r="V569">
        <v>820</v>
      </c>
    </row>
    <row r="570" spans="1:22">
      <c r="A570">
        <v>5352</v>
      </c>
      <c r="B570" t="s">
        <v>2625</v>
      </c>
      <c r="C570">
        <v>5697</v>
      </c>
      <c r="D570" t="s">
        <v>2344</v>
      </c>
      <c r="E570" t="s">
        <v>2036</v>
      </c>
      <c r="F570">
        <v>202107</v>
      </c>
      <c r="G570" t="s">
        <v>2169</v>
      </c>
      <c r="H570">
        <v>99.17</v>
      </c>
      <c r="O570">
        <v>5352</v>
      </c>
      <c r="P570" t="s">
        <v>2625</v>
      </c>
      <c r="Q570">
        <v>5697</v>
      </c>
      <c r="R570" t="s">
        <v>2344</v>
      </c>
      <c r="S570" t="s">
        <v>2036</v>
      </c>
      <c r="T570">
        <v>202201</v>
      </c>
      <c r="U570" t="s">
        <v>180</v>
      </c>
      <c r="V570">
        <v>820</v>
      </c>
    </row>
    <row r="571" spans="1:22">
      <c r="A571">
        <v>5352</v>
      </c>
      <c r="B571" t="s">
        <v>2625</v>
      </c>
      <c r="C571">
        <v>5697</v>
      </c>
      <c r="D571" t="s">
        <v>2344</v>
      </c>
      <c r="E571" t="s">
        <v>2036</v>
      </c>
      <c r="F571">
        <v>202107</v>
      </c>
      <c r="G571" t="s">
        <v>2166</v>
      </c>
      <c r="H571">
        <v>12.33</v>
      </c>
      <c r="O571">
        <v>5352</v>
      </c>
      <c r="P571" t="s">
        <v>2625</v>
      </c>
      <c r="Q571">
        <v>5697</v>
      </c>
      <c r="R571" t="s">
        <v>2344</v>
      </c>
      <c r="S571" t="s">
        <v>2036</v>
      </c>
      <c r="T571">
        <v>202201</v>
      </c>
      <c r="U571" t="s">
        <v>182</v>
      </c>
      <c r="V571">
        <v>290438</v>
      </c>
    </row>
    <row r="572" spans="1:22">
      <c r="A572">
        <v>5352</v>
      </c>
      <c r="B572" t="s">
        <v>2625</v>
      </c>
      <c r="C572">
        <v>5697</v>
      </c>
      <c r="D572" t="s">
        <v>2344</v>
      </c>
      <c r="E572" t="s">
        <v>2036</v>
      </c>
      <c r="F572">
        <v>202107</v>
      </c>
      <c r="G572" t="s">
        <v>2167</v>
      </c>
      <c r="H572">
        <v>23.94</v>
      </c>
      <c r="O572">
        <v>5352</v>
      </c>
      <c r="P572" t="s">
        <v>2625</v>
      </c>
      <c r="Q572">
        <v>5697</v>
      </c>
      <c r="R572" t="s">
        <v>2344</v>
      </c>
      <c r="S572" t="s">
        <v>2036</v>
      </c>
      <c r="T572">
        <v>202201</v>
      </c>
      <c r="U572" t="s">
        <v>184</v>
      </c>
      <c r="V572">
        <v>40763</v>
      </c>
    </row>
    <row r="573" spans="1:22">
      <c r="A573">
        <v>5352</v>
      </c>
      <c r="B573" t="s">
        <v>2625</v>
      </c>
      <c r="C573">
        <v>5697</v>
      </c>
      <c r="D573" t="s">
        <v>2344</v>
      </c>
      <c r="E573" t="s">
        <v>2036</v>
      </c>
      <c r="F573">
        <v>202107</v>
      </c>
      <c r="G573" t="s">
        <v>2168</v>
      </c>
      <c r="H573">
        <v>10.17</v>
      </c>
      <c r="O573">
        <v>5352</v>
      </c>
      <c r="P573" t="s">
        <v>2625</v>
      </c>
      <c r="Q573">
        <v>5697</v>
      </c>
      <c r="R573" t="s">
        <v>2344</v>
      </c>
      <c r="S573" t="s">
        <v>2036</v>
      </c>
      <c r="T573">
        <v>202201</v>
      </c>
      <c r="U573" t="s">
        <v>186</v>
      </c>
      <c r="V573">
        <v>0</v>
      </c>
    </row>
    <row r="574" spans="1:22">
      <c r="A574">
        <v>5352</v>
      </c>
      <c r="B574" t="s">
        <v>2625</v>
      </c>
      <c r="C574">
        <v>5697</v>
      </c>
      <c r="D574" t="s">
        <v>2344</v>
      </c>
      <c r="E574" t="s">
        <v>2036</v>
      </c>
      <c r="F574">
        <v>202107</v>
      </c>
      <c r="G574" t="s">
        <v>2171</v>
      </c>
      <c r="H574">
        <v>5504.37</v>
      </c>
      <c r="O574">
        <v>5352</v>
      </c>
      <c r="P574" t="s">
        <v>2625</v>
      </c>
      <c r="Q574">
        <v>5697</v>
      </c>
      <c r="R574" t="s">
        <v>2344</v>
      </c>
      <c r="S574" t="s">
        <v>2036</v>
      </c>
      <c r="T574">
        <v>202201</v>
      </c>
      <c r="U574" t="s">
        <v>190</v>
      </c>
      <c r="V574">
        <v>507172</v>
      </c>
    </row>
    <row r="575" spans="1:22">
      <c r="A575">
        <v>5352</v>
      </c>
      <c r="B575" t="s">
        <v>2625</v>
      </c>
      <c r="C575">
        <v>5697</v>
      </c>
      <c r="D575" t="s">
        <v>2344</v>
      </c>
      <c r="E575" t="s">
        <v>2036</v>
      </c>
      <c r="F575">
        <v>202107</v>
      </c>
      <c r="G575" t="s">
        <v>190</v>
      </c>
      <c r="H575">
        <v>96700</v>
      </c>
      <c r="O575">
        <v>5352</v>
      </c>
      <c r="P575" t="s">
        <v>2625</v>
      </c>
      <c r="Q575">
        <v>5697</v>
      </c>
      <c r="R575" t="s">
        <v>2344</v>
      </c>
      <c r="S575" t="s">
        <v>2036</v>
      </c>
      <c r="T575">
        <v>202201</v>
      </c>
      <c r="U575" t="s">
        <v>191</v>
      </c>
      <c r="V575">
        <v>65484</v>
      </c>
    </row>
    <row r="576" spans="1:22">
      <c r="A576">
        <v>5352</v>
      </c>
      <c r="B576" t="s">
        <v>2625</v>
      </c>
      <c r="C576">
        <v>5697</v>
      </c>
      <c r="D576" t="s">
        <v>2344</v>
      </c>
      <c r="E576" t="s">
        <v>2036</v>
      </c>
      <c r="F576">
        <v>202107</v>
      </c>
      <c r="G576" t="s">
        <v>191</v>
      </c>
      <c r="H576">
        <v>14939</v>
      </c>
      <c r="O576">
        <v>5352</v>
      </c>
      <c r="P576" t="s">
        <v>2625</v>
      </c>
      <c r="Q576">
        <v>5697</v>
      </c>
      <c r="R576" t="s">
        <v>2344</v>
      </c>
      <c r="S576" t="s">
        <v>2036</v>
      </c>
      <c r="T576">
        <v>202201</v>
      </c>
      <c r="U576" t="s">
        <v>178</v>
      </c>
      <c r="V576">
        <v>1300</v>
      </c>
    </row>
    <row r="577" spans="1:22">
      <c r="A577">
        <v>5352</v>
      </c>
      <c r="B577" t="s">
        <v>2625</v>
      </c>
      <c r="C577">
        <v>5697</v>
      </c>
      <c r="D577" t="s">
        <v>2344</v>
      </c>
      <c r="E577" t="s">
        <v>2036</v>
      </c>
      <c r="F577">
        <v>202107</v>
      </c>
      <c r="G577" t="s">
        <v>176</v>
      </c>
      <c r="H577">
        <v>-2273.14</v>
      </c>
      <c r="O577">
        <v>5352</v>
      </c>
      <c r="P577" t="s">
        <v>2625</v>
      </c>
      <c r="Q577">
        <v>5697</v>
      </c>
      <c r="R577" t="s">
        <v>2344</v>
      </c>
      <c r="S577" t="s">
        <v>2036</v>
      </c>
      <c r="T577">
        <v>202201</v>
      </c>
      <c r="U577" t="s">
        <v>180</v>
      </c>
      <c r="V577">
        <v>1350</v>
      </c>
    </row>
    <row r="578" spans="1:22">
      <c r="A578">
        <v>5352</v>
      </c>
      <c r="B578" t="s">
        <v>2625</v>
      </c>
      <c r="C578">
        <v>5697</v>
      </c>
      <c r="D578" t="s">
        <v>2344</v>
      </c>
      <c r="E578" t="s">
        <v>2036</v>
      </c>
      <c r="F578">
        <v>202107</v>
      </c>
      <c r="G578" t="s">
        <v>178</v>
      </c>
      <c r="H578">
        <v>350</v>
      </c>
      <c r="O578">
        <v>5352</v>
      </c>
      <c r="P578" t="s">
        <v>2625</v>
      </c>
      <c r="Q578">
        <v>5697</v>
      </c>
      <c r="R578" t="s">
        <v>2344</v>
      </c>
      <c r="S578" t="s">
        <v>2036</v>
      </c>
      <c r="T578">
        <v>202201</v>
      </c>
      <c r="U578" t="s">
        <v>182</v>
      </c>
      <c r="V578">
        <v>507172</v>
      </c>
    </row>
    <row r="579" spans="1:22">
      <c r="A579">
        <v>5352</v>
      </c>
      <c r="B579" t="s">
        <v>2625</v>
      </c>
      <c r="C579">
        <v>5697</v>
      </c>
      <c r="D579" t="s">
        <v>2344</v>
      </c>
      <c r="E579" t="s">
        <v>2036</v>
      </c>
      <c r="F579">
        <v>202107</v>
      </c>
      <c r="G579" t="s">
        <v>180</v>
      </c>
      <c r="H579">
        <v>350</v>
      </c>
      <c r="O579">
        <v>5352</v>
      </c>
      <c r="P579" t="s">
        <v>2625</v>
      </c>
      <c r="Q579">
        <v>5697</v>
      </c>
      <c r="R579" t="s">
        <v>2344</v>
      </c>
      <c r="S579" t="s">
        <v>2036</v>
      </c>
      <c r="T579">
        <v>202201</v>
      </c>
      <c r="U579" t="s">
        <v>184</v>
      </c>
      <c r="V579">
        <v>65484</v>
      </c>
    </row>
    <row r="580" spans="1:22">
      <c r="A580">
        <v>5352</v>
      </c>
      <c r="B580" t="s">
        <v>2625</v>
      </c>
      <c r="C580">
        <v>5697</v>
      </c>
      <c r="D580" t="s">
        <v>2344</v>
      </c>
      <c r="E580" t="s">
        <v>2036</v>
      </c>
      <c r="F580">
        <v>202107</v>
      </c>
      <c r="G580" t="s">
        <v>182</v>
      </c>
      <c r="H580">
        <v>96700</v>
      </c>
      <c r="O580">
        <v>5352</v>
      </c>
      <c r="P580" t="s">
        <v>2625</v>
      </c>
      <c r="Q580">
        <v>5697</v>
      </c>
      <c r="R580" t="s">
        <v>2344</v>
      </c>
      <c r="S580" t="s">
        <v>2036</v>
      </c>
      <c r="T580">
        <v>202201</v>
      </c>
      <c r="U580" t="s">
        <v>186</v>
      </c>
      <c r="V580">
        <v>0</v>
      </c>
    </row>
    <row r="581" spans="1:22">
      <c r="A581">
        <v>5352</v>
      </c>
      <c r="B581" t="s">
        <v>2625</v>
      </c>
      <c r="C581">
        <v>5697</v>
      </c>
      <c r="D581" t="s">
        <v>2344</v>
      </c>
      <c r="E581" t="s">
        <v>2036</v>
      </c>
      <c r="F581">
        <v>202107</v>
      </c>
      <c r="G581" t="s">
        <v>184</v>
      </c>
      <c r="H581">
        <v>14939</v>
      </c>
      <c r="O581">
        <v>5352</v>
      </c>
      <c r="P581" t="s">
        <v>2625</v>
      </c>
      <c r="Q581">
        <v>5697</v>
      </c>
      <c r="R581" t="s">
        <v>2344</v>
      </c>
      <c r="S581" t="s">
        <v>2036</v>
      </c>
      <c r="T581">
        <v>202201</v>
      </c>
      <c r="U581" t="s">
        <v>190</v>
      </c>
      <c r="V581">
        <v>254593</v>
      </c>
    </row>
    <row r="582" spans="1:22">
      <c r="A582">
        <v>5352</v>
      </c>
      <c r="B582" t="s">
        <v>2625</v>
      </c>
      <c r="C582">
        <v>5697</v>
      </c>
      <c r="D582" t="s">
        <v>2344</v>
      </c>
      <c r="E582" t="s">
        <v>2036</v>
      </c>
      <c r="F582">
        <v>202107</v>
      </c>
      <c r="G582" t="s">
        <v>192</v>
      </c>
      <c r="H582">
        <v>0</v>
      </c>
      <c r="O582">
        <v>5352</v>
      </c>
      <c r="P582" t="s">
        <v>2625</v>
      </c>
      <c r="Q582">
        <v>5697</v>
      </c>
      <c r="R582" t="s">
        <v>2344</v>
      </c>
      <c r="S582" t="s">
        <v>2036</v>
      </c>
      <c r="T582">
        <v>202201</v>
      </c>
      <c r="U582" t="s">
        <v>191</v>
      </c>
      <c r="V582">
        <v>40008</v>
      </c>
    </row>
    <row r="583" spans="1:22">
      <c r="A583">
        <v>5352</v>
      </c>
      <c r="B583" t="s">
        <v>2625</v>
      </c>
      <c r="C583">
        <v>5697</v>
      </c>
      <c r="D583" t="s">
        <v>2344</v>
      </c>
      <c r="E583" t="s">
        <v>2036</v>
      </c>
      <c r="F583">
        <v>202107</v>
      </c>
      <c r="G583" t="s">
        <v>2170</v>
      </c>
      <c r="H583">
        <v>836.46</v>
      </c>
      <c r="O583">
        <v>5352</v>
      </c>
      <c r="P583" t="s">
        <v>2625</v>
      </c>
      <c r="Q583">
        <v>5697</v>
      </c>
      <c r="R583" t="s">
        <v>2344</v>
      </c>
      <c r="S583" t="s">
        <v>2036</v>
      </c>
      <c r="T583">
        <v>202201</v>
      </c>
      <c r="U583" t="s">
        <v>178</v>
      </c>
      <c r="V583">
        <v>810</v>
      </c>
    </row>
    <row r="584" spans="1:22">
      <c r="A584">
        <v>5352</v>
      </c>
      <c r="B584" t="s">
        <v>2625</v>
      </c>
      <c r="C584">
        <v>5697</v>
      </c>
      <c r="D584" t="s">
        <v>2344</v>
      </c>
      <c r="E584" t="s">
        <v>2036</v>
      </c>
      <c r="F584">
        <v>202107</v>
      </c>
      <c r="G584" t="s">
        <v>186</v>
      </c>
      <c r="H584">
        <v>0</v>
      </c>
      <c r="O584">
        <v>5352</v>
      </c>
      <c r="P584" t="s">
        <v>2625</v>
      </c>
      <c r="Q584">
        <v>5697</v>
      </c>
      <c r="R584" t="s">
        <v>2344</v>
      </c>
      <c r="S584" t="s">
        <v>2036</v>
      </c>
      <c r="T584">
        <v>202201</v>
      </c>
      <c r="U584" t="s">
        <v>180</v>
      </c>
      <c r="V584">
        <v>930</v>
      </c>
    </row>
    <row r="585" spans="1:22">
      <c r="A585">
        <v>5352</v>
      </c>
      <c r="B585" t="s">
        <v>2625</v>
      </c>
      <c r="C585">
        <v>5697</v>
      </c>
      <c r="D585" t="s">
        <v>2344</v>
      </c>
      <c r="E585" t="s">
        <v>2036</v>
      </c>
      <c r="F585">
        <v>202107</v>
      </c>
      <c r="G585" t="s">
        <v>2169</v>
      </c>
      <c r="H585">
        <v>99.17</v>
      </c>
      <c r="O585">
        <v>5352</v>
      </c>
      <c r="P585" t="s">
        <v>2625</v>
      </c>
      <c r="Q585">
        <v>5697</v>
      </c>
      <c r="R585" t="s">
        <v>2344</v>
      </c>
      <c r="S585" t="s">
        <v>2036</v>
      </c>
      <c r="T585">
        <v>202201</v>
      </c>
      <c r="U585" t="s">
        <v>182</v>
      </c>
      <c r="V585">
        <v>254593</v>
      </c>
    </row>
    <row r="586" spans="1:22">
      <c r="A586">
        <v>5352</v>
      </c>
      <c r="B586" t="s">
        <v>2625</v>
      </c>
      <c r="C586">
        <v>5697</v>
      </c>
      <c r="D586" t="s">
        <v>2344</v>
      </c>
      <c r="E586" t="s">
        <v>2036</v>
      </c>
      <c r="F586">
        <v>202107</v>
      </c>
      <c r="G586" t="s">
        <v>2166</v>
      </c>
      <c r="H586">
        <v>12.33</v>
      </c>
      <c r="O586">
        <v>5352</v>
      </c>
      <c r="P586" t="s">
        <v>2625</v>
      </c>
      <c r="Q586">
        <v>5697</v>
      </c>
      <c r="R586" t="s">
        <v>2344</v>
      </c>
      <c r="S586" t="s">
        <v>2036</v>
      </c>
      <c r="T586">
        <v>202201</v>
      </c>
      <c r="U586" t="s">
        <v>184</v>
      </c>
      <c r="V586">
        <v>40008</v>
      </c>
    </row>
    <row r="587" spans="1:22">
      <c r="A587">
        <v>5352</v>
      </c>
      <c r="B587" t="s">
        <v>2625</v>
      </c>
      <c r="C587">
        <v>5697</v>
      </c>
      <c r="D587" t="s">
        <v>2344</v>
      </c>
      <c r="E587" t="s">
        <v>2036</v>
      </c>
      <c r="F587">
        <v>202107</v>
      </c>
      <c r="G587" t="s">
        <v>2167</v>
      </c>
      <c r="H587">
        <v>23.94</v>
      </c>
      <c r="O587">
        <v>5352</v>
      </c>
      <c r="P587" t="s">
        <v>2625</v>
      </c>
      <c r="Q587">
        <v>5697</v>
      </c>
      <c r="R587" t="s">
        <v>2344</v>
      </c>
      <c r="S587" t="s">
        <v>2036</v>
      </c>
      <c r="T587">
        <v>202201</v>
      </c>
      <c r="U587" t="s">
        <v>186</v>
      </c>
      <c r="V587">
        <v>0</v>
      </c>
    </row>
    <row r="588" spans="1:22">
      <c r="A588">
        <v>5352</v>
      </c>
      <c r="B588" t="s">
        <v>2625</v>
      </c>
      <c r="C588">
        <v>5697</v>
      </c>
      <c r="D588" t="s">
        <v>2344</v>
      </c>
      <c r="E588" t="s">
        <v>2036</v>
      </c>
      <c r="F588">
        <v>202107</v>
      </c>
      <c r="G588" t="s">
        <v>2168</v>
      </c>
      <c r="H588">
        <v>10.17</v>
      </c>
      <c r="O588">
        <v>5352</v>
      </c>
      <c r="P588" t="s">
        <v>2625</v>
      </c>
      <c r="Q588">
        <v>5697</v>
      </c>
      <c r="R588" t="s">
        <v>2344</v>
      </c>
      <c r="S588" t="s">
        <v>2036</v>
      </c>
      <c r="T588">
        <v>202201</v>
      </c>
      <c r="U588" t="s">
        <v>190</v>
      </c>
      <c r="V588">
        <v>63329</v>
      </c>
    </row>
    <row r="589" spans="1:22">
      <c r="A589">
        <v>5352</v>
      </c>
      <c r="B589" t="s">
        <v>2625</v>
      </c>
      <c r="C589">
        <v>5697</v>
      </c>
      <c r="D589" t="s">
        <v>2344</v>
      </c>
      <c r="E589" t="s">
        <v>2036</v>
      </c>
      <c r="F589">
        <v>202107</v>
      </c>
      <c r="G589" t="s">
        <v>2171</v>
      </c>
      <c r="H589">
        <v>23464.400000000001</v>
      </c>
      <c r="O589">
        <v>5352</v>
      </c>
      <c r="P589" t="s">
        <v>2625</v>
      </c>
      <c r="Q589">
        <v>5697</v>
      </c>
      <c r="R589" t="s">
        <v>2344</v>
      </c>
      <c r="S589" t="s">
        <v>2036</v>
      </c>
      <c r="T589">
        <v>202201</v>
      </c>
      <c r="U589" t="s">
        <v>191</v>
      </c>
      <c r="V589">
        <v>10503</v>
      </c>
    </row>
    <row r="590" spans="1:22">
      <c r="A590">
        <v>5352</v>
      </c>
      <c r="B590" t="s">
        <v>2625</v>
      </c>
      <c r="C590">
        <v>5697</v>
      </c>
      <c r="D590" t="s">
        <v>2344</v>
      </c>
      <c r="E590" t="s">
        <v>2036</v>
      </c>
      <c r="F590">
        <v>202108</v>
      </c>
      <c r="G590" t="s">
        <v>190</v>
      </c>
      <c r="H590">
        <v>170775</v>
      </c>
      <c r="O590">
        <v>5352</v>
      </c>
      <c r="P590" t="s">
        <v>2625</v>
      </c>
      <c r="Q590">
        <v>5697</v>
      </c>
      <c r="R590" t="s">
        <v>2344</v>
      </c>
      <c r="S590" t="s">
        <v>2036</v>
      </c>
      <c r="T590">
        <v>202201</v>
      </c>
      <c r="U590" t="s">
        <v>178</v>
      </c>
      <c r="V590">
        <v>250</v>
      </c>
    </row>
    <row r="591" spans="1:22">
      <c r="A591">
        <v>5352</v>
      </c>
      <c r="B591" t="s">
        <v>2625</v>
      </c>
      <c r="C591">
        <v>5697</v>
      </c>
      <c r="D591" t="s">
        <v>2344</v>
      </c>
      <c r="E591" t="s">
        <v>2036</v>
      </c>
      <c r="F591">
        <v>202108</v>
      </c>
      <c r="G591" t="s">
        <v>191</v>
      </c>
      <c r="H591">
        <v>28472</v>
      </c>
      <c r="O591">
        <v>5352</v>
      </c>
      <c r="P591" t="s">
        <v>2625</v>
      </c>
      <c r="Q591">
        <v>5697</v>
      </c>
      <c r="R591" t="s">
        <v>2344</v>
      </c>
      <c r="S591" t="s">
        <v>2036</v>
      </c>
      <c r="T591">
        <v>202201</v>
      </c>
      <c r="U591" t="s">
        <v>180</v>
      </c>
      <c r="V591">
        <v>250</v>
      </c>
    </row>
    <row r="592" spans="1:22">
      <c r="A592">
        <v>5352</v>
      </c>
      <c r="B592" t="s">
        <v>2625</v>
      </c>
      <c r="C592">
        <v>5697</v>
      </c>
      <c r="D592" t="s">
        <v>2344</v>
      </c>
      <c r="E592" t="s">
        <v>2036</v>
      </c>
      <c r="F592">
        <v>202108</v>
      </c>
      <c r="G592" t="s">
        <v>176</v>
      </c>
      <c r="H592">
        <v>0</v>
      </c>
      <c r="O592">
        <v>5352</v>
      </c>
      <c r="P592" t="s">
        <v>2625</v>
      </c>
      <c r="Q592">
        <v>5697</v>
      </c>
      <c r="R592" t="s">
        <v>2344</v>
      </c>
      <c r="S592" t="s">
        <v>2036</v>
      </c>
      <c r="T592">
        <v>202201</v>
      </c>
      <c r="U592" t="s">
        <v>182</v>
      </c>
      <c r="V592">
        <v>63329</v>
      </c>
    </row>
    <row r="593" spans="1:22">
      <c r="A593">
        <v>5352</v>
      </c>
      <c r="B593" t="s">
        <v>2625</v>
      </c>
      <c r="C593">
        <v>5697</v>
      </c>
      <c r="D593" t="s">
        <v>2344</v>
      </c>
      <c r="E593" t="s">
        <v>2036</v>
      </c>
      <c r="F593">
        <v>202108</v>
      </c>
      <c r="G593" t="s">
        <v>178</v>
      </c>
      <c r="H593">
        <v>810</v>
      </c>
      <c r="O593">
        <v>5352</v>
      </c>
      <c r="P593" t="s">
        <v>2625</v>
      </c>
      <c r="Q593">
        <v>5697</v>
      </c>
      <c r="R593" t="s">
        <v>2344</v>
      </c>
      <c r="S593" t="s">
        <v>2036</v>
      </c>
      <c r="T593">
        <v>202201</v>
      </c>
      <c r="U593" t="s">
        <v>184</v>
      </c>
      <c r="V593">
        <v>10503</v>
      </c>
    </row>
    <row r="594" spans="1:22">
      <c r="A594">
        <v>5352</v>
      </c>
      <c r="B594" t="s">
        <v>2625</v>
      </c>
      <c r="C594">
        <v>5697</v>
      </c>
      <c r="D594" t="s">
        <v>2344</v>
      </c>
      <c r="E594" t="s">
        <v>2036</v>
      </c>
      <c r="F594">
        <v>202108</v>
      </c>
      <c r="G594" t="s">
        <v>180</v>
      </c>
      <c r="H594">
        <v>930</v>
      </c>
      <c r="O594">
        <v>5352</v>
      </c>
      <c r="P594" t="s">
        <v>2625</v>
      </c>
      <c r="Q594">
        <v>5697</v>
      </c>
      <c r="R594" t="s">
        <v>2344</v>
      </c>
      <c r="S594" t="s">
        <v>2036</v>
      </c>
      <c r="T594">
        <v>202201</v>
      </c>
      <c r="U594" t="s">
        <v>186</v>
      </c>
      <c r="V594">
        <v>0</v>
      </c>
    </row>
    <row r="595" spans="1:22">
      <c r="A595">
        <v>5352</v>
      </c>
      <c r="B595" t="s">
        <v>2625</v>
      </c>
      <c r="C595">
        <v>5697</v>
      </c>
      <c r="D595" t="s">
        <v>2344</v>
      </c>
      <c r="E595" t="s">
        <v>2036</v>
      </c>
      <c r="F595">
        <v>202108</v>
      </c>
      <c r="G595" t="s">
        <v>182</v>
      </c>
      <c r="H595">
        <v>170775</v>
      </c>
      <c r="O595">
        <v>5352</v>
      </c>
      <c r="P595" t="s">
        <v>2625</v>
      </c>
      <c r="Q595">
        <v>5697</v>
      </c>
      <c r="R595" t="s">
        <v>2344</v>
      </c>
      <c r="S595" t="s">
        <v>2036</v>
      </c>
      <c r="T595">
        <v>202202</v>
      </c>
      <c r="U595" t="s">
        <v>190</v>
      </c>
      <c r="V595">
        <v>199503</v>
      </c>
    </row>
    <row r="596" spans="1:22">
      <c r="A596">
        <v>5352</v>
      </c>
      <c r="B596" t="s">
        <v>2625</v>
      </c>
      <c r="C596">
        <v>5697</v>
      </c>
      <c r="D596" t="s">
        <v>2344</v>
      </c>
      <c r="E596" t="s">
        <v>2036</v>
      </c>
      <c r="F596">
        <v>202108</v>
      </c>
      <c r="G596" t="s">
        <v>184</v>
      </c>
      <c r="H596">
        <v>28472</v>
      </c>
      <c r="O596">
        <v>5352</v>
      </c>
      <c r="P596" t="s">
        <v>2625</v>
      </c>
      <c r="Q596">
        <v>5697</v>
      </c>
      <c r="R596" t="s">
        <v>2344</v>
      </c>
      <c r="S596" t="s">
        <v>2036</v>
      </c>
      <c r="T596">
        <v>202202</v>
      </c>
      <c r="U596" t="s">
        <v>191</v>
      </c>
      <c r="V596">
        <v>24663</v>
      </c>
    </row>
    <row r="597" spans="1:22">
      <c r="A597">
        <v>5352</v>
      </c>
      <c r="B597" t="s">
        <v>2625</v>
      </c>
      <c r="C597">
        <v>5697</v>
      </c>
      <c r="D597" t="s">
        <v>2344</v>
      </c>
      <c r="E597" t="s">
        <v>2036</v>
      </c>
      <c r="F597">
        <v>202108</v>
      </c>
      <c r="G597" t="s">
        <v>192</v>
      </c>
      <c r="H597">
        <v>0</v>
      </c>
      <c r="O597">
        <v>5352</v>
      </c>
      <c r="P597" t="s">
        <v>2625</v>
      </c>
      <c r="Q597">
        <v>5697</v>
      </c>
      <c r="R597" t="s">
        <v>2344</v>
      </c>
      <c r="S597" t="s">
        <v>2036</v>
      </c>
      <c r="T597">
        <v>202202</v>
      </c>
      <c r="U597" t="s">
        <v>178</v>
      </c>
      <c r="V597">
        <v>526</v>
      </c>
    </row>
    <row r="598" spans="1:22">
      <c r="A598">
        <v>5352</v>
      </c>
      <c r="B598" t="s">
        <v>2625</v>
      </c>
      <c r="C598">
        <v>5697</v>
      </c>
      <c r="D598" t="s">
        <v>2344</v>
      </c>
      <c r="E598" t="s">
        <v>2036</v>
      </c>
      <c r="F598">
        <v>202108</v>
      </c>
      <c r="G598" t="s">
        <v>2170</v>
      </c>
      <c r="H598">
        <v>97.45</v>
      </c>
      <c r="O598">
        <v>5352</v>
      </c>
      <c r="P598" t="s">
        <v>2625</v>
      </c>
      <c r="Q598">
        <v>5697</v>
      </c>
      <c r="R598" t="s">
        <v>2344</v>
      </c>
      <c r="S598" t="s">
        <v>2036</v>
      </c>
      <c r="T598">
        <v>202202</v>
      </c>
      <c r="U598" t="s">
        <v>180</v>
      </c>
      <c r="V598">
        <v>530</v>
      </c>
    </row>
    <row r="599" spans="1:22">
      <c r="A599">
        <v>5352</v>
      </c>
      <c r="B599" t="s">
        <v>2625</v>
      </c>
      <c r="C599">
        <v>5697</v>
      </c>
      <c r="D599" t="s">
        <v>2344</v>
      </c>
      <c r="E599" t="s">
        <v>2036</v>
      </c>
      <c r="F599">
        <v>202108</v>
      </c>
      <c r="G599" t="s">
        <v>186</v>
      </c>
      <c r="H599">
        <v>0</v>
      </c>
      <c r="O599">
        <v>5352</v>
      </c>
      <c r="P599" t="s">
        <v>2625</v>
      </c>
      <c r="Q599">
        <v>5697</v>
      </c>
      <c r="R599" t="s">
        <v>2344</v>
      </c>
      <c r="S599" t="s">
        <v>2036</v>
      </c>
      <c r="T599">
        <v>202202</v>
      </c>
      <c r="U599" t="s">
        <v>182</v>
      </c>
      <c r="V599">
        <v>199503</v>
      </c>
    </row>
    <row r="600" spans="1:22">
      <c r="A600">
        <v>5352</v>
      </c>
      <c r="B600" t="s">
        <v>2625</v>
      </c>
      <c r="C600">
        <v>5697</v>
      </c>
      <c r="D600" t="s">
        <v>2344</v>
      </c>
      <c r="E600" t="s">
        <v>2036</v>
      </c>
      <c r="F600">
        <v>202108</v>
      </c>
      <c r="G600" t="s">
        <v>2169</v>
      </c>
      <c r="H600">
        <v>99.17</v>
      </c>
      <c r="O600">
        <v>5352</v>
      </c>
      <c r="P600" t="s">
        <v>2625</v>
      </c>
      <c r="Q600">
        <v>5697</v>
      </c>
      <c r="R600" t="s">
        <v>2344</v>
      </c>
      <c r="S600" t="s">
        <v>2036</v>
      </c>
      <c r="T600">
        <v>202202</v>
      </c>
      <c r="U600" t="s">
        <v>184</v>
      </c>
      <c r="V600">
        <v>24663</v>
      </c>
    </row>
    <row r="601" spans="1:22">
      <c r="A601">
        <v>5352</v>
      </c>
      <c r="B601" t="s">
        <v>2625</v>
      </c>
      <c r="C601">
        <v>5697</v>
      </c>
      <c r="D601" t="s">
        <v>2344</v>
      </c>
      <c r="E601" t="s">
        <v>2036</v>
      </c>
      <c r="F601">
        <v>202108</v>
      </c>
      <c r="G601" t="s">
        <v>2166</v>
      </c>
      <c r="H601">
        <v>12.33</v>
      </c>
      <c r="O601">
        <v>5352</v>
      </c>
      <c r="P601" t="s">
        <v>2625</v>
      </c>
      <c r="Q601">
        <v>5697</v>
      </c>
      <c r="R601" t="s">
        <v>2344</v>
      </c>
      <c r="S601" t="s">
        <v>2036</v>
      </c>
      <c r="T601">
        <v>202202</v>
      </c>
      <c r="U601" t="s">
        <v>186</v>
      </c>
      <c r="V601">
        <v>0</v>
      </c>
    </row>
    <row r="602" spans="1:22">
      <c r="A602">
        <v>5352</v>
      </c>
      <c r="B602" t="s">
        <v>2625</v>
      </c>
      <c r="C602">
        <v>5697</v>
      </c>
      <c r="D602" t="s">
        <v>2344</v>
      </c>
      <c r="E602" t="s">
        <v>2036</v>
      </c>
      <c r="F602">
        <v>202108</v>
      </c>
      <c r="G602" t="s">
        <v>2167</v>
      </c>
      <c r="H602">
        <v>23.94</v>
      </c>
      <c r="O602">
        <v>5352</v>
      </c>
      <c r="P602" t="s">
        <v>2625</v>
      </c>
      <c r="Q602">
        <v>5697</v>
      </c>
      <c r="R602" t="s">
        <v>2344</v>
      </c>
      <c r="S602" t="s">
        <v>2036</v>
      </c>
      <c r="T602">
        <v>202202</v>
      </c>
      <c r="U602" t="s">
        <v>190</v>
      </c>
      <c r="V602">
        <v>388871</v>
      </c>
    </row>
    <row r="603" spans="1:22">
      <c r="A603">
        <v>5352</v>
      </c>
      <c r="B603" t="s">
        <v>2625</v>
      </c>
      <c r="C603">
        <v>5697</v>
      </c>
      <c r="D603" t="s">
        <v>2344</v>
      </c>
      <c r="E603" t="s">
        <v>2036</v>
      </c>
      <c r="F603">
        <v>202108</v>
      </c>
      <c r="G603" t="s">
        <v>2168</v>
      </c>
      <c r="H603">
        <v>10.17</v>
      </c>
      <c r="O603">
        <v>5352</v>
      </c>
      <c r="P603" t="s">
        <v>2625</v>
      </c>
      <c r="Q603">
        <v>5697</v>
      </c>
      <c r="R603" t="s">
        <v>2344</v>
      </c>
      <c r="S603" t="s">
        <v>2036</v>
      </c>
      <c r="T603">
        <v>202202</v>
      </c>
      <c r="U603" t="s">
        <v>191</v>
      </c>
      <c r="V603">
        <v>48791</v>
      </c>
    </row>
    <row r="604" spans="1:22">
      <c r="A604">
        <v>5352</v>
      </c>
      <c r="B604" t="s">
        <v>2625</v>
      </c>
      <c r="C604">
        <v>5697</v>
      </c>
      <c r="D604" t="s">
        <v>2344</v>
      </c>
      <c r="E604" t="s">
        <v>2036</v>
      </c>
      <c r="F604">
        <v>202108</v>
      </c>
      <c r="G604" t="s">
        <v>2171</v>
      </c>
      <c r="H604">
        <v>54134.6</v>
      </c>
      <c r="O604">
        <v>5352</v>
      </c>
      <c r="P604" t="s">
        <v>2625</v>
      </c>
      <c r="Q604">
        <v>5697</v>
      </c>
      <c r="R604" t="s">
        <v>2344</v>
      </c>
      <c r="S604" t="s">
        <v>2036</v>
      </c>
      <c r="T604">
        <v>202202</v>
      </c>
      <c r="U604" t="s">
        <v>178</v>
      </c>
      <c r="V604">
        <v>891</v>
      </c>
    </row>
    <row r="605" spans="1:22">
      <c r="A605">
        <v>5352</v>
      </c>
      <c r="B605" t="s">
        <v>2625</v>
      </c>
      <c r="C605">
        <v>5697</v>
      </c>
      <c r="D605" t="s">
        <v>2344</v>
      </c>
      <c r="E605" t="s">
        <v>2036</v>
      </c>
      <c r="F605">
        <v>202108</v>
      </c>
      <c r="G605" t="s">
        <v>190</v>
      </c>
      <c r="H605">
        <v>156530</v>
      </c>
      <c r="O605">
        <v>5352</v>
      </c>
      <c r="P605" t="s">
        <v>2625</v>
      </c>
      <c r="Q605">
        <v>5697</v>
      </c>
      <c r="R605" t="s">
        <v>2344</v>
      </c>
      <c r="S605" t="s">
        <v>2036</v>
      </c>
      <c r="T605">
        <v>202202</v>
      </c>
      <c r="U605" t="s">
        <v>180</v>
      </c>
      <c r="V605">
        <v>899</v>
      </c>
    </row>
    <row r="606" spans="1:22">
      <c r="A606">
        <v>5352</v>
      </c>
      <c r="B606" t="s">
        <v>2625</v>
      </c>
      <c r="C606">
        <v>5697</v>
      </c>
      <c r="D606" t="s">
        <v>2344</v>
      </c>
      <c r="E606" t="s">
        <v>2036</v>
      </c>
      <c r="F606">
        <v>202108</v>
      </c>
      <c r="G606" t="s">
        <v>191</v>
      </c>
      <c r="H606">
        <v>22766</v>
      </c>
      <c r="O606">
        <v>5352</v>
      </c>
      <c r="P606" t="s">
        <v>2625</v>
      </c>
      <c r="Q606">
        <v>5697</v>
      </c>
      <c r="R606" t="s">
        <v>2344</v>
      </c>
      <c r="S606" t="s">
        <v>2036</v>
      </c>
      <c r="T606">
        <v>202202</v>
      </c>
      <c r="U606" t="s">
        <v>182</v>
      </c>
      <c r="V606">
        <v>388871</v>
      </c>
    </row>
    <row r="607" spans="1:22">
      <c r="A607">
        <v>5352</v>
      </c>
      <c r="B607" t="s">
        <v>2625</v>
      </c>
      <c r="C607">
        <v>5697</v>
      </c>
      <c r="D607" t="s">
        <v>2344</v>
      </c>
      <c r="E607" t="s">
        <v>2036</v>
      </c>
      <c r="F607">
        <v>202108</v>
      </c>
      <c r="G607" t="s">
        <v>176</v>
      </c>
      <c r="H607">
        <v>-1513.71</v>
      </c>
      <c r="O607">
        <v>5352</v>
      </c>
      <c r="P607" t="s">
        <v>2625</v>
      </c>
      <c r="Q607">
        <v>5697</v>
      </c>
      <c r="R607" t="s">
        <v>2344</v>
      </c>
      <c r="S607" t="s">
        <v>2036</v>
      </c>
      <c r="T607">
        <v>202202</v>
      </c>
      <c r="U607" t="s">
        <v>184</v>
      </c>
      <c r="V607">
        <v>48791</v>
      </c>
    </row>
    <row r="608" spans="1:22">
      <c r="A608">
        <v>5352</v>
      </c>
      <c r="B608" t="s">
        <v>2625</v>
      </c>
      <c r="C608">
        <v>5697</v>
      </c>
      <c r="D608" t="s">
        <v>2344</v>
      </c>
      <c r="E608" t="s">
        <v>2036</v>
      </c>
      <c r="F608">
        <v>202108</v>
      </c>
      <c r="G608" t="s">
        <v>178</v>
      </c>
      <c r="H608">
        <v>580</v>
      </c>
      <c r="O608">
        <v>5352</v>
      </c>
      <c r="P608" t="s">
        <v>2625</v>
      </c>
      <c r="Q608">
        <v>5697</v>
      </c>
      <c r="R608" t="s">
        <v>2344</v>
      </c>
      <c r="S608" t="s">
        <v>2036</v>
      </c>
      <c r="T608">
        <v>202202</v>
      </c>
      <c r="U608" t="s">
        <v>186</v>
      </c>
      <c r="V608">
        <v>0</v>
      </c>
    </row>
    <row r="609" spans="1:22">
      <c r="A609">
        <v>5352</v>
      </c>
      <c r="B609" t="s">
        <v>2625</v>
      </c>
      <c r="C609">
        <v>5697</v>
      </c>
      <c r="D609" t="s">
        <v>2344</v>
      </c>
      <c r="E609" t="s">
        <v>2036</v>
      </c>
      <c r="F609">
        <v>202108</v>
      </c>
      <c r="G609" t="s">
        <v>180</v>
      </c>
      <c r="H609">
        <v>580</v>
      </c>
      <c r="O609">
        <v>5352</v>
      </c>
      <c r="P609" t="s">
        <v>2625</v>
      </c>
      <c r="Q609">
        <v>5697</v>
      </c>
      <c r="R609" t="s">
        <v>2344</v>
      </c>
      <c r="S609" t="s">
        <v>2036</v>
      </c>
      <c r="T609">
        <v>202202</v>
      </c>
      <c r="U609" t="s">
        <v>190</v>
      </c>
      <c r="V609">
        <v>613225</v>
      </c>
    </row>
    <row r="610" spans="1:22">
      <c r="A610">
        <v>5352</v>
      </c>
      <c r="B610" t="s">
        <v>2625</v>
      </c>
      <c r="C610">
        <v>5697</v>
      </c>
      <c r="D610" t="s">
        <v>2344</v>
      </c>
      <c r="E610" t="s">
        <v>2036</v>
      </c>
      <c r="F610">
        <v>202108</v>
      </c>
      <c r="G610" t="s">
        <v>182</v>
      </c>
      <c r="H610">
        <v>156530</v>
      </c>
      <c r="O610">
        <v>5352</v>
      </c>
      <c r="P610" t="s">
        <v>2625</v>
      </c>
      <c r="Q610">
        <v>5697</v>
      </c>
      <c r="R610" t="s">
        <v>2344</v>
      </c>
      <c r="S610" t="s">
        <v>2036</v>
      </c>
      <c r="T610">
        <v>202202</v>
      </c>
      <c r="U610" t="s">
        <v>191</v>
      </c>
      <c r="V610">
        <v>41660</v>
      </c>
    </row>
    <row r="611" spans="1:22">
      <c r="A611">
        <v>5352</v>
      </c>
      <c r="B611" t="s">
        <v>2625</v>
      </c>
      <c r="C611">
        <v>5697</v>
      </c>
      <c r="D611" t="s">
        <v>2344</v>
      </c>
      <c r="E611" t="s">
        <v>2036</v>
      </c>
      <c r="F611">
        <v>202108</v>
      </c>
      <c r="G611" t="s">
        <v>184</v>
      </c>
      <c r="H611">
        <v>22766</v>
      </c>
      <c r="O611">
        <v>5352</v>
      </c>
      <c r="P611" t="s">
        <v>2625</v>
      </c>
      <c r="Q611">
        <v>5697</v>
      </c>
      <c r="R611" t="s">
        <v>2344</v>
      </c>
      <c r="S611" t="s">
        <v>2036</v>
      </c>
      <c r="T611">
        <v>202202</v>
      </c>
      <c r="U611" t="s">
        <v>178</v>
      </c>
      <c r="V611">
        <v>1360</v>
      </c>
    </row>
    <row r="612" spans="1:22">
      <c r="A612">
        <v>5352</v>
      </c>
      <c r="B612" t="s">
        <v>2625</v>
      </c>
      <c r="C612">
        <v>5697</v>
      </c>
      <c r="D612" t="s">
        <v>2344</v>
      </c>
      <c r="E612" t="s">
        <v>2036</v>
      </c>
      <c r="F612">
        <v>202108</v>
      </c>
      <c r="G612" t="s">
        <v>192</v>
      </c>
      <c r="H612">
        <v>0</v>
      </c>
      <c r="O612">
        <v>5352</v>
      </c>
      <c r="P612" t="s">
        <v>2625</v>
      </c>
      <c r="Q612">
        <v>5697</v>
      </c>
      <c r="R612" t="s">
        <v>2344</v>
      </c>
      <c r="S612" t="s">
        <v>2036</v>
      </c>
      <c r="T612">
        <v>202202</v>
      </c>
      <c r="U612" t="s">
        <v>180</v>
      </c>
      <c r="V612">
        <v>1250</v>
      </c>
    </row>
    <row r="613" spans="1:22">
      <c r="A613">
        <v>5352</v>
      </c>
      <c r="B613" t="s">
        <v>2625</v>
      </c>
      <c r="C613">
        <v>5697</v>
      </c>
      <c r="D613" t="s">
        <v>2344</v>
      </c>
      <c r="E613" t="s">
        <v>2036</v>
      </c>
      <c r="F613">
        <v>202108</v>
      </c>
      <c r="G613" t="s">
        <v>2170</v>
      </c>
      <c r="H613">
        <v>73.28</v>
      </c>
      <c r="O613">
        <v>5352</v>
      </c>
      <c r="P613" t="s">
        <v>2625</v>
      </c>
      <c r="Q613">
        <v>5697</v>
      </c>
      <c r="R613" t="s">
        <v>2344</v>
      </c>
      <c r="S613" t="s">
        <v>2036</v>
      </c>
      <c r="T613">
        <v>202202</v>
      </c>
      <c r="U613" t="s">
        <v>182</v>
      </c>
      <c r="V613">
        <v>613225</v>
      </c>
    </row>
    <row r="614" spans="1:22">
      <c r="A614">
        <v>5352</v>
      </c>
      <c r="B614" t="s">
        <v>2625</v>
      </c>
      <c r="C614">
        <v>5697</v>
      </c>
      <c r="D614" t="s">
        <v>2344</v>
      </c>
      <c r="E614" t="s">
        <v>2036</v>
      </c>
      <c r="F614">
        <v>202108</v>
      </c>
      <c r="G614" t="s">
        <v>186</v>
      </c>
      <c r="H614">
        <v>0</v>
      </c>
      <c r="O614">
        <v>5352</v>
      </c>
      <c r="P614" t="s">
        <v>2625</v>
      </c>
      <c r="Q614">
        <v>5697</v>
      </c>
      <c r="R614" t="s">
        <v>2344</v>
      </c>
      <c r="S614" t="s">
        <v>2036</v>
      </c>
      <c r="T614">
        <v>202202</v>
      </c>
      <c r="U614" t="s">
        <v>184</v>
      </c>
      <c r="V614">
        <v>41660</v>
      </c>
    </row>
    <row r="615" spans="1:22">
      <c r="A615">
        <v>5352</v>
      </c>
      <c r="B615" t="s">
        <v>2625</v>
      </c>
      <c r="C615">
        <v>5697</v>
      </c>
      <c r="D615" t="s">
        <v>2344</v>
      </c>
      <c r="E615" t="s">
        <v>2036</v>
      </c>
      <c r="F615">
        <v>202108</v>
      </c>
      <c r="G615" t="s">
        <v>2169</v>
      </c>
      <c r="H615">
        <v>99.17</v>
      </c>
      <c r="O615">
        <v>5352</v>
      </c>
      <c r="P615" t="s">
        <v>2625</v>
      </c>
      <c r="Q615">
        <v>5697</v>
      </c>
      <c r="R615" t="s">
        <v>2344</v>
      </c>
      <c r="S615" t="s">
        <v>2036</v>
      </c>
      <c r="T615">
        <v>202202</v>
      </c>
      <c r="U615" t="s">
        <v>186</v>
      </c>
      <c r="V615">
        <v>0</v>
      </c>
    </row>
    <row r="616" spans="1:22">
      <c r="A616">
        <v>5352</v>
      </c>
      <c r="B616" t="s">
        <v>2625</v>
      </c>
      <c r="C616">
        <v>5697</v>
      </c>
      <c r="D616" t="s">
        <v>2344</v>
      </c>
      <c r="E616" t="s">
        <v>2036</v>
      </c>
      <c r="F616">
        <v>202108</v>
      </c>
      <c r="G616" t="s">
        <v>2166</v>
      </c>
      <c r="H616">
        <v>12.33</v>
      </c>
      <c r="O616">
        <v>5352</v>
      </c>
      <c r="P616" t="s">
        <v>2625</v>
      </c>
      <c r="Q616">
        <v>5697</v>
      </c>
      <c r="R616" t="s">
        <v>2344</v>
      </c>
      <c r="S616" t="s">
        <v>2036</v>
      </c>
      <c r="T616">
        <v>202202</v>
      </c>
      <c r="U616" t="s">
        <v>190</v>
      </c>
      <c r="V616">
        <v>1030176</v>
      </c>
    </row>
    <row r="617" spans="1:22">
      <c r="A617">
        <v>5352</v>
      </c>
      <c r="B617" t="s">
        <v>2625</v>
      </c>
      <c r="C617">
        <v>5697</v>
      </c>
      <c r="D617" t="s">
        <v>2344</v>
      </c>
      <c r="E617" t="s">
        <v>2036</v>
      </c>
      <c r="F617">
        <v>202108</v>
      </c>
      <c r="G617" t="s">
        <v>2167</v>
      </c>
      <c r="H617">
        <v>23.94</v>
      </c>
      <c r="O617">
        <v>5352</v>
      </c>
      <c r="P617" t="s">
        <v>2625</v>
      </c>
      <c r="Q617">
        <v>5697</v>
      </c>
      <c r="R617" t="s">
        <v>2344</v>
      </c>
      <c r="S617" t="s">
        <v>2036</v>
      </c>
      <c r="T617">
        <v>202202</v>
      </c>
      <c r="U617" t="s">
        <v>191</v>
      </c>
      <c r="V617">
        <v>136168</v>
      </c>
    </row>
    <row r="618" spans="1:22">
      <c r="A618">
        <v>5352</v>
      </c>
      <c r="B618" t="s">
        <v>2625</v>
      </c>
      <c r="C618">
        <v>5697</v>
      </c>
      <c r="D618" t="s">
        <v>2344</v>
      </c>
      <c r="E618" t="s">
        <v>2036</v>
      </c>
      <c r="F618">
        <v>202108</v>
      </c>
      <c r="G618" t="s">
        <v>2168</v>
      </c>
      <c r="H618">
        <v>10.17</v>
      </c>
      <c r="O618">
        <v>5352</v>
      </c>
      <c r="P618" t="s">
        <v>2625</v>
      </c>
      <c r="Q618">
        <v>5697</v>
      </c>
      <c r="R618" t="s">
        <v>2344</v>
      </c>
      <c r="S618" t="s">
        <v>2036</v>
      </c>
      <c r="T618">
        <v>202202</v>
      </c>
      <c r="U618" t="s">
        <v>178</v>
      </c>
      <c r="V618">
        <v>2751</v>
      </c>
    </row>
    <row r="619" spans="1:22">
      <c r="A619">
        <v>5352</v>
      </c>
      <c r="B619" t="s">
        <v>2625</v>
      </c>
      <c r="C619">
        <v>5697</v>
      </c>
      <c r="D619" t="s">
        <v>2344</v>
      </c>
      <c r="E619" t="s">
        <v>2036</v>
      </c>
      <c r="F619">
        <v>202108</v>
      </c>
      <c r="G619" t="s">
        <v>2171</v>
      </c>
      <c r="H619">
        <v>39200.410000000003</v>
      </c>
      <c r="O619">
        <v>5352</v>
      </c>
      <c r="P619" t="s">
        <v>2625</v>
      </c>
      <c r="Q619">
        <v>5697</v>
      </c>
      <c r="R619" t="s">
        <v>2344</v>
      </c>
      <c r="S619" t="s">
        <v>2036</v>
      </c>
      <c r="T619">
        <v>202202</v>
      </c>
      <c r="U619" t="s">
        <v>180</v>
      </c>
      <c r="V619">
        <v>2780</v>
      </c>
    </row>
    <row r="620" spans="1:22">
      <c r="A620">
        <v>5352</v>
      </c>
      <c r="B620" t="s">
        <v>2625</v>
      </c>
      <c r="C620">
        <v>5697</v>
      </c>
      <c r="D620" t="s">
        <v>2344</v>
      </c>
      <c r="E620" t="s">
        <v>2036</v>
      </c>
      <c r="F620">
        <v>202108</v>
      </c>
      <c r="G620" t="s">
        <v>190</v>
      </c>
      <c r="H620">
        <v>28121</v>
      </c>
      <c r="O620">
        <v>5352</v>
      </c>
      <c r="P620" t="s">
        <v>2625</v>
      </c>
      <c r="Q620">
        <v>5697</v>
      </c>
      <c r="R620" t="s">
        <v>2344</v>
      </c>
      <c r="S620" t="s">
        <v>2036</v>
      </c>
      <c r="T620">
        <v>202202</v>
      </c>
      <c r="U620" t="s">
        <v>182</v>
      </c>
      <c r="V620">
        <v>1098504</v>
      </c>
    </row>
    <row r="621" spans="1:22">
      <c r="A621">
        <v>5352</v>
      </c>
      <c r="B621" t="s">
        <v>2625</v>
      </c>
      <c r="C621">
        <v>5697</v>
      </c>
      <c r="D621" t="s">
        <v>2344</v>
      </c>
      <c r="E621" t="s">
        <v>2036</v>
      </c>
      <c r="F621">
        <v>202108</v>
      </c>
      <c r="G621" t="s">
        <v>191</v>
      </c>
      <c r="H621">
        <v>4680</v>
      </c>
      <c r="O621">
        <v>5352</v>
      </c>
      <c r="P621" t="s">
        <v>2625</v>
      </c>
      <c r="Q621">
        <v>5697</v>
      </c>
      <c r="R621" t="s">
        <v>2344</v>
      </c>
      <c r="S621" t="s">
        <v>2036</v>
      </c>
      <c r="T621">
        <v>202202</v>
      </c>
      <c r="U621" t="s">
        <v>184</v>
      </c>
      <c r="V621">
        <v>136168</v>
      </c>
    </row>
    <row r="622" spans="1:22">
      <c r="A622">
        <v>5352</v>
      </c>
      <c r="B622" t="s">
        <v>2625</v>
      </c>
      <c r="C622">
        <v>5697</v>
      </c>
      <c r="D622" t="s">
        <v>2344</v>
      </c>
      <c r="E622" t="s">
        <v>2036</v>
      </c>
      <c r="F622">
        <v>202108</v>
      </c>
      <c r="G622" t="s">
        <v>176</v>
      </c>
      <c r="H622">
        <v>0</v>
      </c>
      <c r="O622">
        <v>5352</v>
      </c>
      <c r="P622" t="s">
        <v>2625</v>
      </c>
      <c r="Q622">
        <v>5697</v>
      </c>
      <c r="R622" t="s">
        <v>2344</v>
      </c>
      <c r="S622" t="s">
        <v>2036</v>
      </c>
      <c r="T622">
        <v>202202</v>
      </c>
      <c r="U622" t="s">
        <v>186</v>
      </c>
      <c r="V622">
        <v>68328</v>
      </c>
    </row>
    <row r="623" spans="1:22">
      <c r="A623">
        <v>5352</v>
      </c>
      <c r="B623" t="s">
        <v>2625</v>
      </c>
      <c r="C623">
        <v>5697</v>
      </c>
      <c r="D623" t="s">
        <v>2344</v>
      </c>
      <c r="E623" t="s">
        <v>2036</v>
      </c>
      <c r="F623">
        <v>202108</v>
      </c>
      <c r="G623" t="s">
        <v>178</v>
      </c>
      <c r="H623">
        <v>115</v>
      </c>
      <c r="O623">
        <v>5352</v>
      </c>
      <c r="P623" t="s">
        <v>2625</v>
      </c>
      <c r="Q623">
        <v>5697</v>
      </c>
      <c r="R623" t="s">
        <v>2344</v>
      </c>
      <c r="S623" t="s">
        <v>2036</v>
      </c>
      <c r="T623">
        <v>202202</v>
      </c>
      <c r="U623" t="s">
        <v>190</v>
      </c>
      <c r="V623">
        <v>691765</v>
      </c>
    </row>
    <row r="624" spans="1:22">
      <c r="A624">
        <v>5352</v>
      </c>
      <c r="B624" t="s">
        <v>2625</v>
      </c>
      <c r="C624">
        <v>5697</v>
      </c>
      <c r="D624" t="s">
        <v>2344</v>
      </c>
      <c r="E624" t="s">
        <v>2036</v>
      </c>
      <c r="F624">
        <v>202108</v>
      </c>
      <c r="G624" t="s">
        <v>180</v>
      </c>
      <c r="H624">
        <v>108</v>
      </c>
      <c r="O624">
        <v>5352</v>
      </c>
      <c r="P624" t="s">
        <v>2625</v>
      </c>
      <c r="Q624">
        <v>5697</v>
      </c>
      <c r="R624" t="s">
        <v>2344</v>
      </c>
      <c r="S624" t="s">
        <v>2036</v>
      </c>
      <c r="T624">
        <v>202202</v>
      </c>
      <c r="U624" t="s">
        <v>191</v>
      </c>
      <c r="V624">
        <v>86123</v>
      </c>
    </row>
    <row r="625" spans="1:22">
      <c r="A625">
        <v>5352</v>
      </c>
      <c r="B625" t="s">
        <v>2625</v>
      </c>
      <c r="C625">
        <v>5697</v>
      </c>
      <c r="D625" t="s">
        <v>2344</v>
      </c>
      <c r="E625" t="s">
        <v>2036</v>
      </c>
      <c r="F625">
        <v>202108</v>
      </c>
      <c r="G625" t="s">
        <v>182</v>
      </c>
      <c r="H625">
        <v>28121</v>
      </c>
      <c r="O625">
        <v>5352</v>
      </c>
      <c r="P625" t="s">
        <v>2625</v>
      </c>
      <c r="Q625">
        <v>5697</v>
      </c>
      <c r="R625" t="s">
        <v>2344</v>
      </c>
      <c r="S625" t="s">
        <v>2036</v>
      </c>
      <c r="T625">
        <v>202202</v>
      </c>
      <c r="U625" t="s">
        <v>178</v>
      </c>
      <c r="V625">
        <v>1801</v>
      </c>
    </row>
    <row r="626" spans="1:22">
      <c r="A626">
        <v>5352</v>
      </c>
      <c r="B626" t="s">
        <v>2625</v>
      </c>
      <c r="C626">
        <v>5697</v>
      </c>
      <c r="D626" t="s">
        <v>2344</v>
      </c>
      <c r="E626" t="s">
        <v>2036</v>
      </c>
      <c r="F626">
        <v>202108</v>
      </c>
      <c r="G626" t="s">
        <v>184</v>
      </c>
      <c r="H626">
        <v>4680</v>
      </c>
      <c r="O626">
        <v>5352</v>
      </c>
      <c r="P626" t="s">
        <v>2625</v>
      </c>
      <c r="Q626">
        <v>5697</v>
      </c>
      <c r="R626" t="s">
        <v>2344</v>
      </c>
      <c r="S626" t="s">
        <v>2036</v>
      </c>
      <c r="T626">
        <v>202202</v>
      </c>
      <c r="U626" t="s">
        <v>180</v>
      </c>
      <c r="V626">
        <v>1814</v>
      </c>
    </row>
    <row r="627" spans="1:22">
      <c r="A627">
        <v>5352</v>
      </c>
      <c r="B627" t="s">
        <v>2625</v>
      </c>
      <c r="C627">
        <v>5697</v>
      </c>
      <c r="D627" t="s">
        <v>2344</v>
      </c>
      <c r="E627" t="s">
        <v>2036</v>
      </c>
      <c r="F627">
        <v>202108</v>
      </c>
      <c r="G627" t="s">
        <v>192</v>
      </c>
      <c r="H627">
        <v>0</v>
      </c>
      <c r="O627">
        <v>5352</v>
      </c>
      <c r="P627" t="s">
        <v>2625</v>
      </c>
      <c r="Q627">
        <v>5697</v>
      </c>
      <c r="R627" t="s">
        <v>2344</v>
      </c>
      <c r="S627" t="s">
        <v>2036</v>
      </c>
      <c r="T627">
        <v>202202</v>
      </c>
      <c r="U627" t="s">
        <v>182</v>
      </c>
      <c r="V627">
        <v>691765</v>
      </c>
    </row>
    <row r="628" spans="1:22">
      <c r="A628">
        <v>5352</v>
      </c>
      <c r="B628" t="s">
        <v>2625</v>
      </c>
      <c r="C628">
        <v>5697</v>
      </c>
      <c r="D628" t="s">
        <v>2344</v>
      </c>
      <c r="E628" t="s">
        <v>2036</v>
      </c>
      <c r="F628">
        <v>202108</v>
      </c>
      <c r="G628" t="s">
        <v>2170</v>
      </c>
      <c r="H628">
        <v>18.55</v>
      </c>
      <c r="O628">
        <v>5352</v>
      </c>
      <c r="P628" t="s">
        <v>2625</v>
      </c>
      <c r="Q628">
        <v>5697</v>
      </c>
      <c r="R628" t="s">
        <v>2344</v>
      </c>
      <c r="S628" t="s">
        <v>2036</v>
      </c>
      <c r="T628">
        <v>202202</v>
      </c>
      <c r="U628" t="s">
        <v>184</v>
      </c>
      <c r="V628">
        <v>86123</v>
      </c>
    </row>
    <row r="629" spans="1:22">
      <c r="A629">
        <v>5352</v>
      </c>
      <c r="B629" t="s">
        <v>2625</v>
      </c>
      <c r="C629">
        <v>5697</v>
      </c>
      <c r="D629" t="s">
        <v>2344</v>
      </c>
      <c r="E629" t="s">
        <v>2036</v>
      </c>
      <c r="F629">
        <v>202108</v>
      </c>
      <c r="G629" t="s">
        <v>186</v>
      </c>
      <c r="H629">
        <v>0</v>
      </c>
      <c r="O629">
        <v>5352</v>
      </c>
      <c r="P629" t="s">
        <v>2625</v>
      </c>
      <c r="Q629">
        <v>5697</v>
      </c>
      <c r="R629" t="s">
        <v>2344</v>
      </c>
      <c r="S629" t="s">
        <v>2036</v>
      </c>
      <c r="T629">
        <v>202202</v>
      </c>
      <c r="U629" t="s">
        <v>186</v>
      </c>
      <c r="V629">
        <v>0</v>
      </c>
    </row>
    <row r="630" spans="1:22">
      <c r="A630">
        <v>5352</v>
      </c>
      <c r="B630" t="s">
        <v>2625</v>
      </c>
      <c r="C630">
        <v>5697</v>
      </c>
      <c r="D630" t="s">
        <v>2344</v>
      </c>
      <c r="E630" t="s">
        <v>2036</v>
      </c>
      <c r="F630">
        <v>202108</v>
      </c>
      <c r="G630" t="s">
        <v>2169</v>
      </c>
      <c r="H630">
        <v>99.17</v>
      </c>
      <c r="O630">
        <v>5352</v>
      </c>
      <c r="P630" t="s">
        <v>2625</v>
      </c>
      <c r="Q630">
        <v>5697</v>
      </c>
      <c r="R630" t="s">
        <v>2344</v>
      </c>
      <c r="S630" t="s">
        <v>2036</v>
      </c>
      <c r="T630">
        <v>202202</v>
      </c>
      <c r="U630" t="s">
        <v>190</v>
      </c>
      <c r="V630">
        <v>150899</v>
      </c>
    </row>
    <row r="631" spans="1:22">
      <c r="A631">
        <v>5352</v>
      </c>
      <c r="B631" t="s">
        <v>2625</v>
      </c>
      <c r="C631">
        <v>5697</v>
      </c>
      <c r="D631" t="s">
        <v>2344</v>
      </c>
      <c r="E631" t="s">
        <v>2036</v>
      </c>
      <c r="F631">
        <v>202108</v>
      </c>
      <c r="G631" t="s">
        <v>2166</v>
      </c>
      <c r="H631">
        <v>12.33</v>
      </c>
      <c r="O631">
        <v>5352</v>
      </c>
      <c r="P631" t="s">
        <v>2625</v>
      </c>
      <c r="Q631">
        <v>5697</v>
      </c>
      <c r="R631" t="s">
        <v>2344</v>
      </c>
      <c r="S631" t="s">
        <v>2036</v>
      </c>
      <c r="T631">
        <v>202202</v>
      </c>
      <c r="U631" t="s">
        <v>191</v>
      </c>
      <c r="V631">
        <v>18471</v>
      </c>
    </row>
    <row r="632" spans="1:22">
      <c r="A632">
        <v>5352</v>
      </c>
      <c r="B632" t="s">
        <v>2625</v>
      </c>
      <c r="C632">
        <v>5697</v>
      </c>
      <c r="D632" t="s">
        <v>2344</v>
      </c>
      <c r="E632" t="s">
        <v>2036</v>
      </c>
      <c r="F632">
        <v>202108</v>
      </c>
      <c r="G632" t="s">
        <v>2167</v>
      </c>
      <c r="H632">
        <v>23.94</v>
      </c>
      <c r="O632">
        <v>5352</v>
      </c>
      <c r="P632" t="s">
        <v>2625</v>
      </c>
      <c r="Q632">
        <v>5697</v>
      </c>
      <c r="R632" t="s">
        <v>2344</v>
      </c>
      <c r="S632" t="s">
        <v>2036</v>
      </c>
      <c r="T632">
        <v>202202</v>
      </c>
      <c r="U632" t="s">
        <v>178</v>
      </c>
      <c r="V632">
        <v>504.84</v>
      </c>
    </row>
    <row r="633" spans="1:22">
      <c r="A633">
        <v>5352</v>
      </c>
      <c r="B633" t="s">
        <v>2625</v>
      </c>
      <c r="C633">
        <v>5697</v>
      </c>
      <c r="D633" t="s">
        <v>2344</v>
      </c>
      <c r="E633" t="s">
        <v>2036</v>
      </c>
      <c r="F633">
        <v>202108</v>
      </c>
      <c r="G633" t="s">
        <v>2168</v>
      </c>
      <c r="H633">
        <v>10.17</v>
      </c>
      <c r="O633">
        <v>5352</v>
      </c>
      <c r="P633" t="s">
        <v>2625</v>
      </c>
      <c r="Q633">
        <v>5697</v>
      </c>
      <c r="R633" t="s">
        <v>2344</v>
      </c>
      <c r="S633" t="s">
        <v>2036</v>
      </c>
      <c r="T633">
        <v>202202</v>
      </c>
      <c r="U633" t="s">
        <v>180</v>
      </c>
      <c r="V633">
        <v>443.52</v>
      </c>
    </row>
    <row r="634" spans="1:22">
      <c r="A634">
        <v>5352</v>
      </c>
      <c r="B634" t="s">
        <v>2625</v>
      </c>
      <c r="C634">
        <v>5697</v>
      </c>
      <c r="D634" t="s">
        <v>2344</v>
      </c>
      <c r="E634" t="s">
        <v>2036</v>
      </c>
      <c r="F634">
        <v>202108</v>
      </c>
      <c r="G634" t="s">
        <v>2171</v>
      </c>
      <c r="H634">
        <v>10302.89</v>
      </c>
      <c r="O634">
        <v>5352</v>
      </c>
      <c r="P634" t="s">
        <v>2625</v>
      </c>
      <c r="Q634">
        <v>5697</v>
      </c>
      <c r="R634" t="s">
        <v>2344</v>
      </c>
      <c r="S634" t="s">
        <v>2036</v>
      </c>
      <c r="T634">
        <v>202202</v>
      </c>
      <c r="U634" t="s">
        <v>182</v>
      </c>
      <c r="V634">
        <v>150899</v>
      </c>
    </row>
    <row r="635" spans="1:22">
      <c r="A635">
        <v>5352</v>
      </c>
      <c r="B635" t="s">
        <v>2625</v>
      </c>
      <c r="C635">
        <v>5697</v>
      </c>
      <c r="D635" t="s">
        <v>2344</v>
      </c>
      <c r="E635" t="s">
        <v>2036</v>
      </c>
      <c r="F635">
        <v>202108</v>
      </c>
      <c r="G635" t="s">
        <v>190</v>
      </c>
      <c r="H635">
        <v>91145</v>
      </c>
      <c r="O635">
        <v>5352</v>
      </c>
      <c r="P635" t="s">
        <v>2625</v>
      </c>
      <c r="Q635">
        <v>5697</v>
      </c>
      <c r="R635" t="s">
        <v>2344</v>
      </c>
      <c r="S635" t="s">
        <v>2036</v>
      </c>
      <c r="T635">
        <v>202202</v>
      </c>
      <c r="U635" t="s">
        <v>184</v>
      </c>
      <c r="V635">
        <v>18471</v>
      </c>
    </row>
    <row r="636" spans="1:22">
      <c r="A636">
        <v>5352</v>
      </c>
      <c r="B636" t="s">
        <v>2625</v>
      </c>
      <c r="C636">
        <v>5697</v>
      </c>
      <c r="D636" t="s">
        <v>2344</v>
      </c>
      <c r="E636" t="s">
        <v>2036</v>
      </c>
      <c r="F636">
        <v>202108</v>
      </c>
      <c r="G636" t="s">
        <v>191</v>
      </c>
      <c r="H636">
        <v>13529</v>
      </c>
      <c r="O636">
        <v>5352</v>
      </c>
      <c r="P636" t="s">
        <v>2625</v>
      </c>
      <c r="Q636">
        <v>5697</v>
      </c>
      <c r="R636" t="s">
        <v>2344</v>
      </c>
      <c r="S636" t="s">
        <v>2036</v>
      </c>
      <c r="T636">
        <v>202202</v>
      </c>
      <c r="U636" t="s">
        <v>186</v>
      </c>
      <c r="V636">
        <v>0</v>
      </c>
    </row>
    <row r="637" spans="1:22">
      <c r="A637">
        <v>5352</v>
      </c>
      <c r="B637" t="s">
        <v>2625</v>
      </c>
      <c r="C637">
        <v>5697</v>
      </c>
      <c r="D637" t="s">
        <v>2344</v>
      </c>
      <c r="E637" t="s">
        <v>2036</v>
      </c>
      <c r="F637">
        <v>202108</v>
      </c>
      <c r="G637" t="s">
        <v>176</v>
      </c>
      <c r="H637">
        <v>0</v>
      </c>
      <c r="O637">
        <v>5352</v>
      </c>
      <c r="P637" t="s">
        <v>2625</v>
      </c>
      <c r="Q637">
        <v>5697</v>
      </c>
      <c r="R637" t="s">
        <v>2344</v>
      </c>
      <c r="S637" t="s">
        <v>2036</v>
      </c>
      <c r="T637">
        <v>202202</v>
      </c>
      <c r="U637" t="s">
        <v>190</v>
      </c>
      <c r="V637">
        <v>242892</v>
      </c>
    </row>
    <row r="638" spans="1:22">
      <c r="A638">
        <v>5352</v>
      </c>
      <c r="B638" t="s">
        <v>2625</v>
      </c>
      <c r="C638">
        <v>5697</v>
      </c>
      <c r="D638" t="s">
        <v>2344</v>
      </c>
      <c r="E638" t="s">
        <v>2036</v>
      </c>
      <c r="F638">
        <v>202108</v>
      </c>
      <c r="G638" t="s">
        <v>178</v>
      </c>
      <c r="H638">
        <v>320</v>
      </c>
      <c r="O638">
        <v>5352</v>
      </c>
      <c r="P638" t="s">
        <v>2625</v>
      </c>
      <c r="Q638">
        <v>5697</v>
      </c>
      <c r="R638" t="s">
        <v>2344</v>
      </c>
      <c r="S638" t="s">
        <v>2036</v>
      </c>
      <c r="T638">
        <v>202202</v>
      </c>
      <c r="U638" t="s">
        <v>191</v>
      </c>
      <c r="V638">
        <v>30874</v>
      </c>
    </row>
    <row r="639" spans="1:22">
      <c r="A639">
        <v>5352</v>
      </c>
      <c r="B639" t="s">
        <v>2625</v>
      </c>
      <c r="C639">
        <v>5697</v>
      </c>
      <c r="D639" t="s">
        <v>2344</v>
      </c>
      <c r="E639" t="s">
        <v>2036</v>
      </c>
      <c r="F639">
        <v>202108</v>
      </c>
      <c r="G639" t="s">
        <v>180</v>
      </c>
      <c r="H639">
        <v>320</v>
      </c>
      <c r="O639">
        <v>5352</v>
      </c>
      <c r="P639" t="s">
        <v>2625</v>
      </c>
      <c r="Q639">
        <v>5697</v>
      </c>
      <c r="R639" t="s">
        <v>2344</v>
      </c>
      <c r="S639" t="s">
        <v>2036</v>
      </c>
      <c r="T639">
        <v>202202</v>
      </c>
      <c r="U639" t="s">
        <v>178</v>
      </c>
      <c r="V639">
        <v>626</v>
      </c>
    </row>
    <row r="640" spans="1:22">
      <c r="A640">
        <v>5352</v>
      </c>
      <c r="B640" t="s">
        <v>2625</v>
      </c>
      <c r="C640">
        <v>5697</v>
      </c>
      <c r="D640" t="s">
        <v>2344</v>
      </c>
      <c r="E640" t="s">
        <v>2036</v>
      </c>
      <c r="F640">
        <v>202108</v>
      </c>
      <c r="G640" t="s">
        <v>182</v>
      </c>
      <c r="H640">
        <v>91145</v>
      </c>
      <c r="O640">
        <v>5352</v>
      </c>
      <c r="P640" t="s">
        <v>2625</v>
      </c>
      <c r="Q640">
        <v>5697</v>
      </c>
      <c r="R640" t="s">
        <v>2344</v>
      </c>
      <c r="S640" t="s">
        <v>2036</v>
      </c>
      <c r="T640">
        <v>202202</v>
      </c>
      <c r="U640" t="s">
        <v>180</v>
      </c>
      <c r="V640">
        <v>619</v>
      </c>
    </row>
    <row r="641" spans="1:22">
      <c r="A641">
        <v>5352</v>
      </c>
      <c r="B641" t="s">
        <v>2625</v>
      </c>
      <c r="C641">
        <v>5697</v>
      </c>
      <c r="D641" t="s">
        <v>2344</v>
      </c>
      <c r="E641" t="s">
        <v>2036</v>
      </c>
      <c r="F641">
        <v>202108</v>
      </c>
      <c r="G641" t="s">
        <v>184</v>
      </c>
      <c r="H641">
        <v>13529</v>
      </c>
      <c r="O641">
        <v>5352</v>
      </c>
      <c r="P641" t="s">
        <v>2625</v>
      </c>
      <c r="Q641">
        <v>5697</v>
      </c>
      <c r="R641" t="s">
        <v>2344</v>
      </c>
      <c r="S641" t="s">
        <v>2036</v>
      </c>
      <c r="T641">
        <v>202202</v>
      </c>
      <c r="U641" t="s">
        <v>182</v>
      </c>
      <c r="V641">
        <v>242892</v>
      </c>
    </row>
    <row r="642" spans="1:22">
      <c r="A642">
        <v>5352</v>
      </c>
      <c r="B642" t="s">
        <v>2625</v>
      </c>
      <c r="C642">
        <v>5697</v>
      </c>
      <c r="D642" t="s">
        <v>2344</v>
      </c>
      <c r="E642" t="s">
        <v>2036</v>
      </c>
      <c r="F642">
        <v>202108</v>
      </c>
      <c r="G642" t="s">
        <v>192</v>
      </c>
      <c r="H642">
        <v>0</v>
      </c>
      <c r="O642">
        <v>5352</v>
      </c>
      <c r="P642" t="s">
        <v>2625</v>
      </c>
      <c r="Q642">
        <v>5697</v>
      </c>
      <c r="R642" t="s">
        <v>2344</v>
      </c>
      <c r="S642" t="s">
        <v>2036</v>
      </c>
      <c r="T642">
        <v>202202</v>
      </c>
      <c r="U642" t="s">
        <v>184</v>
      </c>
      <c r="V642">
        <v>30874</v>
      </c>
    </row>
    <row r="643" spans="1:22">
      <c r="A643">
        <v>5352</v>
      </c>
      <c r="B643" t="s">
        <v>2625</v>
      </c>
      <c r="C643">
        <v>5697</v>
      </c>
      <c r="D643" t="s">
        <v>2344</v>
      </c>
      <c r="E643" t="s">
        <v>2036</v>
      </c>
      <c r="F643">
        <v>202108</v>
      </c>
      <c r="G643" t="s">
        <v>2170</v>
      </c>
      <c r="H643">
        <v>41.57</v>
      </c>
      <c r="O643">
        <v>5352</v>
      </c>
      <c r="P643" t="s">
        <v>2625</v>
      </c>
      <c r="Q643">
        <v>5697</v>
      </c>
      <c r="R643" t="s">
        <v>2344</v>
      </c>
      <c r="S643" t="s">
        <v>2036</v>
      </c>
      <c r="T643">
        <v>202202</v>
      </c>
      <c r="U643" t="s">
        <v>186</v>
      </c>
      <c r="V643">
        <v>0</v>
      </c>
    </row>
    <row r="644" spans="1:22">
      <c r="A644">
        <v>5352</v>
      </c>
      <c r="B644" t="s">
        <v>2625</v>
      </c>
      <c r="C644">
        <v>5697</v>
      </c>
      <c r="D644" t="s">
        <v>2344</v>
      </c>
      <c r="E644" t="s">
        <v>2036</v>
      </c>
      <c r="F644">
        <v>202108</v>
      </c>
      <c r="G644" t="s">
        <v>186</v>
      </c>
      <c r="H644">
        <v>0</v>
      </c>
      <c r="O644">
        <v>5352</v>
      </c>
      <c r="P644" t="s">
        <v>2625</v>
      </c>
      <c r="Q644">
        <v>5697</v>
      </c>
      <c r="R644" t="s">
        <v>2344</v>
      </c>
      <c r="S644" t="s">
        <v>2036</v>
      </c>
      <c r="T644">
        <v>202202</v>
      </c>
      <c r="U644" t="s">
        <v>190</v>
      </c>
      <c r="V644">
        <v>14412</v>
      </c>
    </row>
    <row r="645" spans="1:22">
      <c r="A645">
        <v>5352</v>
      </c>
      <c r="B645" t="s">
        <v>2625</v>
      </c>
      <c r="C645">
        <v>5697</v>
      </c>
      <c r="D645" t="s">
        <v>2344</v>
      </c>
      <c r="E645" t="s">
        <v>2036</v>
      </c>
      <c r="F645">
        <v>202108</v>
      </c>
      <c r="G645" t="s">
        <v>2169</v>
      </c>
      <c r="H645">
        <v>99.17</v>
      </c>
      <c r="O645">
        <v>5352</v>
      </c>
      <c r="P645" t="s">
        <v>2625</v>
      </c>
      <c r="Q645">
        <v>5697</v>
      </c>
      <c r="R645" t="s">
        <v>2344</v>
      </c>
      <c r="S645" t="s">
        <v>2036</v>
      </c>
      <c r="T645">
        <v>202202</v>
      </c>
      <c r="U645" t="s">
        <v>191</v>
      </c>
      <c r="V645">
        <v>1941</v>
      </c>
    </row>
    <row r="646" spans="1:22">
      <c r="A646">
        <v>5352</v>
      </c>
      <c r="B646" t="s">
        <v>2625</v>
      </c>
      <c r="C646">
        <v>5697</v>
      </c>
      <c r="D646" t="s">
        <v>2344</v>
      </c>
      <c r="E646" t="s">
        <v>2036</v>
      </c>
      <c r="F646">
        <v>202108</v>
      </c>
      <c r="G646" t="s">
        <v>2166</v>
      </c>
      <c r="H646">
        <v>12.33</v>
      </c>
      <c r="O646">
        <v>5352</v>
      </c>
      <c r="P646" t="s">
        <v>2625</v>
      </c>
      <c r="Q646">
        <v>5697</v>
      </c>
      <c r="R646" t="s">
        <v>2344</v>
      </c>
      <c r="S646" t="s">
        <v>2036</v>
      </c>
      <c r="T646">
        <v>202202</v>
      </c>
      <c r="U646" t="s">
        <v>178</v>
      </c>
      <c r="V646">
        <v>80</v>
      </c>
    </row>
    <row r="647" spans="1:22">
      <c r="A647">
        <v>5352</v>
      </c>
      <c r="B647" t="s">
        <v>2625</v>
      </c>
      <c r="C647">
        <v>5697</v>
      </c>
      <c r="D647" t="s">
        <v>2344</v>
      </c>
      <c r="E647" t="s">
        <v>2036</v>
      </c>
      <c r="F647">
        <v>202108</v>
      </c>
      <c r="G647" t="s">
        <v>2167</v>
      </c>
      <c r="H647">
        <v>23.94</v>
      </c>
      <c r="O647">
        <v>5352</v>
      </c>
      <c r="P647" t="s">
        <v>2625</v>
      </c>
      <c r="Q647">
        <v>5697</v>
      </c>
      <c r="R647" t="s">
        <v>2344</v>
      </c>
      <c r="S647" t="s">
        <v>2036</v>
      </c>
      <c r="T647">
        <v>202202</v>
      </c>
      <c r="U647" t="s">
        <v>180</v>
      </c>
      <c r="V647">
        <v>70</v>
      </c>
    </row>
    <row r="648" spans="1:22">
      <c r="A648">
        <v>5352</v>
      </c>
      <c r="B648" t="s">
        <v>2625</v>
      </c>
      <c r="C648">
        <v>5697</v>
      </c>
      <c r="D648" t="s">
        <v>2344</v>
      </c>
      <c r="E648" t="s">
        <v>2036</v>
      </c>
      <c r="F648">
        <v>202108</v>
      </c>
      <c r="G648" t="s">
        <v>2168</v>
      </c>
      <c r="H648">
        <v>10.17</v>
      </c>
      <c r="O648">
        <v>5352</v>
      </c>
      <c r="P648" t="s">
        <v>2625</v>
      </c>
      <c r="Q648">
        <v>5697</v>
      </c>
      <c r="R648" t="s">
        <v>2344</v>
      </c>
      <c r="S648" t="s">
        <v>2036</v>
      </c>
      <c r="T648">
        <v>202202</v>
      </c>
      <c r="U648" t="s">
        <v>182</v>
      </c>
      <c r="V648">
        <v>14412</v>
      </c>
    </row>
    <row r="649" spans="1:22">
      <c r="A649">
        <v>5352</v>
      </c>
      <c r="B649" t="s">
        <v>2625</v>
      </c>
      <c r="C649">
        <v>5697</v>
      </c>
      <c r="D649" t="s">
        <v>2344</v>
      </c>
      <c r="E649" t="s">
        <v>2036</v>
      </c>
      <c r="F649">
        <v>202108</v>
      </c>
      <c r="G649" t="s">
        <v>2171</v>
      </c>
      <c r="H649">
        <v>23093</v>
      </c>
      <c r="O649">
        <v>5352</v>
      </c>
      <c r="P649" t="s">
        <v>2625</v>
      </c>
      <c r="Q649">
        <v>5697</v>
      </c>
      <c r="R649" t="s">
        <v>2344</v>
      </c>
      <c r="S649" t="s">
        <v>2036</v>
      </c>
      <c r="T649">
        <v>202202</v>
      </c>
      <c r="U649" t="s">
        <v>184</v>
      </c>
      <c r="V649">
        <v>1941</v>
      </c>
    </row>
    <row r="650" spans="1:22">
      <c r="A650">
        <v>5352</v>
      </c>
      <c r="B650" t="s">
        <v>2625</v>
      </c>
      <c r="C650">
        <v>5697</v>
      </c>
      <c r="D650" t="s">
        <v>2344</v>
      </c>
      <c r="E650" t="s">
        <v>2036</v>
      </c>
      <c r="F650">
        <v>202108</v>
      </c>
      <c r="G650" t="s">
        <v>190</v>
      </c>
      <c r="H650">
        <v>181854</v>
      </c>
      <c r="O650">
        <v>5352</v>
      </c>
      <c r="P650" t="s">
        <v>2625</v>
      </c>
      <c r="Q650">
        <v>5697</v>
      </c>
      <c r="R650" t="s">
        <v>2344</v>
      </c>
      <c r="S650" t="s">
        <v>2036</v>
      </c>
      <c r="T650">
        <v>202202</v>
      </c>
      <c r="U650" t="s">
        <v>186</v>
      </c>
      <c r="V650">
        <v>0</v>
      </c>
    </row>
    <row r="651" spans="1:22">
      <c r="A651">
        <v>5352</v>
      </c>
      <c r="B651" t="s">
        <v>2625</v>
      </c>
      <c r="C651">
        <v>5697</v>
      </c>
      <c r="D651" t="s">
        <v>2344</v>
      </c>
      <c r="E651" t="s">
        <v>2036</v>
      </c>
      <c r="F651">
        <v>202108</v>
      </c>
      <c r="G651" t="s">
        <v>191</v>
      </c>
      <c r="H651">
        <v>26730</v>
      </c>
      <c r="O651">
        <v>5352</v>
      </c>
      <c r="P651" t="s">
        <v>2625</v>
      </c>
      <c r="Q651">
        <v>5697</v>
      </c>
      <c r="R651" t="s">
        <v>2344</v>
      </c>
      <c r="S651" t="s">
        <v>2036</v>
      </c>
      <c r="T651">
        <v>202202</v>
      </c>
      <c r="U651" t="s">
        <v>190</v>
      </c>
      <c r="V651">
        <v>212346</v>
      </c>
    </row>
    <row r="652" spans="1:22">
      <c r="A652">
        <v>5352</v>
      </c>
      <c r="B652" t="s">
        <v>2625</v>
      </c>
      <c r="C652">
        <v>5697</v>
      </c>
      <c r="D652" t="s">
        <v>2344</v>
      </c>
      <c r="E652" t="s">
        <v>2036</v>
      </c>
      <c r="F652">
        <v>202108</v>
      </c>
      <c r="G652" t="s">
        <v>176</v>
      </c>
      <c r="H652">
        <v>0</v>
      </c>
      <c r="O652">
        <v>5352</v>
      </c>
      <c r="P652" t="s">
        <v>2625</v>
      </c>
      <c r="Q652">
        <v>5697</v>
      </c>
      <c r="R652" t="s">
        <v>2344</v>
      </c>
      <c r="S652" t="s">
        <v>2036</v>
      </c>
      <c r="T652">
        <v>202202</v>
      </c>
      <c r="U652" t="s">
        <v>191</v>
      </c>
      <c r="V652">
        <v>26325</v>
      </c>
    </row>
    <row r="653" spans="1:22">
      <c r="A653">
        <v>5352</v>
      </c>
      <c r="B653" t="s">
        <v>2625</v>
      </c>
      <c r="C653">
        <v>5697</v>
      </c>
      <c r="D653" t="s">
        <v>2344</v>
      </c>
      <c r="E653" t="s">
        <v>2036</v>
      </c>
      <c r="F653">
        <v>202108</v>
      </c>
      <c r="G653" t="s">
        <v>178</v>
      </c>
      <c r="H653">
        <v>600</v>
      </c>
      <c r="O653">
        <v>5352</v>
      </c>
      <c r="P653" t="s">
        <v>2625</v>
      </c>
      <c r="Q653">
        <v>5697</v>
      </c>
      <c r="R653" t="s">
        <v>2344</v>
      </c>
      <c r="S653" t="s">
        <v>2036</v>
      </c>
      <c r="T653">
        <v>202202</v>
      </c>
      <c r="U653" t="s">
        <v>178</v>
      </c>
      <c r="V653">
        <v>580</v>
      </c>
    </row>
    <row r="654" spans="1:22">
      <c r="A654">
        <v>5352</v>
      </c>
      <c r="B654" t="s">
        <v>2625</v>
      </c>
      <c r="C654">
        <v>5697</v>
      </c>
      <c r="D654" t="s">
        <v>2344</v>
      </c>
      <c r="E654" t="s">
        <v>2036</v>
      </c>
      <c r="F654">
        <v>202108</v>
      </c>
      <c r="G654" t="s">
        <v>180</v>
      </c>
      <c r="H654">
        <v>600</v>
      </c>
      <c r="O654">
        <v>5352</v>
      </c>
      <c r="P654" t="s">
        <v>2625</v>
      </c>
      <c r="Q654">
        <v>5697</v>
      </c>
      <c r="R654" t="s">
        <v>2344</v>
      </c>
      <c r="S654" t="s">
        <v>2036</v>
      </c>
      <c r="T654">
        <v>202202</v>
      </c>
      <c r="U654" t="s">
        <v>180</v>
      </c>
      <c r="V654">
        <v>580</v>
      </c>
    </row>
    <row r="655" spans="1:22">
      <c r="A655">
        <v>5352</v>
      </c>
      <c r="B655" t="s">
        <v>2625</v>
      </c>
      <c r="C655">
        <v>5697</v>
      </c>
      <c r="D655" t="s">
        <v>2344</v>
      </c>
      <c r="E655" t="s">
        <v>2036</v>
      </c>
      <c r="F655">
        <v>202108</v>
      </c>
      <c r="G655" t="s">
        <v>182</v>
      </c>
      <c r="H655">
        <v>181854</v>
      </c>
      <c r="O655">
        <v>5352</v>
      </c>
      <c r="P655" t="s">
        <v>2625</v>
      </c>
      <c r="Q655">
        <v>5697</v>
      </c>
      <c r="R655" t="s">
        <v>2344</v>
      </c>
      <c r="S655" t="s">
        <v>2036</v>
      </c>
      <c r="T655">
        <v>202202</v>
      </c>
      <c r="U655" t="s">
        <v>182</v>
      </c>
      <c r="V655">
        <v>212346</v>
      </c>
    </row>
    <row r="656" spans="1:22">
      <c r="A656">
        <v>5352</v>
      </c>
      <c r="B656" t="s">
        <v>2625</v>
      </c>
      <c r="C656">
        <v>5697</v>
      </c>
      <c r="D656" t="s">
        <v>2344</v>
      </c>
      <c r="E656" t="s">
        <v>2036</v>
      </c>
      <c r="F656">
        <v>202108</v>
      </c>
      <c r="G656" t="s">
        <v>184</v>
      </c>
      <c r="H656">
        <v>26730</v>
      </c>
      <c r="O656">
        <v>5352</v>
      </c>
      <c r="P656" t="s">
        <v>2625</v>
      </c>
      <c r="Q656">
        <v>5697</v>
      </c>
      <c r="R656" t="s">
        <v>2344</v>
      </c>
      <c r="S656" t="s">
        <v>2036</v>
      </c>
      <c r="T656">
        <v>202202</v>
      </c>
      <c r="U656" t="s">
        <v>184</v>
      </c>
      <c r="V656">
        <v>26325</v>
      </c>
    </row>
    <row r="657" spans="1:22">
      <c r="A657">
        <v>5352</v>
      </c>
      <c r="B657" t="s">
        <v>2625</v>
      </c>
      <c r="C657">
        <v>5697</v>
      </c>
      <c r="D657" t="s">
        <v>2344</v>
      </c>
      <c r="E657" t="s">
        <v>2036</v>
      </c>
      <c r="F657">
        <v>202108</v>
      </c>
      <c r="G657" t="s">
        <v>192</v>
      </c>
      <c r="H657">
        <v>0</v>
      </c>
      <c r="O657">
        <v>5352</v>
      </c>
      <c r="P657" t="s">
        <v>2625</v>
      </c>
      <c r="Q657">
        <v>5697</v>
      </c>
      <c r="R657" t="s">
        <v>2344</v>
      </c>
      <c r="S657" t="s">
        <v>2036</v>
      </c>
      <c r="T657">
        <v>202202</v>
      </c>
      <c r="U657" t="s">
        <v>186</v>
      </c>
      <c r="V657">
        <v>0</v>
      </c>
    </row>
    <row r="658" spans="1:22">
      <c r="A658">
        <v>5352</v>
      </c>
      <c r="B658" t="s">
        <v>2625</v>
      </c>
      <c r="C658">
        <v>5697</v>
      </c>
      <c r="D658" t="s">
        <v>2344</v>
      </c>
      <c r="E658" t="s">
        <v>2036</v>
      </c>
      <c r="F658">
        <v>202108</v>
      </c>
      <c r="G658" t="s">
        <v>2170</v>
      </c>
      <c r="H658">
        <v>80.37</v>
      </c>
      <c r="O658">
        <v>5352</v>
      </c>
      <c r="P658" t="s">
        <v>2625</v>
      </c>
      <c r="Q658">
        <v>5697</v>
      </c>
      <c r="R658" t="s">
        <v>2344</v>
      </c>
      <c r="S658" t="s">
        <v>2036</v>
      </c>
      <c r="T658">
        <v>202202</v>
      </c>
      <c r="U658" t="s">
        <v>190</v>
      </c>
      <c r="V658">
        <v>289191</v>
      </c>
    </row>
    <row r="659" spans="1:22">
      <c r="A659">
        <v>5352</v>
      </c>
      <c r="B659" t="s">
        <v>2625</v>
      </c>
      <c r="C659">
        <v>5697</v>
      </c>
      <c r="D659" t="s">
        <v>2344</v>
      </c>
      <c r="E659" t="s">
        <v>2036</v>
      </c>
      <c r="F659">
        <v>202108</v>
      </c>
      <c r="G659" t="s">
        <v>186</v>
      </c>
      <c r="H659">
        <v>0</v>
      </c>
      <c r="O659">
        <v>5352</v>
      </c>
      <c r="P659" t="s">
        <v>2625</v>
      </c>
      <c r="Q659">
        <v>5697</v>
      </c>
      <c r="R659" t="s">
        <v>2344</v>
      </c>
      <c r="S659" t="s">
        <v>2036</v>
      </c>
      <c r="T659">
        <v>202202</v>
      </c>
      <c r="U659" t="s">
        <v>191</v>
      </c>
      <c r="V659">
        <v>34975</v>
      </c>
    </row>
    <row r="660" spans="1:22">
      <c r="A660">
        <v>5352</v>
      </c>
      <c r="B660" t="s">
        <v>2625</v>
      </c>
      <c r="C660">
        <v>5697</v>
      </c>
      <c r="D660" t="s">
        <v>2344</v>
      </c>
      <c r="E660" t="s">
        <v>2036</v>
      </c>
      <c r="F660">
        <v>202108</v>
      </c>
      <c r="G660" t="s">
        <v>2169</v>
      </c>
      <c r="H660">
        <v>99.17</v>
      </c>
      <c r="O660">
        <v>5352</v>
      </c>
      <c r="P660" t="s">
        <v>2625</v>
      </c>
      <c r="Q660">
        <v>5697</v>
      </c>
      <c r="R660" t="s">
        <v>2344</v>
      </c>
      <c r="S660" t="s">
        <v>2036</v>
      </c>
      <c r="T660">
        <v>202202</v>
      </c>
      <c r="U660" t="s">
        <v>178</v>
      </c>
      <c r="V660">
        <v>744</v>
      </c>
    </row>
    <row r="661" spans="1:22">
      <c r="A661">
        <v>5352</v>
      </c>
      <c r="B661" t="s">
        <v>2625</v>
      </c>
      <c r="C661">
        <v>5697</v>
      </c>
      <c r="D661" t="s">
        <v>2344</v>
      </c>
      <c r="E661" t="s">
        <v>2036</v>
      </c>
      <c r="F661">
        <v>202108</v>
      </c>
      <c r="G661" t="s">
        <v>2166</v>
      </c>
      <c r="H661">
        <v>12.33</v>
      </c>
      <c r="O661">
        <v>5352</v>
      </c>
      <c r="P661" t="s">
        <v>2625</v>
      </c>
      <c r="Q661">
        <v>5697</v>
      </c>
      <c r="R661" t="s">
        <v>2344</v>
      </c>
      <c r="S661" t="s">
        <v>2036</v>
      </c>
      <c r="T661">
        <v>202202</v>
      </c>
      <c r="U661" t="s">
        <v>180</v>
      </c>
      <c r="V661">
        <v>747</v>
      </c>
    </row>
    <row r="662" spans="1:22">
      <c r="A662">
        <v>5352</v>
      </c>
      <c r="B662" t="s">
        <v>2625</v>
      </c>
      <c r="C662">
        <v>5697</v>
      </c>
      <c r="D662" t="s">
        <v>2344</v>
      </c>
      <c r="E662" t="s">
        <v>2036</v>
      </c>
      <c r="F662">
        <v>202108</v>
      </c>
      <c r="G662" t="s">
        <v>2167</v>
      </c>
      <c r="H662">
        <v>23.94</v>
      </c>
      <c r="O662">
        <v>5352</v>
      </c>
      <c r="P662" t="s">
        <v>2625</v>
      </c>
      <c r="Q662">
        <v>5697</v>
      </c>
      <c r="R662" t="s">
        <v>2344</v>
      </c>
      <c r="S662" t="s">
        <v>2036</v>
      </c>
      <c r="T662">
        <v>202202</v>
      </c>
      <c r="U662" t="s">
        <v>182</v>
      </c>
      <c r="V662">
        <v>289191</v>
      </c>
    </row>
    <row r="663" spans="1:22">
      <c r="A663">
        <v>5352</v>
      </c>
      <c r="B663" t="s">
        <v>2625</v>
      </c>
      <c r="C663">
        <v>5697</v>
      </c>
      <c r="D663" t="s">
        <v>2344</v>
      </c>
      <c r="E663" t="s">
        <v>2036</v>
      </c>
      <c r="F663">
        <v>202108</v>
      </c>
      <c r="G663" t="s">
        <v>2168</v>
      </c>
      <c r="H663">
        <v>10.17</v>
      </c>
      <c r="O663">
        <v>5352</v>
      </c>
      <c r="P663" t="s">
        <v>2625</v>
      </c>
      <c r="Q663">
        <v>5697</v>
      </c>
      <c r="R663" t="s">
        <v>2344</v>
      </c>
      <c r="S663" t="s">
        <v>2036</v>
      </c>
      <c r="T663">
        <v>202202</v>
      </c>
      <c r="U663" t="s">
        <v>184</v>
      </c>
      <c r="V663">
        <v>34975</v>
      </c>
    </row>
    <row r="664" spans="1:22">
      <c r="A664">
        <v>5352</v>
      </c>
      <c r="B664" t="s">
        <v>2625</v>
      </c>
      <c r="C664">
        <v>5697</v>
      </c>
      <c r="D664" t="s">
        <v>2344</v>
      </c>
      <c r="E664" t="s">
        <v>2036</v>
      </c>
      <c r="F664">
        <v>202108</v>
      </c>
      <c r="G664" t="s">
        <v>2171</v>
      </c>
      <c r="H664">
        <v>44648.93</v>
      </c>
      <c r="O664">
        <v>5352</v>
      </c>
      <c r="P664" t="s">
        <v>2625</v>
      </c>
      <c r="Q664">
        <v>5697</v>
      </c>
      <c r="R664" t="s">
        <v>2344</v>
      </c>
      <c r="S664" t="s">
        <v>2036</v>
      </c>
      <c r="T664">
        <v>202202</v>
      </c>
      <c r="U664" t="s">
        <v>186</v>
      </c>
      <c r="V664">
        <v>0</v>
      </c>
    </row>
    <row r="665" spans="1:22">
      <c r="A665">
        <v>5352</v>
      </c>
      <c r="B665" t="s">
        <v>2625</v>
      </c>
      <c r="C665">
        <v>5697</v>
      </c>
      <c r="D665" t="s">
        <v>2344</v>
      </c>
      <c r="E665" t="s">
        <v>2036</v>
      </c>
      <c r="F665">
        <v>202108</v>
      </c>
      <c r="G665" t="s">
        <v>190</v>
      </c>
      <c r="H665">
        <v>473143</v>
      </c>
      <c r="O665">
        <v>5352</v>
      </c>
      <c r="P665" t="s">
        <v>2625</v>
      </c>
      <c r="Q665">
        <v>5697</v>
      </c>
      <c r="R665" t="s">
        <v>2344</v>
      </c>
      <c r="S665" t="s">
        <v>2036</v>
      </c>
      <c r="T665">
        <v>202202</v>
      </c>
      <c r="U665" t="s">
        <v>190</v>
      </c>
      <c r="V665">
        <v>123176</v>
      </c>
    </row>
    <row r="666" spans="1:22">
      <c r="A666">
        <v>5352</v>
      </c>
      <c r="B666" t="s">
        <v>2625</v>
      </c>
      <c r="C666">
        <v>5697</v>
      </c>
      <c r="D666" t="s">
        <v>2344</v>
      </c>
      <c r="E666" t="s">
        <v>2036</v>
      </c>
      <c r="F666">
        <v>202108</v>
      </c>
      <c r="G666" t="s">
        <v>191</v>
      </c>
      <c r="H666">
        <v>72234</v>
      </c>
      <c r="O666">
        <v>5352</v>
      </c>
      <c r="P666" t="s">
        <v>2625</v>
      </c>
      <c r="Q666">
        <v>5697</v>
      </c>
      <c r="R666" t="s">
        <v>2344</v>
      </c>
      <c r="S666" t="s">
        <v>2036</v>
      </c>
      <c r="T666">
        <v>202202</v>
      </c>
      <c r="U666" t="s">
        <v>191</v>
      </c>
      <c r="V666">
        <v>15986</v>
      </c>
    </row>
    <row r="667" spans="1:22">
      <c r="A667">
        <v>5352</v>
      </c>
      <c r="B667" t="s">
        <v>2625</v>
      </c>
      <c r="C667">
        <v>5697</v>
      </c>
      <c r="D667" t="s">
        <v>2344</v>
      </c>
      <c r="E667" t="s">
        <v>2036</v>
      </c>
      <c r="F667">
        <v>202108</v>
      </c>
      <c r="G667" t="s">
        <v>176</v>
      </c>
      <c r="H667">
        <v>0</v>
      </c>
      <c r="O667">
        <v>5352</v>
      </c>
      <c r="P667" t="s">
        <v>2625</v>
      </c>
      <c r="Q667">
        <v>5697</v>
      </c>
      <c r="R667" t="s">
        <v>2344</v>
      </c>
      <c r="S667" t="s">
        <v>2036</v>
      </c>
      <c r="T667">
        <v>202202</v>
      </c>
      <c r="U667" t="s">
        <v>178</v>
      </c>
      <c r="V667">
        <v>320</v>
      </c>
    </row>
    <row r="668" spans="1:22">
      <c r="A668">
        <v>5352</v>
      </c>
      <c r="B668" t="s">
        <v>2625</v>
      </c>
      <c r="C668">
        <v>5697</v>
      </c>
      <c r="D668" t="s">
        <v>2344</v>
      </c>
      <c r="E668" t="s">
        <v>2036</v>
      </c>
      <c r="F668">
        <v>202108</v>
      </c>
      <c r="G668" t="s">
        <v>178</v>
      </c>
      <c r="H668">
        <v>1332</v>
      </c>
      <c r="O668">
        <v>5352</v>
      </c>
      <c r="P668" t="s">
        <v>2625</v>
      </c>
      <c r="Q668">
        <v>5697</v>
      </c>
      <c r="R668" t="s">
        <v>2344</v>
      </c>
      <c r="S668" t="s">
        <v>2036</v>
      </c>
      <c r="T668">
        <v>202202</v>
      </c>
      <c r="U668" t="s">
        <v>180</v>
      </c>
      <c r="V668">
        <v>332</v>
      </c>
    </row>
    <row r="669" spans="1:22">
      <c r="A669">
        <v>5352</v>
      </c>
      <c r="B669" t="s">
        <v>2625</v>
      </c>
      <c r="C669">
        <v>5697</v>
      </c>
      <c r="D669" t="s">
        <v>2344</v>
      </c>
      <c r="E669" t="s">
        <v>2036</v>
      </c>
      <c r="F669">
        <v>202108</v>
      </c>
      <c r="G669" t="s">
        <v>180</v>
      </c>
      <c r="H669">
        <v>1317</v>
      </c>
      <c r="O669">
        <v>5352</v>
      </c>
      <c r="P669" t="s">
        <v>2625</v>
      </c>
      <c r="Q669">
        <v>5697</v>
      </c>
      <c r="R669" t="s">
        <v>2344</v>
      </c>
      <c r="S669" t="s">
        <v>2036</v>
      </c>
      <c r="T669">
        <v>202202</v>
      </c>
      <c r="U669" t="s">
        <v>182</v>
      </c>
      <c r="V669">
        <v>123176</v>
      </c>
    </row>
    <row r="670" spans="1:22">
      <c r="A670">
        <v>5352</v>
      </c>
      <c r="B670" t="s">
        <v>2625</v>
      </c>
      <c r="C670">
        <v>5697</v>
      </c>
      <c r="D670" t="s">
        <v>2344</v>
      </c>
      <c r="E670" t="s">
        <v>2036</v>
      </c>
      <c r="F670">
        <v>202108</v>
      </c>
      <c r="G670" t="s">
        <v>182</v>
      </c>
      <c r="H670">
        <v>473143</v>
      </c>
      <c r="O670">
        <v>5352</v>
      </c>
      <c r="P670" t="s">
        <v>2625</v>
      </c>
      <c r="Q670">
        <v>5697</v>
      </c>
      <c r="R670" t="s">
        <v>2344</v>
      </c>
      <c r="S670" t="s">
        <v>2036</v>
      </c>
      <c r="T670">
        <v>202202</v>
      </c>
      <c r="U670" t="s">
        <v>184</v>
      </c>
      <c r="V670">
        <v>15986</v>
      </c>
    </row>
    <row r="671" spans="1:22">
      <c r="A671">
        <v>5352</v>
      </c>
      <c r="B671" t="s">
        <v>2625</v>
      </c>
      <c r="C671">
        <v>5697</v>
      </c>
      <c r="D671" t="s">
        <v>2344</v>
      </c>
      <c r="E671" t="s">
        <v>2036</v>
      </c>
      <c r="F671">
        <v>202108</v>
      </c>
      <c r="G671" t="s">
        <v>184</v>
      </c>
      <c r="H671">
        <v>72234</v>
      </c>
      <c r="O671">
        <v>5352</v>
      </c>
      <c r="P671" t="s">
        <v>2625</v>
      </c>
      <c r="Q671">
        <v>5697</v>
      </c>
      <c r="R671" t="s">
        <v>2344</v>
      </c>
      <c r="S671" t="s">
        <v>2036</v>
      </c>
      <c r="T671">
        <v>202202</v>
      </c>
      <c r="U671" t="s">
        <v>186</v>
      </c>
      <c r="V671">
        <v>0</v>
      </c>
    </row>
    <row r="672" spans="1:22">
      <c r="A672">
        <v>5352</v>
      </c>
      <c r="B672" t="s">
        <v>2625</v>
      </c>
      <c r="C672">
        <v>5697</v>
      </c>
      <c r="D672" t="s">
        <v>2344</v>
      </c>
      <c r="E672" t="s">
        <v>2036</v>
      </c>
      <c r="F672">
        <v>202108</v>
      </c>
      <c r="G672" t="s">
        <v>192</v>
      </c>
      <c r="H672">
        <v>0</v>
      </c>
      <c r="O672">
        <v>5352</v>
      </c>
      <c r="P672" t="s">
        <v>2625</v>
      </c>
      <c r="Q672">
        <v>5697</v>
      </c>
      <c r="R672" t="s">
        <v>2344</v>
      </c>
      <c r="S672" t="s">
        <v>2036</v>
      </c>
      <c r="T672">
        <v>202202</v>
      </c>
      <c r="U672" t="s">
        <v>190</v>
      </c>
      <c r="V672">
        <v>143290</v>
      </c>
    </row>
    <row r="673" spans="1:22">
      <c r="A673">
        <v>5352</v>
      </c>
      <c r="B673" t="s">
        <v>2625</v>
      </c>
      <c r="C673">
        <v>5697</v>
      </c>
      <c r="D673" t="s">
        <v>2344</v>
      </c>
      <c r="E673" t="s">
        <v>2036</v>
      </c>
      <c r="F673">
        <v>202108</v>
      </c>
      <c r="G673" t="s">
        <v>2170</v>
      </c>
      <c r="H673">
        <v>199.88</v>
      </c>
      <c r="O673">
        <v>5352</v>
      </c>
      <c r="P673" t="s">
        <v>2625</v>
      </c>
      <c r="Q673">
        <v>5697</v>
      </c>
      <c r="R673" t="s">
        <v>2344</v>
      </c>
      <c r="S673" t="s">
        <v>2036</v>
      </c>
      <c r="T673">
        <v>202202</v>
      </c>
      <c r="U673" t="s">
        <v>191</v>
      </c>
      <c r="V673">
        <v>19314</v>
      </c>
    </row>
    <row r="674" spans="1:22">
      <c r="A674">
        <v>5352</v>
      </c>
      <c r="B674" t="s">
        <v>2625</v>
      </c>
      <c r="C674">
        <v>5697</v>
      </c>
      <c r="D674" t="s">
        <v>2344</v>
      </c>
      <c r="E674" t="s">
        <v>2036</v>
      </c>
      <c r="F674">
        <v>202108</v>
      </c>
      <c r="G674" t="s">
        <v>186</v>
      </c>
      <c r="H674">
        <v>0</v>
      </c>
      <c r="O674">
        <v>5352</v>
      </c>
      <c r="P674" t="s">
        <v>2625</v>
      </c>
      <c r="Q674">
        <v>5697</v>
      </c>
      <c r="R674" t="s">
        <v>2344</v>
      </c>
      <c r="S674" t="s">
        <v>2036</v>
      </c>
      <c r="T674">
        <v>202202</v>
      </c>
      <c r="U674" t="s">
        <v>178</v>
      </c>
      <c r="V674">
        <v>600</v>
      </c>
    </row>
    <row r="675" spans="1:22">
      <c r="A675">
        <v>5352</v>
      </c>
      <c r="B675" t="s">
        <v>2625</v>
      </c>
      <c r="C675">
        <v>5697</v>
      </c>
      <c r="D675" t="s">
        <v>2344</v>
      </c>
      <c r="E675" t="s">
        <v>2036</v>
      </c>
      <c r="F675">
        <v>202108</v>
      </c>
      <c r="G675" t="s">
        <v>2169</v>
      </c>
      <c r="H675">
        <v>99.17</v>
      </c>
      <c r="O675">
        <v>5352</v>
      </c>
      <c r="P675" t="s">
        <v>2625</v>
      </c>
      <c r="Q675">
        <v>5697</v>
      </c>
      <c r="R675" t="s">
        <v>2344</v>
      </c>
      <c r="S675" t="s">
        <v>2036</v>
      </c>
      <c r="T675">
        <v>202202</v>
      </c>
      <c r="U675" t="s">
        <v>180</v>
      </c>
      <c r="V675">
        <v>600</v>
      </c>
    </row>
    <row r="676" spans="1:22">
      <c r="A676">
        <v>5352</v>
      </c>
      <c r="B676" t="s">
        <v>2625</v>
      </c>
      <c r="C676">
        <v>5697</v>
      </c>
      <c r="D676" t="s">
        <v>2344</v>
      </c>
      <c r="E676" t="s">
        <v>2036</v>
      </c>
      <c r="F676">
        <v>202108</v>
      </c>
      <c r="G676" t="s">
        <v>2166</v>
      </c>
      <c r="H676">
        <v>12.33</v>
      </c>
      <c r="O676">
        <v>5352</v>
      </c>
      <c r="P676" t="s">
        <v>2625</v>
      </c>
      <c r="Q676">
        <v>5697</v>
      </c>
      <c r="R676" t="s">
        <v>2344</v>
      </c>
      <c r="S676" t="s">
        <v>2036</v>
      </c>
      <c r="T676">
        <v>202202</v>
      </c>
      <c r="U676" t="s">
        <v>182</v>
      </c>
      <c r="V676">
        <v>143290</v>
      </c>
    </row>
    <row r="677" spans="1:22">
      <c r="A677">
        <v>5352</v>
      </c>
      <c r="B677" t="s">
        <v>2625</v>
      </c>
      <c r="C677">
        <v>5697</v>
      </c>
      <c r="D677" t="s">
        <v>2344</v>
      </c>
      <c r="E677" t="s">
        <v>2036</v>
      </c>
      <c r="F677">
        <v>202108</v>
      </c>
      <c r="G677" t="s">
        <v>2167</v>
      </c>
      <c r="H677">
        <v>23.94</v>
      </c>
      <c r="O677">
        <v>5352</v>
      </c>
      <c r="P677" t="s">
        <v>2625</v>
      </c>
      <c r="Q677">
        <v>5697</v>
      </c>
      <c r="R677" t="s">
        <v>2344</v>
      </c>
      <c r="S677" t="s">
        <v>2036</v>
      </c>
      <c r="T677">
        <v>202202</v>
      </c>
      <c r="U677" t="s">
        <v>184</v>
      </c>
      <c r="V677">
        <v>19314</v>
      </c>
    </row>
    <row r="678" spans="1:22">
      <c r="A678">
        <v>5352</v>
      </c>
      <c r="B678" t="s">
        <v>2625</v>
      </c>
      <c r="C678">
        <v>5697</v>
      </c>
      <c r="D678" t="s">
        <v>2344</v>
      </c>
      <c r="E678" t="s">
        <v>2036</v>
      </c>
      <c r="F678">
        <v>202108</v>
      </c>
      <c r="G678" t="s">
        <v>2168</v>
      </c>
      <c r="H678">
        <v>10.17</v>
      </c>
      <c r="O678">
        <v>5352</v>
      </c>
      <c r="P678" t="s">
        <v>2625</v>
      </c>
      <c r="Q678">
        <v>5697</v>
      </c>
      <c r="R678" t="s">
        <v>2344</v>
      </c>
      <c r="S678" t="s">
        <v>2036</v>
      </c>
      <c r="T678">
        <v>202202</v>
      </c>
      <c r="U678" t="s">
        <v>186</v>
      </c>
      <c r="V678">
        <v>0</v>
      </c>
    </row>
    <row r="679" spans="1:22">
      <c r="A679">
        <v>5352</v>
      </c>
      <c r="B679" t="s">
        <v>2625</v>
      </c>
      <c r="C679">
        <v>5697</v>
      </c>
      <c r="D679" t="s">
        <v>2344</v>
      </c>
      <c r="E679" t="s">
        <v>2036</v>
      </c>
      <c r="F679">
        <v>202108</v>
      </c>
      <c r="G679" t="s">
        <v>2171</v>
      </c>
      <c r="H679">
        <v>92484.05</v>
      </c>
      <c r="O679">
        <v>5352</v>
      </c>
      <c r="P679" t="s">
        <v>2625</v>
      </c>
      <c r="Q679">
        <v>5697</v>
      </c>
      <c r="R679" t="s">
        <v>2344</v>
      </c>
      <c r="S679" t="s">
        <v>2036</v>
      </c>
      <c r="T679">
        <v>202202</v>
      </c>
      <c r="U679" t="s">
        <v>190</v>
      </c>
      <c r="V679">
        <v>165640</v>
      </c>
    </row>
    <row r="680" spans="1:22">
      <c r="A680">
        <v>5352</v>
      </c>
      <c r="B680" t="s">
        <v>2625</v>
      </c>
      <c r="C680">
        <v>5697</v>
      </c>
      <c r="D680" t="s">
        <v>2344</v>
      </c>
      <c r="E680" t="s">
        <v>2036</v>
      </c>
      <c r="F680">
        <v>202108</v>
      </c>
      <c r="G680" t="s">
        <v>190</v>
      </c>
      <c r="H680">
        <v>720332</v>
      </c>
      <c r="O680">
        <v>5352</v>
      </c>
      <c r="P680" t="s">
        <v>2625</v>
      </c>
      <c r="Q680">
        <v>5697</v>
      </c>
      <c r="R680" t="s">
        <v>2344</v>
      </c>
      <c r="S680" t="s">
        <v>2036</v>
      </c>
      <c r="T680">
        <v>202202</v>
      </c>
      <c r="U680" t="s">
        <v>191</v>
      </c>
      <c r="V680">
        <v>19477</v>
      </c>
    </row>
    <row r="681" spans="1:22">
      <c r="A681">
        <v>5352</v>
      </c>
      <c r="B681" t="s">
        <v>2625</v>
      </c>
      <c r="C681">
        <v>5697</v>
      </c>
      <c r="D681" t="s">
        <v>2344</v>
      </c>
      <c r="E681" t="s">
        <v>2036</v>
      </c>
      <c r="F681">
        <v>202108</v>
      </c>
      <c r="G681" t="s">
        <v>191</v>
      </c>
      <c r="H681">
        <v>121190</v>
      </c>
      <c r="O681">
        <v>5352</v>
      </c>
      <c r="P681" t="s">
        <v>2625</v>
      </c>
      <c r="Q681">
        <v>5697</v>
      </c>
      <c r="R681" t="s">
        <v>2344</v>
      </c>
      <c r="S681" t="s">
        <v>2036</v>
      </c>
      <c r="T681">
        <v>202202</v>
      </c>
      <c r="U681" t="s">
        <v>178</v>
      </c>
      <c r="V681">
        <v>450</v>
      </c>
    </row>
    <row r="682" spans="1:22">
      <c r="A682">
        <v>5352</v>
      </c>
      <c r="B682" t="s">
        <v>2625</v>
      </c>
      <c r="C682">
        <v>5697</v>
      </c>
      <c r="D682" t="s">
        <v>2344</v>
      </c>
      <c r="E682" t="s">
        <v>2036</v>
      </c>
      <c r="F682">
        <v>202108</v>
      </c>
      <c r="G682" t="s">
        <v>176</v>
      </c>
      <c r="H682">
        <v>-27070.09</v>
      </c>
      <c r="O682">
        <v>5352</v>
      </c>
      <c r="P682" t="s">
        <v>2625</v>
      </c>
      <c r="Q682">
        <v>5697</v>
      </c>
      <c r="R682" t="s">
        <v>2344</v>
      </c>
      <c r="S682" t="s">
        <v>2036</v>
      </c>
      <c r="T682">
        <v>202202</v>
      </c>
      <c r="U682" t="s">
        <v>180</v>
      </c>
      <c r="V682">
        <v>450</v>
      </c>
    </row>
    <row r="683" spans="1:22">
      <c r="A683">
        <v>5352</v>
      </c>
      <c r="B683" t="s">
        <v>2625</v>
      </c>
      <c r="C683">
        <v>5697</v>
      </c>
      <c r="D683" t="s">
        <v>2344</v>
      </c>
      <c r="E683" t="s">
        <v>2036</v>
      </c>
      <c r="F683">
        <v>202108</v>
      </c>
      <c r="G683" t="s">
        <v>178</v>
      </c>
      <c r="H683">
        <v>2400</v>
      </c>
      <c r="O683">
        <v>5352</v>
      </c>
      <c r="P683" t="s">
        <v>2625</v>
      </c>
      <c r="Q683">
        <v>5697</v>
      </c>
      <c r="R683" t="s">
        <v>2344</v>
      </c>
      <c r="S683" t="s">
        <v>2036</v>
      </c>
      <c r="T683">
        <v>202202</v>
      </c>
      <c r="U683" t="s">
        <v>182</v>
      </c>
      <c r="V683">
        <v>165640</v>
      </c>
    </row>
    <row r="684" spans="1:22">
      <c r="A684">
        <v>5352</v>
      </c>
      <c r="B684" t="s">
        <v>2625</v>
      </c>
      <c r="C684">
        <v>5697</v>
      </c>
      <c r="D684" t="s">
        <v>2344</v>
      </c>
      <c r="E684" t="s">
        <v>2036</v>
      </c>
      <c r="F684">
        <v>202108</v>
      </c>
      <c r="G684" t="s">
        <v>180</v>
      </c>
      <c r="H684">
        <v>2400</v>
      </c>
      <c r="O684">
        <v>5352</v>
      </c>
      <c r="P684" t="s">
        <v>2625</v>
      </c>
      <c r="Q684">
        <v>5697</v>
      </c>
      <c r="R684" t="s">
        <v>2344</v>
      </c>
      <c r="S684" t="s">
        <v>2036</v>
      </c>
      <c r="T684">
        <v>202202</v>
      </c>
      <c r="U684" t="s">
        <v>184</v>
      </c>
      <c r="V684">
        <v>19477</v>
      </c>
    </row>
    <row r="685" spans="1:22">
      <c r="A685">
        <v>5352</v>
      </c>
      <c r="B685" t="s">
        <v>2625</v>
      </c>
      <c r="C685">
        <v>5697</v>
      </c>
      <c r="D685" t="s">
        <v>2344</v>
      </c>
      <c r="E685" t="s">
        <v>2036</v>
      </c>
      <c r="F685">
        <v>202108</v>
      </c>
      <c r="G685" t="s">
        <v>182</v>
      </c>
      <c r="H685">
        <v>802142</v>
      </c>
      <c r="O685">
        <v>5352</v>
      </c>
      <c r="P685" t="s">
        <v>2625</v>
      </c>
      <c r="Q685">
        <v>5697</v>
      </c>
      <c r="R685" t="s">
        <v>2344</v>
      </c>
      <c r="S685" t="s">
        <v>2036</v>
      </c>
      <c r="T685">
        <v>202202</v>
      </c>
      <c r="U685" t="s">
        <v>186</v>
      </c>
      <c r="V685">
        <v>0</v>
      </c>
    </row>
    <row r="686" spans="1:22">
      <c r="A686">
        <v>5352</v>
      </c>
      <c r="B686" t="s">
        <v>2625</v>
      </c>
      <c r="C686">
        <v>5697</v>
      </c>
      <c r="D686" t="s">
        <v>2344</v>
      </c>
      <c r="E686" t="s">
        <v>2036</v>
      </c>
      <c r="F686">
        <v>202108</v>
      </c>
      <c r="G686" t="s">
        <v>184</v>
      </c>
      <c r="H686">
        <v>121190</v>
      </c>
      <c r="O686">
        <v>5352</v>
      </c>
      <c r="P686" t="s">
        <v>2625</v>
      </c>
      <c r="Q686">
        <v>5697</v>
      </c>
      <c r="R686" t="s">
        <v>2344</v>
      </c>
      <c r="S686" t="s">
        <v>2036</v>
      </c>
      <c r="T686">
        <v>202202</v>
      </c>
      <c r="U686" t="s">
        <v>190</v>
      </c>
      <c r="V686">
        <v>308680</v>
      </c>
    </row>
    <row r="687" spans="1:22">
      <c r="A687">
        <v>5352</v>
      </c>
      <c r="B687" t="s">
        <v>2625</v>
      </c>
      <c r="C687">
        <v>5697</v>
      </c>
      <c r="D687" t="s">
        <v>2344</v>
      </c>
      <c r="E687" t="s">
        <v>2036</v>
      </c>
      <c r="F687">
        <v>202108</v>
      </c>
      <c r="G687" t="s">
        <v>192</v>
      </c>
      <c r="H687">
        <v>0</v>
      </c>
      <c r="O687">
        <v>5352</v>
      </c>
      <c r="P687" t="s">
        <v>2625</v>
      </c>
      <c r="Q687">
        <v>5697</v>
      </c>
      <c r="R687" t="s">
        <v>2344</v>
      </c>
      <c r="S687" t="s">
        <v>2036</v>
      </c>
      <c r="T687">
        <v>202202</v>
      </c>
      <c r="U687" t="s">
        <v>191</v>
      </c>
      <c r="V687">
        <v>36509</v>
      </c>
    </row>
    <row r="688" spans="1:22">
      <c r="A688">
        <v>5352</v>
      </c>
      <c r="B688" t="s">
        <v>2625</v>
      </c>
      <c r="C688">
        <v>5697</v>
      </c>
      <c r="D688" t="s">
        <v>2344</v>
      </c>
      <c r="E688" t="s">
        <v>2036</v>
      </c>
      <c r="F688">
        <v>202108</v>
      </c>
      <c r="G688" t="s">
        <v>2170</v>
      </c>
      <c r="H688">
        <v>324.39</v>
      </c>
      <c r="O688">
        <v>5352</v>
      </c>
      <c r="P688" t="s">
        <v>2625</v>
      </c>
      <c r="Q688">
        <v>5697</v>
      </c>
      <c r="R688" t="s">
        <v>2344</v>
      </c>
      <c r="S688" t="s">
        <v>2036</v>
      </c>
      <c r="T688">
        <v>202202</v>
      </c>
      <c r="U688" t="s">
        <v>178</v>
      </c>
      <c r="V688">
        <v>820</v>
      </c>
    </row>
    <row r="689" spans="1:22">
      <c r="A689">
        <v>5352</v>
      </c>
      <c r="B689" t="s">
        <v>2625</v>
      </c>
      <c r="C689">
        <v>5697</v>
      </c>
      <c r="D689" t="s">
        <v>2344</v>
      </c>
      <c r="E689" t="s">
        <v>2036</v>
      </c>
      <c r="F689">
        <v>202108</v>
      </c>
      <c r="G689" t="s">
        <v>186</v>
      </c>
      <c r="H689">
        <v>81810</v>
      </c>
      <c r="O689">
        <v>5352</v>
      </c>
      <c r="P689" t="s">
        <v>2625</v>
      </c>
      <c r="Q689">
        <v>5697</v>
      </c>
      <c r="R689" t="s">
        <v>2344</v>
      </c>
      <c r="S689" t="s">
        <v>2036</v>
      </c>
      <c r="T689">
        <v>202202</v>
      </c>
      <c r="U689" t="s">
        <v>180</v>
      </c>
      <c r="V689">
        <v>820</v>
      </c>
    </row>
    <row r="690" spans="1:22">
      <c r="A690">
        <v>5352</v>
      </c>
      <c r="B690" t="s">
        <v>2625</v>
      </c>
      <c r="C690">
        <v>5697</v>
      </c>
      <c r="D690" t="s">
        <v>2344</v>
      </c>
      <c r="E690" t="s">
        <v>2036</v>
      </c>
      <c r="F690">
        <v>202108</v>
      </c>
      <c r="G690" t="s">
        <v>2169</v>
      </c>
      <c r="H690">
        <v>99.17</v>
      </c>
      <c r="O690">
        <v>5352</v>
      </c>
      <c r="P690" t="s">
        <v>2625</v>
      </c>
      <c r="Q690">
        <v>5697</v>
      </c>
      <c r="R690" t="s">
        <v>2344</v>
      </c>
      <c r="S690" t="s">
        <v>2036</v>
      </c>
      <c r="T690">
        <v>202202</v>
      </c>
      <c r="U690" t="s">
        <v>182</v>
      </c>
      <c r="V690">
        <v>308680</v>
      </c>
    </row>
    <row r="691" spans="1:22">
      <c r="A691">
        <v>5352</v>
      </c>
      <c r="B691" t="s">
        <v>2625</v>
      </c>
      <c r="C691">
        <v>5697</v>
      </c>
      <c r="D691" t="s">
        <v>2344</v>
      </c>
      <c r="E691" t="s">
        <v>2036</v>
      </c>
      <c r="F691">
        <v>202108</v>
      </c>
      <c r="G691" t="s">
        <v>2166</v>
      </c>
      <c r="H691">
        <v>12.33</v>
      </c>
      <c r="O691">
        <v>5352</v>
      </c>
      <c r="P691" t="s">
        <v>2625</v>
      </c>
      <c r="Q691">
        <v>5697</v>
      </c>
      <c r="R691" t="s">
        <v>2344</v>
      </c>
      <c r="S691" t="s">
        <v>2036</v>
      </c>
      <c r="T691">
        <v>202202</v>
      </c>
      <c r="U691" t="s">
        <v>184</v>
      </c>
      <c r="V691">
        <v>36509</v>
      </c>
    </row>
    <row r="692" spans="1:22">
      <c r="A692">
        <v>5352</v>
      </c>
      <c r="B692" t="s">
        <v>2625</v>
      </c>
      <c r="C692">
        <v>5697</v>
      </c>
      <c r="D692" t="s">
        <v>2344</v>
      </c>
      <c r="E692" t="s">
        <v>2036</v>
      </c>
      <c r="F692">
        <v>202108</v>
      </c>
      <c r="G692" t="s">
        <v>2167</v>
      </c>
      <c r="H692">
        <v>23.94</v>
      </c>
      <c r="O692">
        <v>5352</v>
      </c>
      <c r="P692" t="s">
        <v>2625</v>
      </c>
      <c r="Q692">
        <v>5697</v>
      </c>
      <c r="R692" t="s">
        <v>2344</v>
      </c>
      <c r="S692" t="s">
        <v>2036</v>
      </c>
      <c r="T692">
        <v>202202</v>
      </c>
      <c r="U692" t="s">
        <v>186</v>
      </c>
      <c r="V692">
        <v>0</v>
      </c>
    </row>
    <row r="693" spans="1:22">
      <c r="A693">
        <v>5352</v>
      </c>
      <c r="B693" t="s">
        <v>2625</v>
      </c>
      <c r="C693">
        <v>5697</v>
      </c>
      <c r="D693" t="s">
        <v>2344</v>
      </c>
      <c r="E693" t="s">
        <v>2036</v>
      </c>
      <c r="F693">
        <v>202108</v>
      </c>
      <c r="G693" t="s">
        <v>2168</v>
      </c>
      <c r="H693">
        <v>10.17</v>
      </c>
      <c r="O693">
        <v>5352</v>
      </c>
      <c r="P693" t="s">
        <v>2625</v>
      </c>
      <c r="Q693">
        <v>5697</v>
      </c>
      <c r="R693" t="s">
        <v>2344</v>
      </c>
      <c r="S693" t="s">
        <v>2036</v>
      </c>
      <c r="T693">
        <v>202202</v>
      </c>
      <c r="U693" t="s">
        <v>190</v>
      </c>
      <c r="V693">
        <v>508655</v>
      </c>
    </row>
    <row r="694" spans="1:22">
      <c r="A694">
        <v>5352</v>
      </c>
      <c r="B694" t="s">
        <v>2625</v>
      </c>
      <c r="C694">
        <v>5697</v>
      </c>
      <c r="D694" t="s">
        <v>2344</v>
      </c>
      <c r="E694" t="s">
        <v>2036</v>
      </c>
      <c r="F694">
        <v>202108</v>
      </c>
      <c r="G694" t="s">
        <v>2171</v>
      </c>
      <c r="H694">
        <v>153146.31</v>
      </c>
      <c r="O694">
        <v>5352</v>
      </c>
      <c r="P694" t="s">
        <v>2625</v>
      </c>
      <c r="Q694">
        <v>5697</v>
      </c>
      <c r="R694" t="s">
        <v>2344</v>
      </c>
      <c r="S694" t="s">
        <v>2036</v>
      </c>
      <c r="T694">
        <v>202202</v>
      </c>
      <c r="U694" t="s">
        <v>191</v>
      </c>
      <c r="V694">
        <v>59061</v>
      </c>
    </row>
    <row r="695" spans="1:22">
      <c r="A695">
        <v>5352</v>
      </c>
      <c r="B695" t="s">
        <v>2625</v>
      </c>
      <c r="C695">
        <v>5697</v>
      </c>
      <c r="D695" t="s">
        <v>2344</v>
      </c>
      <c r="E695" t="s">
        <v>2036</v>
      </c>
      <c r="F695">
        <v>202108</v>
      </c>
      <c r="G695" t="s">
        <v>190</v>
      </c>
      <c r="H695">
        <v>137907</v>
      </c>
      <c r="O695">
        <v>5352</v>
      </c>
      <c r="P695" t="s">
        <v>2625</v>
      </c>
      <c r="Q695">
        <v>5697</v>
      </c>
      <c r="R695" t="s">
        <v>2344</v>
      </c>
      <c r="S695" t="s">
        <v>2036</v>
      </c>
      <c r="T695">
        <v>202202</v>
      </c>
      <c r="U695" t="s">
        <v>178</v>
      </c>
      <c r="V695">
        <v>1300</v>
      </c>
    </row>
    <row r="696" spans="1:22">
      <c r="A696">
        <v>5352</v>
      </c>
      <c r="B696" t="s">
        <v>2625</v>
      </c>
      <c r="C696">
        <v>5697</v>
      </c>
      <c r="D696" t="s">
        <v>2344</v>
      </c>
      <c r="E696" t="s">
        <v>2036</v>
      </c>
      <c r="F696">
        <v>202108</v>
      </c>
      <c r="G696" t="s">
        <v>191</v>
      </c>
      <c r="H696">
        <v>21701</v>
      </c>
      <c r="O696">
        <v>5352</v>
      </c>
      <c r="P696" t="s">
        <v>2625</v>
      </c>
      <c r="Q696">
        <v>5697</v>
      </c>
      <c r="R696" t="s">
        <v>2344</v>
      </c>
      <c r="S696" t="s">
        <v>2036</v>
      </c>
      <c r="T696">
        <v>202202</v>
      </c>
      <c r="U696" t="s">
        <v>180</v>
      </c>
      <c r="V696">
        <v>1350</v>
      </c>
    </row>
    <row r="697" spans="1:22">
      <c r="A697">
        <v>5352</v>
      </c>
      <c r="B697" t="s">
        <v>2625</v>
      </c>
      <c r="C697">
        <v>5697</v>
      </c>
      <c r="D697" t="s">
        <v>2344</v>
      </c>
      <c r="E697" t="s">
        <v>2036</v>
      </c>
      <c r="F697">
        <v>202108</v>
      </c>
      <c r="G697" t="s">
        <v>176</v>
      </c>
      <c r="H697">
        <v>0</v>
      </c>
      <c r="O697">
        <v>5352</v>
      </c>
      <c r="P697" t="s">
        <v>2625</v>
      </c>
      <c r="Q697">
        <v>5697</v>
      </c>
      <c r="R697" t="s">
        <v>2344</v>
      </c>
      <c r="S697" t="s">
        <v>2036</v>
      </c>
      <c r="T697">
        <v>202202</v>
      </c>
      <c r="U697" t="s">
        <v>182</v>
      </c>
      <c r="V697">
        <v>508655</v>
      </c>
    </row>
    <row r="698" spans="1:22">
      <c r="A698">
        <v>5352</v>
      </c>
      <c r="B698" t="s">
        <v>2625</v>
      </c>
      <c r="C698">
        <v>5697</v>
      </c>
      <c r="D698" t="s">
        <v>2344</v>
      </c>
      <c r="E698" t="s">
        <v>2036</v>
      </c>
      <c r="F698">
        <v>202108</v>
      </c>
      <c r="G698" t="s">
        <v>178</v>
      </c>
      <c r="H698">
        <v>470</v>
      </c>
      <c r="O698">
        <v>5352</v>
      </c>
      <c r="P698" t="s">
        <v>2625</v>
      </c>
      <c r="Q698">
        <v>5697</v>
      </c>
      <c r="R698" t="s">
        <v>2344</v>
      </c>
      <c r="S698" t="s">
        <v>2036</v>
      </c>
      <c r="T698">
        <v>202202</v>
      </c>
      <c r="U698" t="s">
        <v>184</v>
      </c>
      <c r="V698">
        <v>59061</v>
      </c>
    </row>
    <row r="699" spans="1:22">
      <c r="A699">
        <v>5352</v>
      </c>
      <c r="B699" t="s">
        <v>2625</v>
      </c>
      <c r="C699">
        <v>5697</v>
      </c>
      <c r="D699" t="s">
        <v>2344</v>
      </c>
      <c r="E699" t="s">
        <v>2036</v>
      </c>
      <c r="F699">
        <v>202108</v>
      </c>
      <c r="G699" t="s">
        <v>180</v>
      </c>
      <c r="H699">
        <v>554</v>
      </c>
      <c r="O699">
        <v>5352</v>
      </c>
      <c r="P699" t="s">
        <v>2625</v>
      </c>
      <c r="Q699">
        <v>5697</v>
      </c>
      <c r="R699" t="s">
        <v>2344</v>
      </c>
      <c r="S699" t="s">
        <v>2036</v>
      </c>
      <c r="T699">
        <v>202202</v>
      </c>
      <c r="U699" t="s">
        <v>186</v>
      </c>
      <c r="V699">
        <v>0</v>
      </c>
    </row>
    <row r="700" spans="1:22">
      <c r="A700">
        <v>5352</v>
      </c>
      <c r="B700" t="s">
        <v>2625</v>
      </c>
      <c r="C700">
        <v>5697</v>
      </c>
      <c r="D700" t="s">
        <v>2344</v>
      </c>
      <c r="E700" t="s">
        <v>2036</v>
      </c>
      <c r="F700">
        <v>202108</v>
      </c>
      <c r="G700" t="s">
        <v>182</v>
      </c>
      <c r="H700">
        <v>137907</v>
      </c>
      <c r="O700">
        <v>5352</v>
      </c>
      <c r="P700" t="s">
        <v>2625</v>
      </c>
      <c r="Q700">
        <v>5697</v>
      </c>
      <c r="R700" t="s">
        <v>2344</v>
      </c>
      <c r="S700" t="s">
        <v>2036</v>
      </c>
      <c r="T700">
        <v>202202</v>
      </c>
      <c r="U700" t="s">
        <v>190</v>
      </c>
      <c r="V700">
        <v>304240</v>
      </c>
    </row>
    <row r="701" spans="1:22">
      <c r="A701">
        <v>5352</v>
      </c>
      <c r="B701" t="s">
        <v>2625</v>
      </c>
      <c r="C701">
        <v>5697</v>
      </c>
      <c r="D701" t="s">
        <v>2344</v>
      </c>
      <c r="E701" t="s">
        <v>2036</v>
      </c>
      <c r="F701">
        <v>202108</v>
      </c>
      <c r="G701" t="s">
        <v>184</v>
      </c>
      <c r="H701">
        <v>21701</v>
      </c>
      <c r="O701">
        <v>5352</v>
      </c>
      <c r="P701" t="s">
        <v>2625</v>
      </c>
      <c r="Q701">
        <v>5697</v>
      </c>
      <c r="R701" t="s">
        <v>2344</v>
      </c>
      <c r="S701" t="s">
        <v>2036</v>
      </c>
      <c r="T701">
        <v>202202</v>
      </c>
      <c r="U701" t="s">
        <v>191</v>
      </c>
      <c r="V701">
        <v>40599</v>
      </c>
    </row>
    <row r="702" spans="1:22">
      <c r="A702">
        <v>5352</v>
      </c>
      <c r="B702" t="s">
        <v>2625</v>
      </c>
      <c r="C702">
        <v>5697</v>
      </c>
      <c r="D702" t="s">
        <v>2344</v>
      </c>
      <c r="E702" t="s">
        <v>2036</v>
      </c>
      <c r="F702">
        <v>202108</v>
      </c>
      <c r="G702" t="s">
        <v>192</v>
      </c>
      <c r="H702">
        <v>0</v>
      </c>
      <c r="O702">
        <v>5352</v>
      </c>
      <c r="P702" t="s">
        <v>2625</v>
      </c>
      <c r="Q702">
        <v>5697</v>
      </c>
      <c r="R702" t="s">
        <v>2344</v>
      </c>
      <c r="S702" t="s">
        <v>2036</v>
      </c>
      <c r="T702">
        <v>202202</v>
      </c>
      <c r="U702" t="s">
        <v>178</v>
      </c>
      <c r="V702">
        <v>810</v>
      </c>
    </row>
    <row r="703" spans="1:22">
      <c r="A703">
        <v>5352</v>
      </c>
      <c r="B703" t="s">
        <v>2625</v>
      </c>
      <c r="C703">
        <v>5697</v>
      </c>
      <c r="D703" t="s">
        <v>2344</v>
      </c>
      <c r="E703" t="s">
        <v>2036</v>
      </c>
      <c r="F703">
        <v>202108</v>
      </c>
      <c r="G703" t="s">
        <v>2170</v>
      </c>
      <c r="H703">
        <v>65.819999999999993</v>
      </c>
      <c r="O703">
        <v>5352</v>
      </c>
      <c r="P703" t="s">
        <v>2625</v>
      </c>
      <c r="Q703">
        <v>5697</v>
      </c>
      <c r="R703" t="s">
        <v>2344</v>
      </c>
      <c r="S703" t="s">
        <v>2036</v>
      </c>
      <c r="T703">
        <v>202202</v>
      </c>
      <c r="U703" t="s">
        <v>180</v>
      </c>
      <c r="V703">
        <v>930</v>
      </c>
    </row>
    <row r="704" spans="1:22">
      <c r="A704">
        <v>5352</v>
      </c>
      <c r="B704" t="s">
        <v>2625</v>
      </c>
      <c r="C704">
        <v>5697</v>
      </c>
      <c r="D704" t="s">
        <v>2344</v>
      </c>
      <c r="E704" t="s">
        <v>2036</v>
      </c>
      <c r="F704">
        <v>202108</v>
      </c>
      <c r="G704" t="s">
        <v>186</v>
      </c>
      <c r="H704">
        <v>0</v>
      </c>
      <c r="O704">
        <v>5352</v>
      </c>
      <c r="P704" t="s">
        <v>2625</v>
      </c>
      <c r="Q704">
        <v>5697</v>
      </c>
      <c r="R704" t="s">
        <v>2344</v>
      </c>
      <c r="S704" t="s">
        <v>2036</v>
      </c>
      <c r="T704">
        <v>202202</v>
      </c>
      <c r="U704" t="s">
        <v>182</v>
      </c>
      <c r="V704">
        <v>304240</v>
      </c>
    </row>
    <row r="705" spans="1:22">
      <c r="A705">
        <v>5352</v>
      </c>
      <c r="B705" t="s">
        <v>2625</v>
      </c>
      <c r="C705">
        <v>5697</v>
      </c>
      <c r="D705" t="s">
        <v>2344</v>
      </c>
      <c r="E705" t="s">
        <v>2036</v>
      </c>
      <c r="F705">
        <v>202108</v>
      </c>
      <c r="G705" t="s">
        <v>2169</v>
      </c>
      <c r="H705">
        <v>99.17</v>
      </c>
      <c r="O705">
        <v>5352</v>
      </c>
      <c r="P705" t="s">
        <v>2625</v>
      </c>
      <c r="Q705">
        <v>5697</v>
      </c>
      <c r="R705" t="s">
        <v>2344</v>
      </c>
      <c r="S705" t="s">
        <v>2036</v>
      </c>
      <c r="T705">
        <v>202202</v>
      </c>
      <c r="U705" t="s">
        <v>184</v>
      </c>
      <c r="V705">
        <v>40599</v>
      </c>
    </row>
    <row r="706" spans="1:22">
      <c r="A706">
        <v>5352</v>
      </c>
      <c r="B706" t="s">
        <v>2625</v>
      </c>
      <c r="C706">
        <v>5697</v>
      </c>
      <c r="D706" t="s">
        <v>2344</v>
      </c>
      <c r="E706" t="s">
        <v>2036</v>
      </c>
      <c r="F706">
        <v>202108</v>
      </c>
      <c r="G706" t="s">
        <v>2166</v>
      </c>
      <c r="H706">
        <v>12.33</v>
      </c>
      <c r="O706">
        <v>5352</v>
      </c>
      <c r="P706" t="s">
        <v>2625</v>
      </c>
      <c r="Q706">
        <v>5697</v>
      </c>
      <c r="R706" t="s">
        <v>2344</v>
      </c>
      <c r="S706" t="s">
        <v>2036</v>
      </c>
      <c r="T706">
        <v>202202</v>
      </c>
      <c r="U706" t="s">
        <v>186</v>
      </c>
      <c r="V706">
        <v>0</v>
      </c>
    </row>
    <row r="707" spans="1:22">
      <c r="A707">
        <v>5352</v>
      </c>
      <c r="B707" t="s">
        <v>2625</v>
      </c>
      <c r="C707">
        <v>5697</v>
      </c>
      <c r="D707" t="s">
        <v>2344</v>
      </c>
      <c r="E707" t="s">
        <v>2036</v>
      </c>
      <c r="F707">
        <v>202108</v>
      </c>
      <c r="G707" t="s">
        <v>2167</v>
      </c>
      <c r="H707">
        <v>23.94</v>
      </c>
      <c r="O707">
        <v>5352</v>
      </c>
      <c r="P707" t="s">
        <v>2625</v>
      </c>
      <c r="Q707">
        <v>5697</v>
      </c>
      <c r="R707" t="s">
        <v>2344</v>
      </c>
      <c r="S707" t="s">
        <v>2036</v>
      </c>
      <c r="T707">
        <v>202202</v>
      </c>
      <c r="U707" t="s">
        <v>190</v>
      </c>
      <c r="V707">
        <v>72294</v>
      </c>
    </row>
    <row r="708" spans="1:22">
      <c r="A708">
        <v>5352</v>
      </c>
      <c r="B708" t="s">
        <v>2625</v>
      </c>
      <c r="C708">
        <v>5697</v>
      </c>
      <c r="D708" t="s">
        <v>2344</v>
      </c>
      <c r="E708" t="s">
        <v>2036</v>
      </c>
      <c r="F708">
        <v>202108</v>
      </c>
      <c r="G708" t="s">
        <v>2168</v>
      </c>
      <c r="H708">
        <v>10.17</v>
      </c>
      <c r="O708">
        <v>5352</v>
      </c>
      <c r="P708" t="s">
        <v>2625</v>
      </c>
      <c r="Q708">
        <v>5697</v>
      </c>
      <c r="R708" t="s">
        <v>2344</v>
      </c>
      <c r="S708" t="s">
        <v>2036</v>
      </c>
      <c r="T708">
        <v>202202</v>
      </c>
      <c r="U708" t="s">
        <v>191</v>
      </c>
      <c r="V708">
        <v>9647</v>
      </c>
    </row>
    <row r="709" spans="1:22">
      <c r="A709">
        <v>5352</v>
      </c>
      <c r="B709" t="s">
        <v>2625</v>
      </c>
      <c r="C709">
        <v>5697</v>
      </c>
      <c r="D709" t="s">
        <v>2344</v>
      </c>
      <c r="E709" t="s">
        <v>2036</v>
      </c>
      <c r="F709">
        <v>202108</v>
      </c>
      <c r="G709" t="s">
        <v>2171</v>
      </c>
      <c r="H709">
        <v>36568.480000000003</v>
      </c>
      <c r="O709">
        <v>5352</v>
      </c>
      <c r="P709" t="s">
        <v>2625</v>
      </c>
      <c r="Q709">
        <v>5697</v>
      </c>
      <c r="R709" t="s">
        <v>2344</v>
      </c>
      <c r="S709" t="s">
        <v>2036</v>
      </c>
      <c r="T709">
        <v>202202</v>
      </c>
      <c r="U709" t="s">
        <v>178</v>
      </c>
      <c r="V709">
        <v>250</v>
      </c>
    </row>
    <row r="710" spans="1:22">
      <c r="A710">
        <v>5352</v>
      </c>
      <c r="B710" t="s">
        <v>2625</v>
      </c>
      <c r="C710">
        <v>5697</v>
      </c>
      <c r="D710" t="s">
        <v>2344</v>
      </c>
      <c r="E710" t="s">
        <v>2036</v>
      </c>
      <c r="F710">
        <v>202108</v>
      </c>
      <c r="G710" t="s">
        <v>190</v>
      </c>
      <c r="H710">
        <v>87405</v>
      </c>
      <c r="O710">
        <v>5352</v>
      </c>
      <c r="P710" t="s">
        <v>2625</v>
      </c>
      <c r="Q710">
        <v>5697</v>
      </c>
      <c r="R710" t="s">
        <v>2344</v>
      </c>
      <c r="S710" t="s">
        <v>2036</v>
      </c>
      <c r="T710">
        <v>202202</v>
      </c>
      <c r="U710" t="s">
        <v>180</v>
      </c>
      <c r="V710">
        <v>250</v>
      </c>
    </row>
    <row r="711" spans="1:22">
      <c r="A711">
        <v>5352</v>
      </c>
      <c r="B711" t="s">
        <v>2625</v>
      </c>
      <c r="C711">
        <v>5697</v>
      </c>
      <c r="D711" t="s">
        <v>2344</v>
      </c>
      <c r="E711" t="s">
        <v>2036</v>
      </c>
      <c r="F711">
        <v>202108</v>
      </c>
      <c r="G711" t="s">
        <v>191</v>
      </c>
      <c r="H711">
        <v>14336</v>
      </c>
      <c r="O711">
        <v>5352</v>
      </c>
      <c r="P711" t="s">
        <v>2625</v>
      </c>
      <c r="Q711">
        <v>5697</v>
      </c>
      <c r="R711" t="s">
        <v>2344</v>
      </c>
      <c r="S711" t="s">
        <v>2036</v>
      </c>
      <c r="T711">
        <v>202202</v>
      </c>
      <c r="U711" t="s">
        <v>182</v>
      </c>
      <c r="V711">
        <v>72294</v>
      </c>
    </row>
    <row r="712" spans="1:22">
      <c r="A712">
        <v>5352</v>
      </c>
      <c r="B712" t="s">
        <v>2625</v>
      </c>
      <c r="C712">
        <v>5697</v>
      </c>
      <c r="D712" t="s">
        <v>2344</v>
      </c>
      <c r="E712" t="s">
        <v>2036</v>
      </c>
      <c r="F712">
        <v>202108</v>
      </c>
      <c r="G712" t="s">
        <v>176</v>
      </c>
      <c r="H712">
        <v>-2025.31</v>
      </c>
      <c r="O712">
        <v>5352</v>
      </c>
      <c r="P712" t="s">
        <v>2625</v>
      </c>
      <c r="Q712">
        <v>5697</v>
      </c>
      <c r="R712" t="s">
        <v>2344</v>
      </c>
      <c r="S712" t="s">
        <v>2036</v>
      </c>
      <c r="T712">
        <v>202202</v>
      </c>
      <c r="U712" t="s">
        <v>184</v>
      </c>
      <c r="V712">
        <v>9647</v>
      </c>
    </row>
    <row r="713" spans="1:22">
      <c r="A713">
        <v>5352</v>
      </c>
      <c r="B713" t="s">
        <v>2625</v>
      </c>
      <c r="C713">
        <v>5697</v>
      </c>
      <c r="D713" t="s">
        <v>2344</v>
      </c>
      <c r="E713" t="s">
        <v>2036</v>
      </c>
      <c r="F713">
        <v>202108</v>
      </c>
      <c r="G713" t="s">
        <v>178</v>
      </c>
      <c r="H713">
        <v>350</v>
      </c>
      <c r="O713">
        <v>5352</v>
      </c>
      <c r="P713" t="s">
        <v>2625</v>
      </c>
      <c r="Q713">
        <v>5697</v>
      </c>
      <c r="R713" t="s">
        <v>2344</v>
      </c>
      <c r="S713" t="s">
        <v>2036</v>
      </c>
      <c r="T713">
        <v>202202</v>
      </c>
      <c r="U713" t="s">
        <v>186</v>
      </c>
      <c r="V713">
        <v>0</v>
      </c>
    </row>
    <row r="714" spans="1:22">
      <c r="A714">
        <v>5352</v>
      </c>
      <c r="B714" t="s">
        <v>2625</v>
      </c>
      <c r="C714">
        <v>5697</v>
      </c>
      <c r="D714" t="s">
        <v>2344</v>
      </c>
      <c r="E714" t="s">
        <v>2036</v>
      </c>
      <c r="F714">
        <v>202108</v>
      </c>
      <c r="G714" t="s">
        <v>180</v>
      </c>
      <c r="H714">
        <v>350</v>
      </c>
      <c r="O714">
        <v>5352</v>
      </c>
      <c r="P714" t="s">
        <v>2625</v>
      </c>
      <c r="Q714">
        <v>5697</v>
      </c>
      <c r="R714" t="s">
        <v>2344</v>
      </c>
      <c r="S714" t="s">
        <v>2036</v>
      </c>
      <c r="T714">
        <v>202203</v>
      </c>
      <c r="U714" t="s">
        <v>190</v>
      </c>
      <c r="V714">
        <v>106187</v>
      </c>
    </row>
    <row r="715" spans="1:22">
      <c r="A715">
        <v>5352</v>
      </c>
      <c r="B715" t="s">
        <v>2625</v>
      </c>
      <c r="C715">
        <v>5697</v>
      </c>
      <c r="D715" t="s">
        <v>2344</v>
      </c>
      <c r="E715" t="s">
        <v>2036</v>
      </c>
      <c r="F715">
        <v>202108</v>
      </c>
      <c r="G715" t="s">
        <v>182</v>
      </c>
      <c r="H715">
        <v>87405</v>
      </c>
      <c r="O715">
        <v>5352</v>
      </c>
      <c r="P715" t="s">
        <v>2625</v>
      </c>
      <c r="Q715">
        <v>5697</v>
      </c>
      <c r="R715" t="s">
        <v>2344</v>
      </c>
      <c r="S715" t="s">
        <v>2036</v>
      </c>
      <c r="T715">
        <v>202203</v>
      </c>
      <c r="U715" t="s">
        <v>191</v>
      </c>
      <c r="V715">
        <v>14357</v>
      </c>
    </row>
    <row r="716" spans="1:22">
      <c r="A716">
        <v>5352</v>
      </c>
      <c r="B716" t="s">
        <v>2625</v>
      </c>
      <c r="C716">
        <v>5697</v>
      </c>
      <c r="D716" t="s">
        <v>2344</v>
      </c>
      <c r="E716" t="s">
        <v>2036</v>
      </c>
      <c r="F716">
        <v>202108</v>
      </c>
      <c r="G716" t="s">
        <v>184</v>
      </c>
      <c r="H716">
        <v>14336</v>
      </c>
      <c r="O716">
        <v>5352</v>
      </c>
      <c r="P716" t="s">
        <v>2625</v>
      </c>
      <c r="Q716">
        <v>5697</v>
      </c>
      <c r="R716" t="s">
        <v>2344</v>
      </c>
      <c r="S716" t="s">
        <v>2036</v>
      </c>
      <c r="T716">
        <v>202203</v>
      </c>
      <c r="U716" t="s">
        <v>178</v>
      </c>
      <c r="V716">
        <v>320</v>
      </c>
    </row>
    <row r="717" spans="1:22">
      <c r="A717">
        <v>5352</v>
      </c>
      <c r="B717" t="s">
        <v>2625</v>
      </c>
      <c r="C717">
        <v>5697</v>
      </c>
      <c r="D717" t="s">
        <v>2344</v>
      </c>
      <c r="E717" t="s">
        <v>2036</v>
      </c>
      <c r="F717">
        <v>202108</v>
      </c>
      <c r="G717" t="s">
        <v>192</v>
      </c>
      <c r="H717">
        <v>0</v>
      </c>
      <c r="O717">
        <v>5352</v>
      </c>
      <c r="P717" t="s">
        <v>2625</v>
      </c>
      <c r="Q717">
        <v>5697</v>
      </c>
      <c r="R717" t="s">
        <v>2344</v>
      </c>
      <c r="S717" t="s">
        <v>2036</v>
      </c>
      <c r="T717">
        <v>202203</v>
      </c>
      <c r="U717" t="s">
        <v>180</v>
      </c>
      <c r="V717">
        <v>320</v>
      </c>
    </row>
    <row r="718" spans="1:22">
      <c r="A718">
        <v>5352</v>
      </c>
      <c r="B718" t="s">
        <v>2625</v>
      </c>
      <c r="C718">
        <v>5697</v>
      </c>
      <c r="D718" t="s">
        <v>2344</v>
      </c>
      <c r="E718" t="s">
        <v>2036</v>
      </c>
      <c r="F718">
        <v>202108</v>
      </c>
      <c r="G718" t="s">
        <v>2170</v>
      </c>
      <c r="H718">
        <v>42.97</v>
      </c>
      <c r="O718">
        <v>5352</v>
      </c>
      <c r="P718" t="s">
        <v>2625</v>
      </c>
      <c r="Q718">
        <v>5697</v>
      </c>
      <c r="R718" t="s">
        <v>2344</v>
      </c>
      <c r="S718" t="s">
        <v>2036</v>
      </c>
      <c r="T718">
        <v>202203</v>
      </c>
      <c r="U718" t="s">
        <v>182</v>
      </c>
      <c r="V718">
        <v>106187</v>
      </c>
    </row>
    <row r="719" spans="1:22">
      <c r="A719">
        <v>5352</v>
      </c>
      <c r="B719" t="s">
        <v>2625</v>
      </c>
      <c r="C719">
        <v>5697</v>
      </c>
      <c r="D719" t="s">
        <v>2344</v>
      </c>
      <c r="E719" t="s">
        <v>2036</v>
      </c>
      <c r="F719">
        <v>202108</v>
      </c>
      <c r="G719" t="s">
        <v>186</v>
      </c>
      <c r="H719">
        <v>0</v>
      </c>
      <c r="O719">
        <v>5352</v>
      </c>
      <c r="P719" t="s">
        <v>2625</v>
      </c>
      <c r="Q719">
        <v>5697</v>
      </c>
      <c r="R719" t="s">
        <v>2344</v>
      </c>
      <c r="S719" t="s">
        <v>2036</v>
      </c>
      <c r="T719">
        <v>202203</v>
      </c>
      <c r="U719" t="s">
        <v>184</v>
      </c>
      <c r="V719">
        <v>14357</v>
      </c>
    </row>
    <row r="720" spans="1:22">
      <c r="A720">
        <v>5352</v>
      </c>
      <c r="B720" t="s">
        <v>2625</v>
      </c>
      <c r="C720">
        <v>5697</v>
      </c>
      <c r="D720" t="s">
        <v>2344</v>
      </c>
      <c r="E720" t="s">
        <v>2036</v>
      </c>
      <c r="F720">
        <v>202108</v>
      </c>
      <c r="G720" t="s">
        <v>2169</v>
      </c>
      <c r="H720">
        <v>99.17</v>
      </c>
      <c r="O720">
        <v>5352</v>
      </c>
      <c r="P720" t="s">
        <v>2625</v>
      </c>
      <c r="Q720">
        <v>5697</v>
      </c>
      <c r="R720" t="s">
        <v>2344</v>
      </c>
      <c r="S720" t="s">
        <v>2036</v>
      </c>
      <c r="T720">
        <v>202203</v>
      </c>
      <c r="U720" t="s">
        <v>186</v>
      </c>
      <c r="V720">
        <v>0</v>
      </c>
    </row>
    <row r="721" spans="1:22">
      <c r="A721">
        <v>5352</v>
      </c>
      <c r="B721" t="s">
        <v>2625</v>
      </c>
      <c r="C721">
        <v>5697</v>
      </c>
      <c r="D721" t="s">
        <v>2344</v>
      </c>
      <c r="E721" t="s">
        <v>2036</v>
      </c>
      <c r="F721">
        <v>202108</v>
      </c>
      <c r="G721" t="s">
        <v>2166</v>
      </c>
      <c r="H721">
        <v>12.33</v>
      </c>
      <c r="O721">
        <v>5352</v>
      </c>
      <c r="P721" t="s">
        <v>2625</v>
      </c>
      <c r="Q721">
        <v>5697</v>
      </c>
      <c r="R721" t="s">
        <v>2344</v>
      </c>
      <c r="S721" t="s">
        <v>2036</v>
      </c>
      <c r="T721">
        <v>202203</v>
      </c>
      <c r="U721" t="s">
        <v>190</v>
      </c>
      <c r="V721">
        <v>127556</v>
      </c>
    </row>
    <row r="722" spans="1:22">
      <c r="A722">
        <v>5352</v>
      </c>
      <c r="B722" t="s">
        <v>2625</v>
      </c>
      <c r="C722">
        <v>5697</v>
      </c>
      <c r="D722" t="s">
        <v>2344</v>
      </c>
      <c r="E722" t="s">
        <v>2036</v>
      </c>
      <c r="F722">
        <v>202108</v>
      </c>
      <c r="G722" t="s">
        <v>2167</v>
      </c>
      <c r="H722">
        <v>23.94</v>
      </c>
      <c r="O722">
        <v>5352</v>
      </c>
      <c r="P722" t="s">
        <v>2625</v>
      </c>
      <c r="Q722">
        <v>5697</v>
      </c>
      <c r="R722" t="s">
        <v>2344</v>
      </c>
      <c r="S722" t="s">
        <v>2036</v>
      </c>
      <c r="T722">
        <v>202203</v>
      </c>
      <c r="U722" t="s">
        <v>191</v>
      </c>
      <c r="V722">
        <v>18284</v>
      </c>
    </row>
    <row r="723" spans="1:22">
      <c r="A723">
        <v>5352</v>
      </c>
      <c r="B723" t="s">
        <v>2625</v>
      </c>
      <c r="C723">
        <v>5697</v>
      </c>
      <c r="D723" t="s">
        <v>2344</v>
      </c>
      <c r="E723" t="s">
        <v>2036</v>
      </c>
      <c r="F723">
        <v>202108</v>
      </c>
      <c r="G723" t="s">
        <v>2168</v>
      </c>
      <c r="H723">
        <v>10.17</v>
      </c>
      <c r="O723">
        <v>5352</v>
      </c>
      <c r="P723" t="s">
        <v>2625</v>
      </c>
      <c r="Q723">
        <v>5697</v>
      </c>
      <c r="R723" t="s">
        <v>2344</v>
      </c>
      <c r="S723" t="s">
        <v>2036</v>
      </c>
      <c r="T723">
        <v>202203</v>
      </c>
      <c r="U723" t="s">
        <v>178</v>
      </c>
      <c r="V723">
        <v>600</v>
      </c>
    </row>
    <row r="724" spans="1:22">
      <c r="A724">
        <v>5352</v>
      </c>
      <c r="B724" t="s">
        <v>2625</v>
      </c>
      <c r="C724">
        <v>5697</v>
      </c>
      <c r="D724" t="s">
        <v>2344</v>
      </c>
      <c r="E724" t="s">
        <v>2036</v>
      </c>
      <c r="F724">
        <v>202108</v>
      </c>
      <c r="G724" t="s">
        <v>2171</v>
      </c>
      <c r="H724">
        <v>21836.5</v>
      </c>
      <c r="O724">
        <v>5352</v>
      </c>
      <c r="P724" t="s">
        <v>2625</v>
      </c>
      <c r="Q724">
        <v>5697</v>
      </c>
      <c r="R724" t="s">
        <v>2344</v>
      </c>
      <c r="S724" t="s">
        <v>2036</v>
      </c>
      <c r="T724">
        <v>202203</v>
      </c>
      <c r="U724" t="s">
        <v>180</v>
      </c>
      <c r="V724">
        <v>600</v>
      </c>
    </row>
    <row r="725" spans="1:22">
      <c r="A725">
        <v>5352</v>
      </c>
      <c r="B725" t="s">
        <v>2625</v>
      </c>
      <c r="C725">
        <v>5697</v>
      </c>
      <c r="D725" t="s">
        <v>2344</v>
      </c>
      <c r="E725" t="s">
        <v>2036</v>
      </c>
      <c r="F725">
        <v>202108</v>
      </c>
      <c r="G725" t="s">
        <v>190</v>
      </c>
      <c r="H725">
        <v>175944</v>
      </c>
      <c r="O725">
        <v>5352</v>
      </c>
      <c r="P725" t="s">
        <v>2625</v>
      </c>
      <c r="Q725">
        <v>5697</v>
      </c>
      <c r="R725" t="s">
        <v>2344</v>
      </c>
      <c r="S725" t="s">
        <v>2036</v>
      </c>
      <c r="T725">
        <v>202203</v>
      </c>
      <c r="U725" t="s">
        <v>182</v>
      </c>
      <c r="V725">
        <v>127556</v>
      </c>
    </row>
    <row r="726" spans="1:22">
      <c r="A726">
        <v>5352</v>
      </c>
      <c r="B726" t="s">
        <v>2625</v>
      </c>
      <c r="C726">
        <v>5697</v>
      </c>
      <c r="D726" t="s">
        <v>2344</v>
      </c>
      <c r="E726" t="s">
        <v>2036</v>
      </c>
      <c r="F726">
        <v>202108</v>
      </c>
      <c r="G726" t="s">
        <v>191</v>
      </c>
      <c r="H726">
        <v>26424</v>
      </c>
      <c r="O726">
        <v>5352</v>
      </c>
      <c r="P726" t="s">
        <v>2625</v>
      </c>
      <c r="Q726">
        <v>5697</v>
      </c>
      <c r="R726" t="s">
        <v>2344</v>
      </c>
      <c r="S726" t="s">
        <v>2036</v>
      </c>
      <c r="T726">
        <v>202203</v>
      </c>
      <c r="U726" t="s">
        <v>184</v>
      </c>
      <c r="V726">
        <v>18284</v>
      </c>
    </row>
    <row r="727" spans="1:22">
      <c r="A727">
        <v>5352</v>
      </c>
      <c r="B727" t="s">
        <v>2625</v>
      </c>
      <c r="C727">
        <v>5697</v>
      </c>
      <c r="D727" t="s">
        <v>2344</v>
      </c>
      <c r="E727" t="s">
        <v>2036</v>
      </c>
      <c r="F727">
        <v>202108</v>
      </c>
      <c r="G727" t="s">
        <v>176</v>
      </c>
      <c r="H727">
        <v>0</v>
      </c>
      <c r="O727">
        <v>5352</v>
      </c>
      <c r="P727" t="s">
        <v>2625</v>
      </c>
      <c r="Q727">
        <v>5697</v>
      </c>
      <c r="R727" t="s">
        <v>2344</v>
      </c>
      <c r="S727" t="s">
        <v>2036</v>
      </c>
      <c r="T727">
        <v>202203</v>
      </c>
      <c r="U727" t="s">
        <v>186</v>
      </c>
      <c r="V727">
        <v>0</v>
      </c>
    </row>
    <row r="728" spans="1:22">
      <c r="A728">
        <v>5352</v>
      </c>
      <c r="B728" t="s">
        <v>2625</v>
      </c>
      <c r="C728">
        <v>5697</v>
      </c>
      <c r="D728" t="s">
        <v>2344</v>
      </c>
      <c r="E728" t="s">
        <v>2036</v>
      </c>
      <c r="F728">
        <v>202108</v>
      </c>
      <c r="G728" t="s">
        <v>178</v>
      </c>
      <c r="H728">
        <v>706</v>
      </c>
      <c r="O728">
        <v>5352</v>
      </c>
      <c r="P728" t="s">
        <v>2625</v>
      </c>
      <c r="Q728">
        <v>5697</v>
      </c>
      <c r="R728" t="s">
        <v>2344</v>
      </c>
      <c r="S728" t="s">
        <v>2036</v>
      </c>
      <c r="T728">
        <v>202203</v>
      </c>
      <c r="U728" t="s">
        <v>190</v>
      </c>
      <c r="V728">
        <v>139928</v>
      </c>
    </row>
    <row r="729" spans="1:22">
      <c r="A729">
        <v>5352</v>
      </c>
      <c r="B729" t="s">
        <v>2625</v>
      </c>
      <c r="C729">
        <v>5697</v>
      </c>
      <c r="D729" t="s">
        <v>2344</v>
      </c>
      <c r="E729" t="s">
        <v>2036</v>
      </c>
      <c r="F729">
        <v>202108</v>
      </c>
      <c r="G729" t="s">
        <v>180</v>
      </c>
      <c r="H729">
        <v>560</v>
      </c>
      <c r="O729">
        <v>5352</v>
      </c>
      <c r="P729" t="s">
        <v>2625</v>
      </c>
      <c r="Q729">
        <v>5697</v>
      </c>
      <c r="R729" t="s">
        <v>2344</v>
      </c>
      <c r="S729" t="s">
        <v>2036</v>
      </c>
      <c r="T729">
        <v>202203</v>
      </c>
      <c r="U729" t="s">
        <v>191</v>
      </c>
      <c r="V729">
        <v>16506</v>
      </c>
    </row>
    <row r="730" spans="1:22">
      <c r="A730">
        <v>5352</v>
      </c>
      <c r="B730" t="s">
        <v>2625</v>
      </c>
      <c r="C730">
        <v>5697</v>
      </c>
      <c r="D730" t="s">
        <v>2344</v>
      </c>
      <c r="E730" t="s">
        <v>2036</v>
      </c>
      <c r="F730">
        <v>202108</v>
      </c>
      <c r="G730" t="s">
        <v>182</v>
      </c>
      <c r="H730">
        <v>175944</v>
      </c>
      <c r="O730">
        <v>5352</v>
      </c>
      <c r="P730" t="s">
        <v>2625</v>
      </c>
      <c r="Q730">
        <v>5697</v>
      </c>
      <c r="R730" t="s">
        <v>2344</v>
      </c>
      <c r="S730" t="s">
        <v>2036</v>
      </c>
      <c r="T730">
        <v>202203</v>
      </c>
      <c r="U730" t="s">
        <v>178</v>
      </c>
      <c r="V730">
        <v>450</v>
      </c>
    </row>
    <row r="731" spans="1:22">
      <c r="A731">
        <v>5352</v>
      </c>
      <c r="B731" t="s">
        <v>2625</v>
      </c>
      <c r="C731">
        <v>5697</v>
      </c>
      <c r="D731" t="s">
        <v>2344</v>
      </c>
      <c r="E731" t="s">
        <v>2036</v>
      </c>
      <c r="F731">
        <v>202108</v>
      </c>
      <c r="G731" t="s">
        <v>184</v>
      </c>
      <c r="H731">
        <v>26424</v>
      </c>
      <c r="O731">
        <v>5352</v>
      </c>
      <c r="P731" t="s">
        <v>2625</v>
      </c>
      <c r="Q731">
        <v>5697</v>
      </c>
      <c r="R731" t="s">
        <v>2344</v>
      </c>
      <c r="S731" t="s">
        <v>2036</v>
      </c>
      <c r="T731">
        <v>202203</v>
      </c>
      <c r="U731" t="s">
        <v>180</v>
      </c>
      <c r="V731">
        <v>450</v>
      </c>
    </row>
    <row r="732" spans="1:22">
      <c r="A732">
        <v>5352</v>
      </c>
      <c r="B732" t="s">
        <v>2625</v>
      </c>
      <c r="C732">
        <v>5697</v>
      </c>
      <c r="D732" t="s">
        <v>2344</v>
      </c>
      <c r="E732" t="s">
        <v>2036</v>
      </c>
      <c r="F732">
        <v>202108</v>
      </c>
      <c r="G732" t="s">
        <v>192</v>
      </c>
      <c r="H732">
        <v>0</v>
      </c>
      <c r="O732">
        <v>5352</v>
      </c>
      <c r="P732" t="s">
        <v>2625</v>
      </c>
      <c r="Q732">
        <v>5697</v>
      </c>
      <c r="R732" t="s">
        <v>2344</v>
      </c>
      <c r="S732" t="s">
        <v>2036</v>
      </c>
      <c r="T732">
        <v>202203</v>
      </c>
      <c r="U732" t="s">
        <v>182</v>
      </c>
      <c r="V732">
        <v>139928</v>
      </c>
    </row>
    <row r="733" spans="1:22">
      <c r="A733">
        <v>5352</v>
      </c>
      <c r="B733" t="s">
        <v>2625</v>
      </c>
      <c r="C733">
        <v>5697</v>
      </c>
      <c r="D733" t="s">
        <v>2344</v>
      </c>
      <c r="E733" t="s">
        <v>2036</v>
      </c>
      <c r="F733">
        <v>202108</v>
      </c>
      <c r="G733" t="s">
        <v>2170</v>
      </c>
      <c r="H733">
        <v>86.24</v>
      </c>
      <c r="O733">
        <v>5352</v>
      </c>
      <c r="P733" t="s">
        <v>2625</v>
      </c>
      <c r="Q733">
        <v>5697</v>
      </c>
      <c r="R733" t="s">
        <v>2344</v>
      </c>
      <c r="S733" t="s">
        <v>2036</v>
      </c>
      <c r="T733">
        <v>202203</v>
      </c>
      <c r="U733" t="s">
        <v>184</v>
      </c>
      <c r="V733">
        <v>16506</v>
      </c>
    </row>
    <row r="734" spans="1:22">
      <c r="A734">
        <v>5352</v>
      </c>
      <c r="B734" t="s">
        <v>2625</v>
      </c>
      <c r="C734">
        <v>5697</v>
      </c>
      <c r="D734" t="s">
        <v>2344</v>
      </c>
      <c r="E734" t="s">
        <v>2036</v>
      </c>
      <c r="F734">
        <v>202108</v>
      </c>
      <c r="G734" t="s">
        <v>186</v>
      </c>
      <c r="H734">
        <v>0</v>
      </c>
      <c r="O734">
        <v>5352</v>
      </c>
      <c r="P734" t="s">
        <v>2625</v>
      </c>
      <c r="Q734">
        <v>5697</v>
      </c>
      <c r="R734" t="s">
        <v>2344</v>
      </c>
      <c r="S734" t="s">
        <v>2036</v>
      </c>
      <c r="T734">
        <v>202203</v>
      </c>
      <c r="U734" t="s">
        <v>186</v>
      </c>
      <c r="V734">
        <v>0</v>
      </c>
    </row>
    <row r="735" spans="1:22">
      <c r="A735">
        <v>5352</v>
      </c>
      <c r="B735" t="s">
        <v>2625</v>
      </c>
      <c r="C735">
        <v>5697</v>
      </c>
      <c r="D735" t="s">
        <v>2344</v>
      </c>
      <c r="E735" t="s">
        <v>2036</v>
      </c>
      <c r="F735">
        <v>202108</v>
      </c>
      <c r="G735" t="s">
        <v>2169</v>
      </c>
      <c r="H735">
        <v>99.17</v>
      </c>
      <c r="O735">
        <v>5352</v>
      </c>
      <c r="P735" t="s">
        <v>2625</v>
      </c>
      <c r="Q735">
        <v>5697</v>
      </c>
      <c r="R735" t="s">
        <v>2344</v>
      </c>
      <c r="S735" t="s">
        <v>2036</v>
      </c>
      <c r="T735">
        <v>202203</v>
      </c>
      <c r="U735" t="s">
        <v>190</v>
      </c>
      <c r="V735">
        <v>276532</v>
      </c>
    </row>
    <row r="736" spans="1:22">
      <c r="A736">
        <v>5352</v>
      </c>
      <c r="B736" t="s">
        <v>2625</v>
      </c>
      <c r="C736">
        <v>5697</v>
      </c>
      <c r="D736" t="s">
        <v>2344</v>
      </c>
      <c r="E736" t="s">
        <v>2036</v>
      </c>
      <c r="F736">
        <v>202108</v>
      </c>
      <c r="G736" t="s">
        <v>2166</v>
      </c>
      <c r="H736">
        <v>12.33</v>
      </c>
      <c r="O736">
        <v>5352</v>
      </c>
      <c r="P736" t="s">
        <v>2625</v>
      </c>
      <c r="Q736">
        <v>5697</v>
      </c>
      <c r="R736" t="s">
        <v>2344</v>
      </c>
      <c r="S736" t="s">
        <v>2036</v>
      </c>
      <c r="T736">
        <v>202203</v>
      </c>
      <c r="U736" t="s">
        <v>191</v>
      </c>
      <c r="V736">
        <v>33660</v>
      </c>
    </row>
    <row r="737" spans="1:22">
      <c r="A737">
        <v>5352</v>
      </c>
      <c r="B737" t="s">
        <v>2625</v>
      </c>
      <c r="C737">
        <v>5697</v>
      </c>
      <c r="D737" t="s">
        <v>2344</v>
      </c>
      <c r="E737" t="s">
        <v>2036</v>
      </c>
      <c r="F737">
        <v>202108</v>
      </c>
      <c r="G737" t="s">
        <v>2167</v>
      </c>
      <c r="H737">
        <v>23.94</v>
      </c>
      <c r="O737">
        <v>5352</v>
      </c>
      <c r="P737" t="s">
        <v>2625</v>
      </c>
      <c r="Q737">
        <v>5697</v>
      </c>
      <c r="R737" t="s">
        <v>2344</v>
      </c>
      <c r="S737" t="s">
        <v>2036</v>
      </c>
      <c r="T737">
        <v>202203</v>
      </c>
      <c r="U737" t="s">
        <v>178</v>
      </c>
      <c r="V737">
        <v>820</v>
      </c>
    </row>
    <row r="738" spans="1:22">
      <c r="A738">
        <v>5352</v>
      </c>
      <c r="B738" t="s">
        <v>2625</v>
      </c>
      <c r="C738">
        <v>5697</v>
      </c>
      <c r="D738" t="s">
        <v>2344</v>
      </c>
      <c r="E738" t="s">
        <v>2036</v>
      </c>
      <c r="F738">
        <v>202108</v>
      </c>
      <c r="G738" t="s">
        <v>2168</v>
      </c>
      <c r="H738">
        <v>10.17</v>
      </c>
      <c r="O738">
        <v>5352</v>
      </c>
      <c r="P738" t="s">
        <v>2625</v>
      </c>
      <c r="Q738">
        <v>5697</v>
      </c>
      <c r="R738" t="s">
        <v>2344</v>
      </c>
      <c r="S738" t="s">
        <v>2036</v>
      </c>
      <c r="T738">
        <v>202203</v>
      </c>
      <c r="U738" t="s">
        <v>180</v>
      </c>
      <c r="V738">
        <v>820</v>
      </c>
    </row>
    <row r="739" spans="1:22">
      <c r="A739">
        <v>5352</v>
      </c>
      <c r="B739" t="s">
        <v>2625</v>
      </c>
      <c r="C739">
        <v>5697</v>
      </c>
      <c r="D739" t="s">
        <v>2344</v>
      </c>
      <c r="E739" t="s">
        <v>2036</v>
      </c>
      <c r="F739">
        <v>202108</v>
      </c>
      <c r="G739" t="s">
        <v>2171</v>
      </c>
      <c r="H739">
        <v>47910.07</v>
      </c>
      <c r="O739">
        <v>5352</v>
      </c>
      <c r="P739" t="s">
        <v>2625</v>
      </c>
      <c r="Q739">
        <v>5697</v>
      </c>
      <c r="R739" t="s">
        <v>2344</v>
      </c>
      <c r="S739" t="s">
        <v>2036</v>
      </c>
      <c r="T739">
        <v>202203</v>
      </c>
      <c r="U739" t="s">
        <v>182</v>
      </c>
      <c r="V739">
        <v>276532</v>
      </c>
    </row>
    <row r="740" spans="1:22">
      <c r="A740">
        <v>5352</v>
      </c>
      <c r="B740" t="s">
        <v>2625</v>
      </c>
      <c r="C740">
        <v>5697</v>
      </c>
      <c r="D740" t="s">
        <v>2344</v>
      </c>
      <c r="E740" t="s">
        <v>2036</v>
      </c>
      <c r="F740">
        <v>202108</v>
      </c>
      <c r="G740" t="s">
        <v>190</v>
      </c>
      <c r="H740">
        <v>54330</v>
      </c>
      <c r="O740">
        <v>5352</v>
      </c>
      <c r="P740" t="s">
        <v>2625</v>
      </c>
      <c r="Q740">
        <v>5697</v>
      </c>
      <c r="R740" t="s">
        <v>2344</v>
      </c>
      <c r="S740" t="s">
        <v>2036</v>
      </c>
      <c r="T740">
        <v>202203</v>
      </c>
      <c r="U740" t="s">
        <v>184</v>
      </c>
      <c r="V740">
        <v>33660</v>
      </c>
    </row>
    <row r="741" spans="1:22">
      <c r="A741">
        <v>5352</v>
      </c>
      <c r="B741" t="s">
        <v>2625</v>
      </c>
      <c r="C741">
        <v>5697</v>
      </c>
      <c r="D741" t="s">
        <v>2344</v>
      </c>
      <c r="E741" t="s">
        <v>2036</v>
      </c>
      <c r="F741">
        <v>202108</v>
      </c>
      <c r="G741" t="s">
        <v>191</v>
      </c>
      <c r="H741">
        <v>8848</v>
      </c>
      <c r="O741">
        <v>5352</v>
      </c>
      <c r="P741" t="s">
        <v>2625</v>
      </c>
      <c r="Q741">
        <v>5697</v>
      </c>
      <c r="R741" t="s">
        <v>2344</v>
      </c>
      <c r="S741" t="s">
        <v>2036</v>
      </c>
      <c r="T741">
        <v>202203</v>
      </c>
      <c r="U741" t="s">
        <v>186</v>
      </c>
      <c r="V741">
        <v>0</v>
      </c>
    </row>
    <row r="742" spans="1:22">
      <c r="A742">
        <v>5352</v>
      </c>
      <c r="B742" t="s">
        <v>2625</v>
      </c>
      <c r="C742">
        <v>5697</v>
      </c>
      <c r="D742" t="s">
        <v>2344</v>
      </c>
      <c r="E742" t="s">
        <v>2036</v>
      </c>
      <c r="F742">
        <v>202108</v>
      </c>
      <c r="G742" t="s">
        <v>176</v>
      </c>
      <c r="H742">
        <v>0</v>
      </c>
      <c r="O742">
        <v>5352</v>
      </c>
      <c r="P742" t="s">
        <v>2625</v>
      </c>
      <c r="Q742">
        <v>5697</v>
      </c>
      <c r="R742" t="s">
        <v>2344</v>
      </c>
      <c r="S742" t="s">
        <v>2036</v>
      </c>
      <c r="T742">
        <v>202203</v>
      </c>
      <c r="U742" t="s">
        <v>190</v>
      </c>
      <c r="V742">
        <v>239806</v>
      </c>
    </row>
    <row r="743" spans="1:22">
      <c r="A743">
        <v>5352</v>
      </c>
      <c r="B743" t="s">
        <v>2625</v>
      </c>
      <c r="C743">
        <v>5697</v>
      </c>
      <c r="D743" t="s">
        <v>2344</v>
      </c>
      <c r="E743" t="s">
        <v>2036</v>
      </c>
      <c r="F743">
        <v>202108</v>
      </c>
      <c r="G743" t="s">
        <v>178</v>
      </c>
      <c r="H743">
        <v>250</v>
      </c>
      <c r="O743">
        <v>5352</v>
      </c>
      <c r="P743" t="s">
        <v>2625</v>
      </c>
      <c r="Q743">
        <v>5697</v>
      </c>
      <c r="R743" t="s">
        <v>2344</v>
      </c>
      <c r="S743" t="s">
        <v>2036</v>
      </c>
      <c r="T743">
        <v>202203</v>
      </c>
      <c r="U743" t="s">
        <v>191</v>
      </c>
      <c r="V743">
        <v>34356</v>
      </c>
    </row>
    <row r="744" spans="1:22">
      <c r="A744">
        <v>5352</v>
      </c>
      <c r="B744" t="s">
        <v>2625</v>
      </c>
      <c r="C744">
        <v>5697</v>
      </c>
      <c r="D744" t="s">
        <v>2344</v>
      </c>
      <c r="E744" t="s">
        <v>2036</v>
      </c>
      <c r="F744">
        <v>202108</v>
      </c>
      <c r="G744" t="s">
        <v>180</v>
      </c>
      <c r="H744">
        <v>250</v>
      </c>
      <c r="O744">
        <v>5352</v>
      </c>
      <c r="P744" t="s">
        <v>2625</v>
      </c>
      <c r="Q744">
        <v>5697</v>
      </c>
      <c r="R744" t="s">
        <v>2344</v>
      </c>
      <c r="S744" t="s">
        <v>2036</v>
      </c>
      <c r="T744">
        <v>202203</v>
      </c>
      <c r="U744" t="s">
        <v>178</v>
      </c>
      <c r="V744">
        <v>1300</v>
      </c>
    </row>
    <row r="745" spans="1:22">
      <c r="A745">
        <v>5352</v>
      </c>
      <c r="B745" t="s">
        <v>2625</v>
      </c>
      <c r="C745">
        <v>5697</v>
      </c>
      <c r="D745" t="s">
        <v>2344</v>
      </c>
      <c r="E745" t="s">
        <v>2036</v>
      </c>
      <c r="F745">
        <v>202108</v>
      </c>
      <c r="G745" t="s">
        <v>182</v>
      </c>
      <c r="H745">
        <v>54330</v>
      </c>
      <c r="O745">
        <v>5352</v>
      </c>
      <c r="P745" t="s">
        <v>2625</v>
      </c>
      <c r="Q745">
        <v>5697</v>
      </c>
      <c r="R745" t="s">
        <v>2344</v>
      </c>
      <c r="S745" t="s">
        <v>2036</v>
      </c>
      <c r="T745">
        <v>202203</v>
      </c>
      <c r="U745" t="s">
        <v>180</v>
      </c>
      <c r="V745">
        <v>1350</v>
      </c>
    </row>
    <row r="746" spans="1:22">
      <c r="A746">
        <v>5352</v>
      </c>
      <c r="B746" t="s">
        <v>2625</v>
      </c>
      <c r="C746">
        <v>5697</v>
      </c>
      <c r="D746" t="s">
        <v>2344</v>
      </c>
      <c r="E746" t="s">
        <v>2036</v>
      </c>
      <c r="F746">
        <v>202108</v>
      </c>
      <c r="G746" t="s">
        <v>184</v>
      </c>
      <c r="H746">
        <v>8848</v>
      </c>
      <c r="O746">
        <v>5352</v>
      </c>
      <c r="P746" t="s">
        <v>2625</v>
      </c>
      <c r="Q746">
        <v>5697</v>
      </c>
      <c r="R746" t="s">
        <v>2344</v>
      </c>
      <c r="S746" t="s">
        <v>2036</v>
      </c>
      <c r="T746">
        <v>202203</v>
      </c>
      <c r="U746" t="s">
        <v>182</v>
      </c>
      <c r="V746">
        <v>239806</v>
      </c>
    </row>
    <row r="747" spans="1:22">
      <c r="A747">
        <v>5352</v>
      </c>
      <c r="B747" t="s">
        <v>2625</v>
      </c>
      <c r="C747">
        <v>5697</v>
      </c>
      <c r="D747" t="s">
        <v>2344</v>
      </c>
      <c r="E747" t="s">
        <v>2036</v>
      </c>
      <c r="F747">
        <v>202108</v>
      </c>
      <c r="G747" t="s">
        <v>192</v>
      </c>
      <c r="H747">
        <v>0</v>
      </c>
      <c r="O747">
        <v>5352</v>
      </c>
      <c r="P747" t="s">
        <v>2625</v>
      </c>
      <c r="Q747">
        <v>5697</v>
      </c>
      <c r="R747" t="s">
        <v>2344</v>
      </c>
      <c r="S747" t="s">
        <v>2036</v>
      </c>
      <c r="T747">
        <v>202203</v>
      </c>
      <c r="U747" t="s">
        <v>184</v>
      </c>
      <c r="V747">
        <v>34356</v>
      </c>
    </row>
    <row r="748" spans="1:22">
      <c r="A748">
        <v>5352</v>
      </c>
      <c r="B748" t="s">
        <v>2625</v>
      </c>
      <c r="C748">
        <v>5697</v>
      </c>
      <c r="D748" t="s">
        <v>2344</v>
      </c>
      <c r="E748" t="s">
        <v>2036</v>
      </c>
      <c r="F748">
        <v>202108</v>
      </c>
      <c r="G748" t="s">
        <v>2170</v>
      </c>
      <c r="H748">
        <v>28.82</v>
      </c>
      <c r="O748">
        <v>5352</v>
      </c>
      <c r="P748" t="s">
        <v>2625</v>
      </c>
      <c r="Q748">
        <v>5697</v>
      </c>
      <c r="R748" t="s">
        <v>2344</v>
      </c>
      <c r="S748" t="s">
        <v>2036</v>
      </c>
      <c r="T748">
        <v>202203</v>
      </c>
      <c r="U748" t="s">
        <v>186</v>
      </c>
      <c r="V748">
        <v>0</v>
      </c>
    </row>
    <row r="749" spans="1:22">
      <c r="A749">
        <v>5352</v>
      </c>
      <c r="B749" t="s">
        <v>2625</v>
      </c>
      <c r="C749">
        <v>5697</v>
      </c>
      <c r="D749" t="s">
        <v>2344</v>
      </c>
      <c r="E749" t="s">
        <v>2036</v>
      </c>
      <c r="F749">
        <v>202108</v>
      </c>
      <c r="G749" t="s">
        <v>186</v>
      </c>
      <c r="H749">
        <v>0</v>
      </c>
      <c r="O749">
        <v>5352</v>
      </c>
      <c r="P749" t="s">
        <v>2625</v>
      </c>
      <c r="Q749">
        <v>5697</v>
      </c>
      <c r="R749" t="s">
        <v>2344</v>
      </c>
      <c r="S749" t="s">
        <v>2036</v>
      </c>
      <c r="T749">
        <v>202203</v>
      </c>
      <c r="U749" t="s">
        <v>190</v>
      </c>
      <c r="V749">
        <v>214415</v>
      </c>
    </row>
    <row r="750" spans="1:22">
      <c r="A750">
        <v>5352</v>
      </c>
      <c r="B750" t="s">
        <v>2625</v>
      </c>
      <c r="C750">
        <v>5697</v>
      </c>
      <c r="D750" t="s">
        <v>2344</v>
      </c>
      <c r="E750" t="s">
        <v>2036</v>
      </c>
      <c r="F750">
        <v>202108</v>
      </c>
      <c r="G750" t="s">
        <v>2169</v>
      </c>
      <c r="H750">
        <v>99.17</v>
      </c>
      <c r="O750">
        <v>5352</v>
      </c>
      <c r="P750" t="s">
        <v>2625</v>
      </c>
      <c r="Q750">
        <v>5697</v>
      </c>
      <c r="R750" t="s">
        <v>2344</v>
      </c>
      <c r="S750" t="s">
        <v>2036</v>
      </c>
      <c r="T750">
        <v>202203</v>
      </c>
      <c r="U750" t="s">
        <v>191</v>
      </c>
      <c r="V750">
        <v>32196</v>
      </c>
    </row>
    <row r="751" spans="1:22">
      <c r="A751">
        <v>5352</v>
      </c>
      <c r="B751" t="s">
        <v>2625</v>
      </c>
      <c r="C751">
        <v>5697</v>
      </c>
      <c r="D751" t="s">
        <v>2344</v>
      </c>
      <c r="E751" t="s">
        <v>2036</v>
      </c>
      <c r="F751">
        <v>202108</v>
      </c>
      <c r="G751" t="s">
        <v>2166</v>
      </c>
      <c r="H751">
        <v>12.33</v>
      </c>
      <c r="O751">
        <v>5352</v>
      </c>
      <c r="P751" t="s">
        <v>2625</v>
      </c>
      <c r="Q751">
        <v>5697</v>
      </c>
      <c r="R751" t="s">
        <v>2344</v>
      </c>
      <c r="S751" t="s">
        <v>2036</v>
      </c>
      <c r="T751">
        <v>202203</v>
      </c>
      <c r="U751" t="s">
        <v>178</v>
      </c>
      <c r="V751">
        <v>810</v>
      </c>
    </row>
    <row r="752" spans="1:22">
      <c r="A752">
        <v>5352</v>
      </c>
      <c r="B752" t="s">
        <v>2625</v>
      </c>
      <c r="C752">
        <v>5697</v>
      </c>
      <c r="D752" t="s">
        <v>2344</v>
      </c>
      <c r="E752" t="s">
        <v>2036</v>
      </c>
      <c r="F752">
        <v>202108</v>
      </c>
      <c r="G752" t="s">
        <v>2167</v>
      </c>
      <c r="H752">
        <v>23.94</v>
      </c>
      <c r="O752">
        <v>5352</v>
      </c>
      <c r="P752" t="s">
        <v>2625</v>
      </c>
      <c r="Q752">
        <v>5697</v>
      </c>
      <c r="R752" t="s">
        <v>2344</v>
      </c>
      <c r="S752" t="s">
        <v>2036</v>
      </c>
      <c r="T752">
        <v>202203</v>
      </c>
      <c r="U752" t="s">
        <v>180</v>
      </c>
      <c r="V752">
        <v>930</v>
      </c>
    </row>
    <row r="753" spans="1:22">
      <c r="A753">
        <v>5352</v>
      </c>
      <c r="B753" t="s">
        <v>2625</v>
      </c>
      <c r="C753">
        <v>5697</v>
      </c>
      <c r="D753" t="s">
        <v>2344</v>
      </c>
      <c r="E753" t="s">
        <v>2036</v>
      </c>
      <c r="F753">
        <v>202108</v>
      </c>
      <c r="G753" t="s">
        <v>2168</v>
      </c>
      <c r="H753">
        <v>10.17</v>
      </c>
      <c r="O753">
        <v>5352</v>
      </c>
      <c r="P753" t="s">
        <v>2625</v>
      </c>
      <c r="Q753">
        <v>5697</v>
      </c>
      <c r="R753" t="s">
        <v>2344</v>
      </c>
      <c r="S753" t="s">
        <v>2036</v>
      </c>
      <c r="T753">
        <v>202203</v>
      </c>
      <c r="U753" t="s">
        <v>182</v>
      </c>
      <c r="V753">
        <v>214415</v>
      </c>
    </row>
    <row r="754" spans="1:22">
      <c r="A754">
        <v>5352</v>
      </c>
      <c r="B754" t="s">
        <v>2625</v>
      </c>
      <c r="C754">
        <v>5697</v>
      </c>
      <c r="D754" t="s">
        <v>2344</v>
      </c>
      <c r="E754" t="s">
        <v>2036</v>
      </c>
      <c r="F754">
        <v>202108</v>
      </c>
      <c r="G754" t="s">
        <v>2171</v>
      </c>
      <c r="H754">
        <v>19869.669999999998</v>
      </c>
      <c r="O754">
        <v>5352</v>
      </c>
      <c r="P754" t="s">
        <v>2625</v>
      </c>
      <c r="Q754">
        <v>5697</v>
      </c>
      <c r="R754" t="s">
        <v>2344</v>
      </c>
      <c r="S754" t="s">
        <v>2036</v>
      </c>
      <c r="T754">
        <v>202203</v>
      </c>
      <c r="U754" t="s">
        <v>184</v>
      </c>
      <c r="V754">
        <v>32196</v>
      </c>
    </row>
    <row r="755" spans="1:22">
      <c r="A755">
        <v>5352</v>
      </c>
      <c r="B755" t="s">
        <v>2625</v>
      </c>
      <c r="C755">
        <v>5697</v>
      </c>
      <c r="D755" t="s">
        <v>2344</v>
      </c>
      <c r="E755" t="s">
        <v>2036</v>
      </c>
      <c r="F755">
        <v>202108</v>
      </c>
      <c r="G755" t="s">
        <v>190</v>
      </c>
      <c r="H755">
        <v>316431</v>
      </c>
      <c r="O755">
        <v>5352</v>
      </c>
      <c r="P755" t="s">
        <v>2625</v>
      </c>
      <c r="Q755">
        <v>5697</v>
      </c>
      <c r="R755" t="s">
        <v>2344</v>
      </c>
      <c r="S755" t="s">
        <v>2036</v>
      </c>
      <c r="T755">
        <v>202203</v>
      </c>
      <c r="U755" t="s">
        <v>186</v>
      </c>
      <c r="V755">
        <v>0</v>
      </c>
    </row>
    <row r="756" spans="1:22">
      <c r="A756">
        <v>5352</v>
      </c>
      <c r="B756" t="s">
        <v>2625</v>
      </c>
      <c r="C756">
        <v>5697</v>
      </c>
      <c r="D756" t="s">
        <v>2344</v>
      </c>
      <c r="E756" t="s">
        <v>2036</v>
      </c>
      <c r="F756">
        <v>202108</v>
      </c>
      <c r="G756" t="s">
        <v>191</v>
      </c>
      <c r="H756">
        <v>44445</v>
      </c>
      <c r="O756">
        <v>5352</v>
      </c>
      <c r="P756" t="s">
        <v>2625</v>
      </c>
      <c r="Q756">
        <v>5697</v>
      </c>
      <c r="R756" t="s">
        <v>2344</v>
      </c>
      <c r="S756" t="s">
        <v>2036</v>
      </c>
      <c r="T756">
        <v>202203</v>
      </c>
      <c r="U756" t="s">
        <v>190</v>
      </c>
      <c r="V756">
        <v>57966</v>
      </c>
    </row>
    <row r="757" spans="1:22">
      <c r="A757">
        <v>5352</v>
      </c>
      <c r="B757" t="s">
        <v>2625</v>
      </c>
      <c r="C757">
        <v>5697</v>
      </c>
      <c r="D757" t="s">
        <v>2344</v>
      </c>
      <c r="E757" t="s">
        <v>2036</v>
      </c>
      <c r="F757">
        <v>202108</v>
      </c>
      <c r="G757" t="s">
        <v>176</v>
      </c>
      <c r="H757">
        <v>0</v>
      </c>
      <c r="O757">
        <v>5352</v>
      </c>
      <c r="P757" t="s">
        <v>2625</v>
      </c>
      <c r="Q757">
        <v>5697</v>
      </c>
      <c r="R757" t="s">
        <v>2344</v>
      </c>
      <c r="S757" t="s">
        <v>2036</v>
      </c>
      <c r="T757">
        <v>202203</v>
      </c>
      <c r="U757" t="s">
        <v>191</v>
      </c>
      <c r="V757">
        <v>8504</v>
      </c>
    </row>
    <row r="758" spans="1:22">
      <c r="A758">
        <v>5352</v>
      </c>
      <c r="B758" t="s">
        <v>2625</v>
      </c>
      <c r="C758">
        <v>5697</v>
      </c>
      <c r="D758" t="s">
        <v>2344</v>
      </c>
      <c r="E758" t="s">
        <v>2036</v>
      </c>
      <c r="F758">
        <v>202108</v>
      </c>
      <c r="G758" t="s">
        <v>178</v>
      </c>
      <c r="H758">
        <v>896</v>
      </c>
      <c r="O758">
        <v>5352</v>
      </c>
      <c r="P758" t="s">
        <v>2625</v>
      </c>
      <c r="Q758">
        <v>5697</v>
      </c>
      <c r="R758" t="s">
        <v>2344</v>
      </c>
      <c r="S758" t="s">
        <v>2036</v>
      </c>
      <c r="T758">
        <v>202203</v>
      </c>
      <c r="U758" t="s">
        <v>178</v>
      </c>
      <c r="V758">
        <v>250</v>
      </c>
    </row>
    <row r="759" spans="1:22">
      <c r="A759">
        <v>5352</v>
      </c>
      <c r="B759" t="s">
        <v>2625</v>
      </c>
      <c r="C759">
        <v>5697</v>
      </c>
      <c r="D759" t="s">
        <v>2344</v>
      </c>
      <c r="E759" t="s">
        <v>2036</v>
      </c>
      <c r="F759">
        <v>202108</v>
      </c>
      <c r="G759" t="s">
        <v>180</v>
      </c>
      <c r="H759">
        <v>926</v>
      </c>
      <c r="O759">
        <v>5352</v>
      </c>
      <c r="P759" t="s">
        <v>2625</v>
      </c>
      <c r="Q759">
        <v>5697</v>
      </c>
      <c r="R759" t="s">
        <v>2344</v>
      </c>
      <c r="S759" t="s">
        <v>2036</v>
      </c>
      <c r="T759">
        <v>202203</v>
      </c>
      <c r="U759" t="s">
        <v>180</v>
      </c>
      <c r="V759">
        <v>250</v>
      </c>
    </row>
    <row r="760" spans="1:22">
      <c r="A760">
        <v>5352</v>
      </c>
      <c r="B760" t="s">
        <v>2625</v>
      </c>
      <c r="C760">
        <v>5697</v>
      </c>
      <c r="D760" t="s">
        <v>2344</v>
      </c>
      <c r="E760" t="s">
        <v>2036</v>
      </c>
      <c r="F760">
        <v>202108</v>
      </c>
      <c r="G760" t="s">
        <v>182</v>
      </c>
      <c r="H760">
        <v>316431</v>
      </c>
      <c r="O760">
        <v>5352</v>
      </c>
      <c r="P760" t="s">
        <v>2625</v>
      </c>
      <c r="Q760">
        <v>5697</v>
      </c>
      <c r="R760" t="s">
        <v>2344</v>
      </c>
      <c r="S760" t="s">
        <v>2036</v>
      </c>
      <c r="T760">
        <v>202203</v>
      </c>
      <c r="U760" t="s">
        <v>182</v>
      </c>
      <c r="V760">
        <v>57966</v>
      </c>
    </row>
    <row r="761" spans="1:22">
      <c r="A761">
        <v>5352</v>
      </c>
      <c r="B761" t="s">
        <v>2625</v>
      </c>
      <c r="C761">
        <v>5697</v>
      </c>
      <c r="D761" t="s">
        <v>2344</v>
      </c>
      <c r="E761" t="s">
        <v>2036</v>
      </c>
      <c r="F761">
        <v>202108</v>
      </c>
      <c r="G761" t="s">
        <v>184</v>
      </c>
      <c r="H761">
        <v>44445</v>
      </c>
      <c r="O761">
        <v>5352</v>
      </c>
      <c r="P761" t="s">
        <v>2625</v>
      </c>
      <c r="Q761">
        <v>5697</v>
      </c>
      <c r="R761" t="s">
        <v>2344</v>
      </c>
      <c r="S761" t="s">
        <v>2036</v>
      </c>
      <c r="T761">
        <v>202203</v>
      </c>
      <c r="U761" t="s">
        <v>184</v>
      </c>
      <c r="V761">
        <v>8504</v>
      </c>
    </row>
    <row r="762" spans="1:22">
      <c r="A762">
        <v>5352</v>
      </c>
      <c r="B762" t="s">
        <v>2625</v>
      </c>
      <c r="C762">
        <v>5697</v>
      </c>
      <c r="D762" t="s">
        <v>2344</v>
      </c>
      <c r="E762" t="s">
        <v>2036</v>
      </c>
      <c r="F762">
        <v>202108</v>
      </c>
      <c r="G762" t="s">
        <v>192</v>
      </c>
      <c r="H762">
        <v>0</v>
      </c>
      <c r="O762">
        <v>5352</v>
      </c>
      <c r="P762" t="s">
        <v>2625</v>
      </c>
      <c r="Q762">
        <v>5697</v>
      </c>
      <c r="R762" t="s">
        <v>2344</v>
      </c>
      <c r="S762" t="s">
        <v>2036</v>
      </c>
      <c r="T762">
        <v>202203</v>
      </c>
      <c r="U762" t="s">
        <v>186</v>
      </c>
      <c r="V762">
        <v>0</v>
      </c>
    </row>
    <row r="763" spans="1:22">
      <c r="A763">
        <v>5352</v>
      </c>
      <c r="B763" t="s">
        <v>2625</v>
      </c>
      <c r="C763">
        <v>5697</v>
      </c>
      <c r="D763" t="s">
        <v>2344</v>
      </c>
      <c r="E763" t="s">
        <v>2036</v>
      </c>
      <c r="F763">
        <v>202108</v>
      </c>
      <c r="G763" t="s">
        <v>2170</v>
      </c>
      <c r="H763">
        <v>143.16999999999999</v>
      </c>
      <c r="O763">
        <v>5352</v>
      </c>
      <c r="P763" t="s">
        <v>2625</v>
      </c>
      <c r="Q763">
        <v>5697</v>
      </c>
      <c r="R763" t="s">
        <v>2344</v>
      </c>
      <c r="S763" t="s">
        <v>2036</v>
      </c>
      <c r="T763">
        <v>202203</v>
      </c>
      <c r="U763" t="s">
        <v>190</v>
      </c>
      <c r="V763">
        <v>113545</v>
      </c>
    </row>
    <row r="764" spans="1:22">
      <c r="A764">
        <v>5352</v>
      </c>
      <c r="B764" t="s">
        <v>2625</v>
      </c>
      <c r="C764">
        <v>5697</v>
      </c>
      <c r="D764" t="s">
        <v>2344</v>
      </c>
      <c r="E764" t="s">
        <v>2036</v>
      </c>
      <c r="F764">
        <v>202108</v>
      </c>
      <c r="G764" t="s">
        <v>186</v>
      </c>
      <c r="H764">
        <v>0</v>
      </c>
      <c r="O764">
        <v>5352</v>
      </c>
      <c r="P764" t="s">
        <v>2625</v>
      </c>
      <c r="Q764">
        <v>5697</v>
      </c>
      <c r="R764" t="s">
        <v>2344</v>
      </c>
      <c r="S764" t="s">
        <v>2036</v>
      </c>
      <c r="T764">
        <v>202203</v>
      </c>
      <c r="U764" t="s">
        <v>191</v>
      </c>
      <c r="V764">
        <v>14917</v>
      </c>
    </row>
    <row r="765" spans="1:22">
      <c r="A765">
        <v>5352</v>
      </c>
      <c r="B765" t="s">
        <v>2625</v>
      </c>
      <c r="C765">
        <v>5697</v>
      </c>
      <c r="D765" t="s">
        <v>2344</v>
      </c>
      <c r="E765" t="s">
        <v>2036</v>
      </c>
      <c r="F765">
        <v>202108</v>
      </c>
      <c r="G765" t="s">
        <v>2169</v>
      </c>
      <c r="H765">
        <v>99.17</v>
      </c>
      <c r="O765">
        <v>5352</v>
      </c>
      <c r="P765" t="s">
        <v>2625</v>
      </c>
      <c r="Q765">
        <v>5697</v>
      </c>
      <c r="R765" t="s">
        <v>2344</v>
      </c>
      <c r="S765" t="s">
        <v>2036</v>
      </c>
      <c r="T765">
        <v>202203</v>
      </c>
      <c r="U765" t="s">
        <v>178</v>
      </c>
      <c r="V765">
        <v>510</v>
      </c>
    </row>
    <row r="766" spans="1:22">
      <c r="A766">
        <v>5352</v>
      </c>
      <c r="B766" t="s">
        <v>2625</v>
      </c>
      <c r="C766">
        <v>5697</v>
      </c>
      <c r="D766" t="s">
        <v>2344</v>
      </c>
      <c r="E766" t="s">
        <v>2036</v>
      </c>
      <c r="F766">
        <v>202108</v>
      </c>
      <c r="G766" t="s">
        <v>2166</v>
      </c>
      <c r="H766">
        <v>12.33</v>
      </c>
      <c r="O766">
        <v>5352</v>
      </c>
      <c r="P766" t="s">
        <v>2625</v>
      </c>
      <c r="Q766">
        <v>5697</v>
      </c>
      <c r="R766" t="s">
        <v>2344</v>
      </c>
      <c r="S766" t="s">
        <v>2036</v>
      </c>
      <c r="T766">
        <v>202203</v>
      </c>
      <c r="U766" t="s">
        <v>180</v>
      </c>
      <c r="V766">
        <v>570</v>
      </c>
    </row>
    <row r="767" spans="1:22">
      <c r="A767">
        <v>5352</v>
      </c>
      <c r="B767" t="s">
        <v>2625</v>
      </c>
      <c r="C767">
        <v>5697</v>
      </c>
      <c r="D767" t="s">
        <v>2344</v>
      </c>
      <c r="E767" t="s">
        <v>2036</v>
      </c>
      <c r="F767">
        <v>202108</v>
      </c>
      <c r="G767" t="s">
        <v>2167</v>
      </c>
      <c r="H767">
        <v>23.94</v>
      </c>
      <c r="O767">
        <v>5352</v>
      </c>
      <c r="P767" t="s">
        <v>2625</v>
      </c>
      <c r="Q767">
        <v>5697</v>
      </c>
      <c r="R767" t="s">
        <v>2344</v>
      </c>
      <c r="S767" t="s">
        <v>2036</v>
      </c>
      <c r="T767">
        <v>202203</v>
      </c>
      <c r="U767" t="s">
        <v>182</v>
      </c>
      <c r="V767">
        <v>113545</v>
      </c>
    </row>
    <row r="768" spans="1:22">
      <c r="A768">
        <v>5352</v>
      </c>
      <c r="B768" t="s">
        <v>2625</v>
      </c>
      <c r="C768">
        <v>5697</v>
      </c>
      <c r="D768" t="s">
        <v>2344</v>
      </c>
      <c r="E768" t="s">
        <v>2036</v>
      </c>
      <c r="F768">
        <v>202108</v>
      </c>
      <c r="G768" t="s">
        <v>2168</v>
      </c>
      <c r="H768">
        <v>10.17</v>
      </c>
      <c r="O768">
        <v>5352</v>
      </c>
      <c r="P768" t="s">
        <v>2625</v>
      </c>
      <c r="Q768">
        <v>5697</v>
      </c>
      <c r="R768" t="s">
        <v>2344</v>
      </c>
      <c r="S768" t="s">
        <v>2036</v>
      </c>
      <c r="T768">
        <v>202203</v>
      </c>
      <c r="U768" t="s">
        <v>184</v>
      </c>
      <c r="V768">
        <v>14917</v>
      </c>
    </row>
    <row r="769" spans="1:22">
      <c r="A769">
        <v>5352</v>
      </c>
      <c r="B769" t="s">
        <v>2625</v>
      </c>
      <c r="C769">
        <v>5697</v>
      </c>
      <c r="D769" t="s">
        <v>2344</v>
      </c>
      <c r="E769" t="s">
        <v>2036</v>
      </c>
      <c r="F769">
        <v>202108</v>
      </c>
      <c r="G769" t="s">
        <v>2171</v>
      </c>
      <c r="H769">
        <v>79536.929999999993</v>
      </c>
      <c r="O769">
        <v>5352</v>
      </c>
      <c r="P769" t="s">
        <v>2625</v>
      </c>
      <c r="Q769">
        <v>5697</v>
      </c>
      <c r="R769" t="s">
        <v>2344</v>
      </c>
      <c r="S769" t="s">
        <v>2036</v>
      </c>
      <c r="T769">
        <v>202203</v>
      </c>
      <c r="U769" t="s">
        <v>186</v>
      </c>
      <c r="V769">
        <v>0</v>
      </c>
    </row>
    <row r="770" spans="1:22">
      <c r="A770">
        <v>5352</v>
      </c>
      <c r="B770" t="s">
        <v>2625</v>
      </c>
      <c r="C770">
        <v>5697</v>
      </c>
      <c r="D770" t="s">
        <v>2344</v>
      </c>
      <c r="E770" t="s">
        <v>2036</v>
      </c>
      <c r="F770">
        <v>202109</v>
      </c>
      <c r="G770" t="s">
        <v>190</v>
      </c>
      <c r="H770">
        <v>650166</v>
      </c>
      <c r="O770">
        <v>5352</v>
      </c>
      <c r="P770" t="s">
        <v>2625</v>
      </c>
      <c r="Q770">
        <v>5697</v>
      </c>
      <c r="R770" t="s">
        <v>2344</v>
      </c>
      <c r="S770" t="s">
        <v>2036</v>
      </c>
      <c r="T770">
        <v>202203</v>
      </c>
      <c r="U770" t="s">
        <v>190</v>
      </c>
      <c r="V770">
        <v>348742</v>
      </c>
    </row>
    <row r="771" spans="1:22">
      <c r="A771">
        <v>5352</v>
      </c>
      <c r="B771" t="s">
        <v>2625</v>
      </c>
      <c r="C771">
        <v>5697</v>
      </c>
      <c r="D771" t="s">
        <v>2344</v>
      </c>
      <c r="E771" t="s">
        <v>2036</v>
      </c>
      <c r="F771">
        <v>202109</v>
      </c>
      <c r="G771" t="s">
        <v>191</v>
      </c>
      <c r="H771">
        <v>48888</v>
      </c>
      <c r="O771">
        <v>5352</v>
      </c>
      <c r="P771" t="s">
        <v>2625</v>
      </c>
      <c r="Q771">
        <v>5697</v>
      </c>
      <c r="R771" t="s">
        <v>2344</v>
      </c>
      <c r="S771" t="s">
        <v>2036</v>
      </c>
      <c r="T771">
        <v>202203</v>
      </c>
      <c r="U771" t="s">
        <v>191</v>
      </c>
      <c r="V771">
        <v>45908</v>
      </c>
    </row>
    <row r="772" spans="1:22">
      <c r="A772">
        <v>5352</v>
      </c>
      <c r="B772" t="s">
        <v>2625</v>
      </c>
      <c r="C772">
        <v>5697</v>
      </c>
      <c r="D772" t="s">
        <v>2344</v>
      </c>
      <c r="E772" t="s">
        <v>2036</v>
      </c>
      <c r="F772">
        <v>202109</v>
      </c>
      <c r="G772" t="s">
        <v>176</v>
      </c>
      <c r="H772">
        <v>0</v>
      </c>
      <c r="O772">
        <v>5352</v>
      </c>
      <c r="P772" t="s">
        <v>2625</v>
      </c>
      <c r="Q772">
        <v>5697</v>
      </c>
      <c r="R772" t="s">
        <v>2344</v>
      </c>
      <c r="S772" t="s">
        <v>2036</v>
      </c>
      <c r="T772">
        <v>202203</v>
      </c>
      <c r="U772" t="s">
        <v>178</v>
      </c>
      <c r="V772">
        <v>970</v>
      </c>
    </row>
    <row r="773" spans="1:22">
      <c r="A773">
        <v>5352</v>
      </c>
      <c r="B773" t="s">
        <v>2625</v>
      </c>
      <c r="C773">
        <v>5697</v>
      </c>
      <c r="D773" t="s">
        <v>2344</v>
      </c>
      <c r="E773" t="s">
        <v>2036</v>
      </c>
      <c r="F773">
        <v>202109</v>
      </c>
      <c r="G773" t="s">
        <v>178</v>
      </c>
      <c r="H773">
        <v>1374</v>
      </c>
      <c r="O773">
        <v>5352</v>
      </c>
      <c r="P773" t="s">
        <v>2625</v>
      </c>
      <c r="Q773">
        <v>5697</v>
      </c>
      <c r="R773" t="s">
        <v>2344</v>
      </c>
      <c r="S773" t="s">
        <v>2036</v>
      </c>
      <c r="T773">
        <v>202203</v>
      </c>
      <c r="U773" t="s">
        <v>180</v>
      </c>
      <c r="V773">
        <v>970</v>
      </c>
    </row>
    <row r="774" spans="1:22">
      <c r="A774">
        <v>5352</v>
      </c>
      <c r="B774" t="s">
        <v>2625</v>
      </c>
      <c r="C774">
        <v>5697</v>
      </c>
      <c r="D774" t="s">
        <v>2344</v>
      </c>
      <c r="E774" t="s">
        <v>2036</v>
      </c>
      <c r="F774">
        <v>202109</v>
      </c>
      <c r="G774" t="s">
        <v>180</v>
      </c>
      <c r="H774">
        <v>1377</v>
      </c>
      <c r="O774">
        <v>5352</v>
      </c>
      <c r="P774" t="s">
        <v>2625</v>
      </c>
      <c r="Q774">
        <v>5697</v>
      </c>
      <c r="R774" t="s">
        <v>2344</v>
      </c>
      <c r="S774" t="s">
        <v>2036</v>
      </c>
      <c r="T774">
        <v>202203</v>
      </c>
      <c r="U774" t="s">
        <v>182</v>
      </c>
      <c r="V774">
        <v>348742</v>
      </c>
    </row>
    <row r="775" spans="1:22">
      <c r="A775">
        <v>5352</v>
      </c>
      <c r="B775" t="s">
        <v>2625</v>
      </c>
      <c r="C775">
        <v>5697</v>
      </c>
      <c r="D775" t="s">
        <v>2344</v>
      </c>
      <c r="E775" t="s">
        <v>2036</v>
      </c>
      <c r="F775">
        <v>202109</v>
      </c>
      <c r="G775" t="s">
        <v>182</v>
      </c>
      <c r="H775">
        <v>650166</v>
      </c>
      <c r="O775">
        <v>5352</v>
      </c>
      <c r="P775" t="s">
        <v>2625</v>
      </c>
      <c r="Q775">
        <v>5697</v>
      </c>
      <c r="R775" t="s">
        <v>2344</v>
      </c>
      <c r="S775" t="s">
        <v>2036</v>
      </c>
      <c r="T775">
        <v>202203</v>
      </c>
      <c r="U775" t="s">
        <v>184</v>
      </c>
      <c r="V775">
        <v>45908</v>
      </c>
    </row>
    <row r="776" spans="1:22">
      <c r="A776">
        <v>5352</v>
      </c>
      <c r="B776" t="s">
        <v>2625</v>
      </c>
      <c r="C776">
        <v>5697</v>
      </c>
      <c r="D776" t="s">
        <v>2344</v>
      </c>
      <c r="E776" t="s">
        <v>2036</v>
      </c>
      <c r="F776">
        <v>202109</v>
      </c>
      <c r="G776" t="s">
        <v>184</v>
      </c>
      <c r="H776">
        <v>48888</v>
      </c>
      <c r="O776">
        <v>5352</v>
      </c>
      <c r="P776" t="s">
        <v>2625</v>
      </c>
      <c r="Q776">
        <v>5697</v>
      </c>
      <c r="R776" t="s">
        <v>2344</v>
      </c>
      <c r="S776" t="s">
        <v>2036</v>
      </c>
      <c r="T776">
        <v>202203</v>
      </c>
      <c r="U776" t="s">
        <v>186</v>
      </c>
      <c r="V776">
        <v>0</v>
      </c>
    </row>
    <row r="777" spans="1:22">
      <c r="A777">
        <v>5352</v>
      </c>
      <c r="B777" t="s">
        <v>2625</v>
      </c>
      <c r="C777">
        <v>5697</v>
      </c>
      <c r="D777" t="s">
        <v>2344</v>
      </c>
      <c r="E777" t="s">
        <v>2036</v>
      </c>
      <c r="F777">
        <v>202109</v>
      </c>
      <c r="G777" t="s">
        <v>192</v>
      </c>
      <c r="H777">
        <v>0</v>
      </c>
      <c r="O777">
        <v>5352</v>
      </c>
      <c r="P777" t="s">
        <v>2625</v>
      </c>
      <c r="Q777">
        <v>5697</v>
      </c>
      <c r="R777" t="s">
        <v>2344</v>
      </c>
      <c r="S777" t="s">
        <v>2036</v>
      </c>
      <c r="T777">
        <v>202203</v>
      </c>
      <c r="U777" t="s">
        <v>190</v>
      </c>
      <c r="V777">
        <v>172212</v>
      </c>
    </row>
    <row r="778" spans="1:22">
      <c r="A778">
        <v>5352</v>
      </c>
      <c r="B778" t="s">
        <v>2625</v>
      </c>
      <c r="C778">
        <v>5697</v>
      </c>
      <c r="D778" t="s">
        <v>2344</v>
      </c>
      <c r="E778" t="s">
        <v>2036</v>
      </c>
      <c r="F778">
        <v>202109</v>
      </c>
      <c r="G778" t="s">
        <v>2170</v>
      </c>
      <c r="H778">
        <v>531.73</v>
      </c>
      <c r="O778">
        <v>5352</v>
      </c>
      <c r="P778" t="s">
        <v>2625</v>
      </c>
      <c r="Q778">
        <v>5697</v>
      </c>
      <c r="R778" t="s">
        <v>2344</v>
      </c>
      <c r="S778" t="s">
        <v>2036</v>
      </c>
      <c r="T778">
        <v>202203</v>
      </c>
      <c r="U778" t="s">
        <v>191</v>
      </c>
      <c r="V778">
        <v>22190</v>
      </c>
    </row>
    <row r="779" spans="1:22">
      <c r="A779">
        <v>5352</v>
      </c>
      <c r="B779" t="s">
        <v>2625</v>
      </c>
      <c r="C779">
        <v>5697</v>
      </c>
      <c r="D779" t="s">
        <v>2344</v>
      </c>
      <c r="E779" t="s">
        <v>2036</v>
      </c>
      <c r="F779">
        <v>202109</v>
      </c>
      <c r="G779" t="s">
        <v>186</v>
      </c>
      <c r="H779">
        <v>0</v>
      </c>
      <c r="O779">
        <v>5352</v>
      </c>
      <c r="P779" t="s">
        <v>2625</v>
      </c>
      <c r="Q779">
        <v>5697</v>
      </c>
      <c r="R779" t="s">
        <v>2344</v>
      </c>
      <c r="S779" t="s">
        <v>2036</v>
      </c>
      <c r="T779">
        <v>202203</v>
      </c>
      <c r="U779" t="s">
        <v>178</v>
      </c>
      <c r="V779">
        <v>538</v>
      </c>
    </row>
    <row r="780" spans="1:22">
      <c r="A780">
        <v>5352</v>
      </c>
      <c r="B780" t="s">
        <v>2625</v>
      </c>
      <c r="C780">
        <v>5697</v>
      </c>
      <c r="D780" t="s">
        <v>2344</v>
      </c>
      <c r="E780" t="s">
        <v>2036</v>
      </c>
      <c r="F780">
        <v>202109</v>
      </c>
      <c r="G780" t="s">
        <v>2169</v>
      </c>
      <c r="H780">
        <v>99.17</v>
      </c>
      <c r="O780">
        <v>5352</v>
      </c>
      <c r="P780" t="s">
        <v>2625</v>
      </c>
      <c r="Q780">
        <v>5697</v>
      </c>
      <c r="R780" t="s">
        <v>2344</v>
      </c>
      <c r="S780" t="s">
        <v>2036</v>
      </c>
      <c r="T780">
        <v>202203</v>
      </c>
      <c r="U780" t="s">
        <v>180</v>
      </c>
      <c r="V780">
        <v>530</v>
      </c>
    </row>
    <row r="781" spans="1:22">
      <c r="A781">
        <v>5352</v>
      </c>
      <c r="B781" t="s">
        <v>2625</v>
      </c>
      <c r="C781">
        <v>5697</v>
      </c>
      <c r="D781" t="s">
        <v>2344</v>
      </c>
      <c r="E781" t="s">
        <v>2036</v>
      </c>
      <c r="F781">
        <v>202109</v>
      </c>
      <c r="G781" t="s">
        <v>2166</v>
      </c>
      <c r="H781">
        <v>12.33</v>
      </c>
      <c r="O781">
        <v>5352</v>
      </c>
      <c r="P781" t="s">
        <v>2625</v>
      </c>
      <c r="Q781">
        <v>5697</v>
      </c>
      <c r="R781" t="s">
        <v>2344</v>
      </c>
      <c r="S781" t="s">
        <v>2036</v>
      </c>
      <c r="T781">
        <v>202203</v>
      </c>
      <c r="U781" t="s">
        <v>182</v>
      </c>
      <c r="V781">
        <v>172212</v>
      </c>
    </row>
    <row r="782" spans="1:22">
      <c r="A782">
        <v>5352</v>
      </c>
      <c r="B782" t="s">
        <v>2625</v>
      </c>
      <c r="C782">
        <v>5697</v>
      </c>
      <c r="D782" t="s">
        <v>2344</v>
      </c>
      <c r="E782" t="s">
        <v>2036</v>
      </c>
      <c r="F782">
        <v>202109</v>
      </c>
      <c r="G782" t="s">
        <v>2167</v>
      </c>
      <c r="H782">
        <v>23.94</v>
      </c>
      <c r="O782">
        <v>5352</v>
      </c>
      <c r="P782" t="s">
        <v>2625</v>
      </c>
      <c r="Q782">
        <v>5697</v>
      </c>
      <c r="R782" t="s">
        <v>2344</v>
      </c>
      <c r="S782" t="s">
        <v>2036</v>
      </c>
      <c r="T782">
        <v>202203</v>
      </c>
      <c r="U782" t="s">
        <v>184</v>
      </c>
      <c r="V782">
        <v>22190</v>
      </c>
    </row>
    <row r="783" spans="1:22">
      <c r="A783">
        <v>5352</v>
      </c>
      <c r="B783" t="s">
        <v>2625</v>
      </c>
      <c r="C783">
        <v>5697</v>
      </c>
      <c r="D783" t="s">
        <v>2344</v>
      </c>
      <c r="E783" t="s">
        <v>2036</v>
      </c>
      <c r="F783">
        <v>202109</v>
      </c>
      <c r="G783" t="s">
        <v>2168</v>
      </c>
      <c r="H783">
        <v>10.17</v>
      </c>
      <c r="O783">
        <v>5352</v>
      </c>
      <c r="P783" t="s">
        <v>2625</v>
      </c>
      <c r="Q783">
        <v>5697</v>
      </c>
      <c r="R783" t="s">
        <v>2344</v>
      </c>
      <c r="S783" t="s">
        <v>2036</v>
      </c>
      <c r="T783">
        <v>202203</v>
      </c>
      <c r="U783" t="s">
        <v>186</v>
      </c>
      <c r="V783">
        <v>0</v>
      </c>
    </row>
    <row r="784" spans="1:22">
      <c r="A784">
        <v>5352</v>
      </c>
      <c r="B784" t="s">
        <v>2625</v>
      </c>
      <c r="C784">
        <v>5697</v>
      </c>
      <c r="D784" t="s">
        <v>2344</v>
      </c>
      <c r="E784" t="s">
        <v>2036</v>
      </c>
      <c r="F784">
        <v>202109</v>
      </c>
      <c r="G784" t="s">
        <v>2171</v>
      </c>
      <c r="H784">
        <v>132932.04</v>
      </c>
      <c r="O784">
        <v>5352</v>
      </c>
      <c r="P784" t="s">
        <v>2625</v>
      </c>
      <c r="Q784">
        <v>5697</v>
      </c>
      <c r="R784" t="s">
        <v>2344</v>
      </c>
      <c r="S784" t="s">
        <v>2036</v>
      </c>
      <c r="T784">
        <v>202203</v>
      </c>
      <c r="U784" t="s">
        <v>190</v>
      </c>
      <c r="V784">
        <v>914123</v>
      </c>
    </row>
    <row r="785" spans="1:22">
      <c r="A785">
        <v>5352</v>
      </c>
      <c r="B785" t="s">
        <v>2625</v>
      </c>
      <c r="C785">
        <v>5697</v>
      </c>
      <c r="D785" t="s">
        <v>2344</v>
      </c>
      <c r="E785" t="s">
        <v>2036</v>
      </c>
      <c r="F785">
        <v>202109</v>
      </c>
      <c r="G785" t="s">
        <v>190</v>
      </c>
      <c r="H785">
        <v>141712</v>
      </c>
      <c r="O785">
        <v>5352</v>
      </c>
      <c r="P785" t="s">
        <v>2625</v>
      </c>
      <c r="Q785">
        <v>5697</v>
      </c>
      <c r="R785" t="s">
        <v>2344</v>
      </c>
      <c r="S785" t="s">
        <v>2036</v>
      </c>
      <c r="T785">
        <v>202203</v>
      </c>
      <c r="U785" t="s">
        <v>191</v>
      </c>
      <c r="V785">
        <v>127012</v>
      </c>
    </row>
    <row r="786" spans="1:22">
      <c r="A786">
        <v>5352</v>
      </c>
      <c r="B786" t="s">
        <v>2625</v>
      </c>
      <c r="C786">
        <v>5697</v>
      </c>
      <c r="D786" t="s">
        <v>2344</v>
      </c>
      <c r="E786" t="s">
        <v>2036</v>
      </c>
      <c r="F786">
        <v>202109</v>
      </c>
      <c r="G786" t="s">
        <v>191</v>
      </c>
      <c r="H786">
        <v>22874</v>
      </c>
      <c r="O786">
        <v>5352</v>
      </c>
      <c r="P786" t="s">
        <v>2625</v>
      </c>
      <c r="Q786">
        <v>5697</v>
      </c>
      <c r="R786" t="s">
        <v>2344</v>
      </c>
      <c r="S786" t="s">
        <v>2036</v>
      </c>
      <c r="T786">
        <v>202203</v>
      </c>
      <c r="U786" t="s">
        <v>178</v>
      </c>
      <c r="V786">
        <v>2750</v>
      </c>
    </row>
    <row r="787" spans="1:22">
      <c r="A787">
        <v>5352</v>
      </c>
      <c r="B787" t="s">
        <v>2625</v>
      </c>
      <c r="C787">
        <v>5697</v>
      </c>
      <c r="D787" t="s">
        <v>2344</v>
      </c>
      <c r="E787" t="s">
        <v>2036</v>
      </c>
      <c r="F787">
        <v>202109</v>
      </c>
      <c r="G787" t="s">
        <v>176</v>
      </c>
      <c r="H787">
        <v>0</v>
      </c>
      <c r="O787">
        <v>5352</v>
      </c>
      <c r="P787" t="s">
        <v>2625</v>
      </c>
      <c r="Q787">
        <v>5697</v>
      </c>
      <c r="R787" t="s">
        <v>2344</v>
      </c>
      <c r="S787" t="s">
        <v>2036</v>
      </c>
      <c r="T787">
        <v>202203</v>
      </c>
      <c r="U787" t="s">
        <v>180</v>
      </c>
      <c r="V787">
        <v>2760</v>
      </c>
    </row>
    <row r="788" spans="1:22">
      <c r="A788">
        <v>5352</v>
      </c>
      <c r="B788" t="s">
        <v>2625</v>
      </c>
      <c r="C788">
        <v>5697</v>
      </c>
      <c r="D788" t="s">
        <v>2344</v>
      </c>
      <c r="E788" t="s">
        <v>2036</v>
      </c>
      <c r="F788">
        <v>202109</v>
      </c>
      <c r="G788" t="s">
        <v>178</v>
      </c>
      <c r="H788">
        <v>470</v>
      </c>
      <c r="O788">
        <v>5352</v>
      </c>
      <c r="P788" t="s">
        <v>2625</v>
      </c>
      <c r="Q788">
        <v>5697</v>
      </c>
      <c r="R788" t="s">
        <v>2344</v>
      </c>
      <c r="S788" t="s">
        <v>2036</v>
      </c>
      <c r="T788">
        <v>202203</v>
      </c>
      <c r="U788" t="s">
        <v>182</v>
      </c>
      <c r="V788">
        <v>975318</v>
      </c>
    </row>
    <row r="789" spans="1:22">
      <c r="A789">
        <v>5352</v>
      </c>
      <c r="B789" t="s">
        <v>2625</v>
      </c>
      <c r="C789">
        <v>5697</v>
      </c>
      <c r="D789" t="s">
        <v>2344</v>
      </c>
      <c r="E789" t="s">
        <v>2036</v>
      </c>
      <c r="F789">
        <v>202109</v>
      </c>
      <c r="G789" t="s">
        <v>180</v>
      </c>
      <c r="H789">
        <v>530</v>
      </c>
      <c r="O789">
        <v>5352</v>
      </c>
      <c r="P789" t="s">
        <v>2625</v>
      </c>
      <c r="Q789">
        <v>5697</v>
      </c>
      <c r="R789" t="s">
        <v>2344</v>
      </c>
      <c r="S789" t="s">
        <v>2036</v>
      </c>
      <c r="T789">
        <v>202203</v>
      </c>
      <c r="U789" t="s">
        <v>184</v>
      </c>
      <c r="V789">
        <v>127012</v>
      </c>
    </row>
    <row r="790" spans="1:22">
      <c r="A790">
        <v>5352</v>
      </c>
      <c r="B790" t="s">
        <v>2625</v>
      </c>
      <c r="C790">
        <v>5697</v>
      </c>
      <c r="D790" t="s">
        <v>2344</v>
      </c>
      <c r="E790" t="s">
        <v>2036</v>
      </c>
      <c r="F790">
        <v>202109</v>
      </c>
      <c r="G790" t="s">
        <v>182</v>
      </c>
      <c r="H790">
        <v>141712</v>
      </c>
      <c r="O790">
        <v>5352</v>
      </c>
      <c r="P790" t="s">
        <v>2625</v>
      </c>
      <c r="Q790">
        <v>5697</v>
      </c>
      <c r="R790" t="s">
        <v>2344</v>
      </c>
      <c r="S790" t="s">
        <v>2036</v>
      </c>
      <c r="T790">
        <v>202203</v>
      </c>
      <c r="U790" t="s">
        <v>186</v>
      </c>
      <c r="V790">
        <v>61195</v>
      </c>
    </row>
    <row r="791" spans="1:22">
      <c r="A791">
        <v>5352</v>
      </c>
      <c r="B791" t="s">
        <v>2625</v>
      </c>
      <c r="C791">
        <v>5697</v>
      </c>
      <c r="D791" t="s">
        <v>2344</v>
      </c>
      <c r="E791" t="s">
        <v>2036</v>
      </c>
      <c r="F791">
        <v>202109</v>
      </c>
      <c r="G791" t="s">
        <v>184</v>
      </c>
      <c r="H791">
        <v>22874</v>
      </c>
      <c r="O791">
        <v>5352</v>
      </c>
      <c r="P791" t="s">
        <v>2625</v>
      </c>
      <c r="Q791">
        <v>5697</v>
      </c>
      <c r="R791" t="s">
        <v>2344</v>
      </c>
      <c r="S791" t="s">
        <v>2036</v>
      </c>
      <c r="T791">
        <v>202203</v>
      </c>
      <c r="U791" t="s">
        <v>190</v>
      </c>
      <c r="V791">
        <v>216027</v>
      </c>
    </row>
    <row r="792" spans="1:22">
      <c r="A792">
        <v>5352</v>
      </c>
      <c r="B792" t="s">
        <v>2625</v>
      </c>
      <c r="C792">
        <v>5697</v>
      </c>
      <c r="D792" t="s">
        <v>2344</v>
      </c>
      <c r="E792" t="s">
        <v>2036</v>
      </c>
      <c r="F792">
        <v>202109</v>
      </c>
      <c r="G792" t="s">
        <v>192</v>
      </c>
      <c r="H792">
        <v>0</v>
      </c>
      <c r="O792">
        <v>5352</v>
      </c>
      <c r="P792" t="s">
        <v>2625</v>
      </c>
      <c r="Q792">
        <v>5697</v>
      </c>
      <c r="R792" t="s">
        <v>2344</v>
      </c>
      <c r="S792" t="s">
        <v>2036</v>
      </c>
      <c r="T792">
        <v>202203</v>
      </c>
      <c r="U792" t="s">
        <v>191</v>
      </c>
      <c r="V792">
        <v>29233</v>
      </c>
    </row>
    <row r="793" spans="1:22">
      <c r="A793">
        <v>5352</v>
      </c>
      <c r="B793" t="s">
        <v>2625</v>
      </c>
      <c r="C793">
        <v>5697</v>
      </c>
      <c r="D793" t="s">
        <v>2344</v>
      </c>
      <c r="E793" t="s">
        <v>2036</v>
      </c>
      <c r="F793">
        <v>202109</v>
      </c>
      <c r="G793" t="s">
        <v>2170</v>
      </c>
      <c r="H793">
        <v>146.5</v>
      </c>
      <c r="O793">
        <v>5352</v>
      </c>
      <c r="P793" t="s">
        <v>2625</v>
      </c>
      <c r="Q793">
        <v>5697</v>
      </c>
      <c r="R793" t="s">
        <v>2344</v>
      </c>
      <c r="S793" t="s">
        <v>2036</v>
      </c>
      <c r="T793">
        <v>202203</v>
      </c>
      <c r="U793" t="s">
        <v>178</v>
      </c>
      <c r="V793">
        <v>700</v>
      </c>
    </row>
    <row r="794" spans="1:22">
      <c r="A794">
        <v>5352</v>
      </c>
      <c r="B794" t="s">
        <v>2625</v>
      </c>
      <c r="C794">
        <v>5697</v>
      </c>
      <c r="D794" t="s">
        <v>2344</v>
      </c>
      <c r="E794" t="s">
        <v>2036</v>
      </c>
      <c r="F794">
        <v>202109</v>
      </c>
      <c r="G794" t="s">
        <v>186</v>
      </c>
      <c r="H794">
        <v>0</v>
      </c>
      <c r="O794">
        <v>5352</v>
      </c>
      <c r="P794" t="s">
        <v>2625</v>
      </c>
      <c r="Q794">
        <v>5697</v>
      </c>
      <c r="R794" t="s">
        <v>2344</v>
      </c>
      <c r="S794" t="s">
        <v>2036</v>
      </c>
      <c r="T794">
        <v>202203</v>
      </c>
      <c r="U794" t="s">
        <v>180</v>
      </c>
      <c r="V794">
        <v>680</v>
      </c>
    </row>
    <row r="795" spans="1:22">
      <c r="A795">
        <v>5352</v>
      </c>
      <c r="B795" t="s">
        <v>2625</v>
      </c>
      <c r="C795">
        <v>5697</v>
      </c>
      <c r="D795" t="s">
        <v>2344</v>
      </c>
      <c r="E795" t="s">
        <v>2036</v>
      </c>
      <c r="F795">
        <v>202109</v>
      </c>
      <c r="G795" t="s">
        <v>2169</v>
      </c>
      <c r="H795">
        <v>99.17</v>
      </c>
      <c r="O795">
        <v>5352</v>
      </c>
      <c r="P795" t="s">
        <v>2625</v>
      </c>
      <c r="Q795">
        <v>5697</v>
      </c>
      <c r="R795" t="s">
        <v>2344</v>
      </c>
      <c r="S795" t="s">
        <v>2036</v>
      </c>
      <c r="T795">
        <v>202203</v>
      </c>
      <c r="U795" t="s">
        <v>182</v>
      </c>
      <c r="V795">
        <v>216027</v>
      </c>
    </row>
    <row r="796" spans="1:22">
      <c r="A796">
        <v>5352</v>
      </c>
      <c r="B796" t="s">
        <v>2625</v>
      </c>
      <c r="C796">
        <v>5697</v>
      </c>
      <c r="D796" t="s">
        <v>2344</v>
      </c>
      <c r="E796" t="s">
        <v>2036</v>
      </c>
      <c r="F796">
        <v>202109</v>
      </c>
      <c r="G796" t="s">
        <v>2166</v>
      </c>
      <c r="H796">
        <v>12.33</v>
      </c>
      <c r="O796">
        <v>5352</v>
      </c>
      <c r="P796" t="s">
        <v>2625</v>
      </c>
      <c r="Q796">
        <v>5697</v>
      </c>
      <c r="R796" t="s">
        <v>2344</v>
      </c>
      <c r="S796" t="s">
        <v>2036</v>
      </c>
      <c r="T796">
        <v>202203</v>
      </c>
      <c r="U796" t="s">
        <v>184</v>
      </c>
      <c r="V796">
        <v>29233</v>
      </c>
    </row>
    <row r="797" spans="1:22">
      <c r="A797">
        <v>5352</v>
      </c>
      <c r="B797" t="s">
        <v>2625</v>
      </c>
      <c r="C797">
        <v>5697</v>
      </c>
      <c r="D797" t="s">
        <v>2344</v>
      </c>
      <c r="E797" t="s">
        <v>2036</v>
      </c>
      <c r="F797">
        <v>202109</v>
      </c>
      <c r="G797" t="s">
        <v>2167</v>
      </c>
      <c r="H797">
        <v>23.94</v>
      </c>
      <c r="O797">
        <v>5352</v>
      </c>
      <c r="P797" t="s">
        <v>2625</v>
      </c>
      <c r="Q797">
        <v>5697</v>
      </c>
      <c r="R797" t="s">
        <v>2344</v>
      </c>
      <c r="S797" t="s">
        <v>2036</v>
      </c>
      <c r="T797">
        <v>202203</v>
      </c>
      <c r="U797" t="s">
        <v>186</v>
      </c>
      <c r="V797">
        <v>0</v>
      </c>
    </row>
    <row r="798" spans="1:22">
      <c r="A798">
        <v>5352</v>
      </c>
      <c r="B798" t="s">
        <v>2625</v>
      </c>
      <c r="C798">
        <v>5697</v>
      </c>
      <c r="D798" t="s">
        <v>2344</v>
      </c>
      <c r="E798" t="s">
        <v>2036</v>
      </c>
      <c r="F798">
        <v>202109</v>
      </c>
      <c r="G798" t="s">
        <v>2168</v>
      </c>
      <c r="H798">
        <v>10.17</v>
      </c>
      <c r="O798">
        <v>5352</v>
      </c>
      <c r="P798" t="s">
        <v>2625</v>
      </c>
      <c r="Q798">
        <v>5697</v>
      </c>
      <c r="R798" t="s">
        <v>2344</v>
      </c>
      <c r="S798" t="s">
        <v>2036</v>
      </c>
      <c r="T798">
        <v>202203</v>
      </c>
      <c r="U798" t="s">
        <v>190</v>
      </c>
      <c r="V798">
        <v>12892</v>
      </c>
    </row>
    <row r="799" spans="1:22">
      <c r="A799">
        <v>5352</v>
      </c>
      <c r="B799" t="s">
        <v>2625</v>
      </c>
      <c r="C799">
        <v>5697</v>
      </c>
      <c r="D799" t="s">
        <v>2344</v>
      </c>
      <c r="E799" t="s">
        <v>2036</v>
      </c>
      <c r="F799">
        <v>202109</v>
      </c>
      <c r="G799" t="s">
        <v>2171</v>
      </c>
      <c r="H799">
        <v>36625.61</v>
      </c>
      <c r="O799">
        <v>5352</v>
      </c>
      <c r="P799" t="s">
        <v>2625</v>
      </c>
      <c r="Q799">
        <v>5697</v>
      </c>
      <c r="R799" t="s">
        <v>2344</v>
      </c>
      <c r="S799" t="s">
        <v>2036</v>
      </c>
      <c r="T799">
        <v>202203</v>
      </c>
      <c r="U799" t="s">
        <v>191</v>
      </c>
      <c r="V799">
        <v>1821</v>
      </c>
    </row>
    <row r="800" spans="1:22">
      <c r="A800">
        <v>5352</v>
      </c>
      <c r="B800" t="s">
        <v>2625</v>
      </c>
      <c r="C800">
        <v>5697</v>
      </c>
      <c r="D800" t="s">
        <v>2344</v>
      </c>
      <c r="E800" t="s">
        <v>2036</v>
      </c>
      <c r="F800">
        <v>202109</v>
      </c>
      <c r="G800" t="s">
        <v>190</v>
      </c>
      <c r="H800">
        <v>334918</v>
      </c>
      <c r="O800">
        <v>5352</v>
      </c>
      <c r="P800" t="s">
        <v>2625</v>
      </c>
      <c r="Q800">
        <v>5697</v>
      </c>
      <c r="R800" t="s">
        <v>2344</v>
      </c>
      <c r="S800" t="s">
        <v>2036</v>
      </c>
      <c r="T800">
        <v>202203</v>
      </c>
      <c r="U800" t="s">
        <v>178</v>
      </c>
      <c r="V800">
        <v>120</v>
      </c>
    </row>
    <row r="801" spans="1:22">
      <c r="A801">
        <v>5352</v>
      </c>
      <c r="B801" t="s">
        <v>2625</v>
      </c>
      <c r="C801">
        <v>5697</v>
      </c>
      <c r="D801" t="s">
        <v>2344</v>
      </c>
      <c r="E801" t="s">
        <v>2036</v>
      </c>
      <c r="F801">
        <v>202109</v>
      </c>
      <c r="G801" t="s">
        <v>191</v>
      </c>
      <c r="H801">
        <v>46378</v>
      </c>
      <c r="O801">
        <v>5352</v>
      </c>
      <c r="P801" t="s">
        <v>2625</v>
      </c>
      <c r="Q801">
        <v>5697</v>
      </c>
      <c r="R801" t="s">
        <v>2344</v>
      </c>
      <c r="S801" t="s">
        <v>2036</v>
      </c>
      <c r="T801">
        <v>202203</v>
      </c>
      <c r="U801" t="s">
        <v>180</v>
      </c>
      <c r="V801">
        <v>120</v>
      </c>
    </row>
    <row r="802" spans="1:22">
      <c r="A802">
        <v>5352</v>
      </c>
      <c r="B802" t="s">
        <v>2625</v>
      </c>
      <c r="C802">
        <v>5697</v>
      </c>
      <c r="D802" t="s">
        <v>2344</v>
      </c>
      <c r="E802" t="s">
        <v>2036</v>
      </c>
      <c r="F802">
        <v>202109</v>
      </c>
      <c r="G802" t="s">
        <v>176</v>
      </c>
      <c r="H802">
        <v>0</v>
      </c>
      <c r="O802">
        <v>5352</v>
      </c>
      <c r="P802" t="s">
        <v>2625</v>
      </c>
      <c r="Q802">
        <v>5697</v>
      </c>
      <c r="R802" t="s">
        <v>2344</v>
      </c>
      <c r="S802" t="s">
        <v>2036</v>
      </c>
      <c r="T802">
        <v>202203</v>
      </c>
      <c r="U802" t="s">
        <v>182</v>
      </c>
      <c r="V802">
        <v>12892</v>
      </c>
    </row>
    <row r="803" spans="1:22">
      <c r="A803">
        <v>5352</v>
      </c>
      <c r="B803" t="s">
        <v>2625</v>
      </c>
      <c r="C803">
        <v>5697</v>
      </c>
      <c r="D803" t="s">
        <v>2344</v>
      </c>
      <c r="E803" t="s">
        <v>2036</v>
      </c>
      <c r="F803">
        <v>202109</v>
      </c>
      <c r="G803" t="s">
        <v>178</v>
      </c>
      <c r="H803">
        <v>937</v>
      </c>
      <c r="O803">
        <v>5352</v>
      </c>
      <c r="P803" t="s">
        <v>2625</v>
      </c>
      <c r="Q803">
        <v>5697</v>
      </c>
      <c r="R803" t="s">
        <v>2344</v>
      </c>
      <c r="S803" t="s">
        <v>2036</v>
      </c>
      <c r="T803">
        <v>202203</v>
      </c>
      <c r="U803" t="s">
        <v>184</v>
      </c>
      <c r="V803">
        <v>1821</v>
      </c>
    </row>
    <row r="804" spans="1:22">
      <c r="A804">
        <v>5352</v>
      </c>
      <c r="B804" t="s">
        <v>2625</v>
      </c>
      <c r="C804">
        <v>5697</v>
      </c>
      <c r="D804" t="s">
        <v>2344</v>
      </c>
      <c r="E804" t="s">
        <v>2036</v>
      </c>
      <c r="F804">
        <v>202109</v>
      </c>
      <c r="G804" t="s">
        <v>180</v>
      </c>
      <c r="H804">
        <v>898</v>
      </c>
      <c r="O804">
        <v>5352</v>
      </c>
      <c r="P804" t="s">
        <v>2625</v>
      </c>
      <c r="Q804">
        <v>5697</v>
      </c>
      <c r="R804" t="s">
        <v>2344</v>
      </c>
      <c r="S804" t="s">
        <v>2036</v>
      </c>
      <c r="T804">
        <v>202203</v>
      </c>
      <c r="U804" t="s">
        <v>186</v>
      </c>
      <c r="V804">
        <v>0</v>
      </c>
    </row>
    <row r="805" spans="1:22">
      <c r="A805">
        <v>5352</v>
      </c>
      <c r="B805" t="s">
        <v>2625</v>
      </c>
      <c r="C805">
        <v>5697</v>
      </c>
      <c r="D805" t="s">
        <v>2344</v>
      </c>
      <c r="E805" t="s">
        <v>2036</v>
      </c>
      <c r="F805">
        <v>202109</v>
      </c>
      <c r="G805" t="s">
        <v>182</v>
      </c>
      <c r="H805">
        <v>334918</v>
      </c>
      <c r="O805">
        <v>5352</v>
      </c>
      <c r="P805" t="s">
        <v>2625</v>
      </c>
      <c r="Q805">
        <v>5697</v>
      </c>
      <c r="R805" t="s">
        <v>2344</v>
      </c>
      <c r="S805" t="s">
        <v>2036</v>
      </c>
      <c r="T805">
        <v>202203</v>
      </c>
      <c r="U805" t="s">
        <v>190</v>
      </c>
      <c r="V805">
        <v>603202</v>
      </c>
    </row>
    <row r="806" spans="1:22">
      <c r="A806">
        <v>5352</v>
      </c>
      <c r="B806" t="s">
        <v>2625</v>
      </c>
      <c r="C806">
        <v>5697</v>
      </c>
      <c r="D806" t="s">
        <v>2344</v>
      </c>
      <c r="E806" t="s">
        <v>2036</v>
      </c>
      <c r="F806">
        <v>202109</v>
      </c>
      <c r="G806" t="s">
        <v>184</v>
      </c>
      <c r="H806">
        <v>46378</v>
      </c>
      <c r="O806">
        <v>5352</v>
      </c>
      <c r="P806" t="s">
        <v>2625</v>
      </c>
      <c r="Q806">
        <v>5697</v>
      </c>
      <c r="R806" t="s">
        <v>2344</v>
      </c>
      <c r="S806" t="s">
        <v>2036</v>
      </c>
      <c r="T806">
        <v>202203</v>
      </c>
      <c r="U806" t="s">
        <v>191</v>
      </c>
      <c r="V806">
        <v>37199</v>
      </c>
    </row>
    <row r="807" spans="1:22">
      <c r="A807">
        <v>5352</v>
      </c>
      <c r="B807" t="s">
        <v>2625</v>
      </c>
      <c r="C807">
        <v>5697</v>
      </c>
      <c r="D807" t="s">
        <v>2344</v>
      </c>
      <c r="E807" t="s">
        <v>2036</v>
      </c>
      <c r="F807">
        <v>202109</v>
      </c>
      <c r="G807" t="s">
        <v>192</v>
      </c>
      <c r="H807">
        <v>0</v>
      </c>
      <c r="O807">
        <v>5352</v>
      </c>
      <c r="P807" t="s">
        <v>2625</v>
      </c>
      <c r="Q807">
        <v>5697</v>
      </c>
      <c r="R807" t="s">
        <v>2344</v>
      </c>
      <c r="S807" t="s">
        <v>2036</v>
      </c>
      <c r="T807">
        <v>202203</v>
      </c>
      <c r="U807" t="s">
        <v>178</v>
      </c>
      <c r="V807">
        <v>1450</v>
      </c>
    </row>
    <row r="808" spans="1:22">
      <c r="A808">
        <v>5352</v>
      </c>
      <c r="B808" t="s">
        <v>2625</v>
      </c>
      <c r="C808">
        <v>5697</v>
      </c>
      <c r="D808" t="s">
        <v>2344</v>
      </c>
      <c r="E808" t="s">
        <v>2036</v>
      </c>
      <c r="F808">
        <v>202109</v>
      </c>
      <c r="G808" t="s">
        <v>2170</v>
      </c>
      <c r="H808">
        <v>321.86</v>
      </c>
      <c r="O808">
        <v>5352</v>
      </c>
      <c r="P808" t="s">
        <v>2625</v>
      </c>
      <c r="Q808">
        <v>5697</v>
      </c>
      <c r="R808" t="s">
        <v>2344</v>
      </c>
      <c r="S808" t="s">
        <v>2036</v>
      </c>
      <c r="T808">
        <v>202203</v>
      </c>
      <c r="U808" t="s">
        <v>180</v>
      </c>
      <c r="V808">
        <v>1450</v>
      </c>
    </row>
    <row r="809" spans="1:22">
      <c r="A809">
        <v>5352</v>
      </c>
      <c r="B809" t="s">
        <v>2625</v>
      </c>
      <c r="C809">
        <v>5697</v>
      </c>
      <c r="D809" t="s">
        <v>2344</v>
      </c>
      <c r="E809" t="s">
        <v>2036</v>
      </c>
      <c r="F809">
        <v>202109</v>
      </c>
      <c r="G809" t="s">
        <v>186</v>
      </c>
      <c r="H809">
        <v>0</v>
      </c>
      <c r="O809">
        <v>5352</v>
      </c>
      <c r="P809" t="s">
        <v>2625</v>
      </c>
      <c r="Q809">
        <v>5697</v>
      </c>
      <c r="R809" t="s">
        <v>2344</v>
      </c>
      <c r="S809" t="s">
        <v>2036</v>
      </c>
      <c r="T809">
        <v>202203</v>
      </c>
      <c r="U809" t="s">
        <v>182</v>
      </c>
      <c r="V809">
        <v>603202</v>
      </c>
    </row>
    <row r="810" spans="1:22">
      <c r="A810">
        <v>5352</v>
      </c>
      <c r="B810" t="s">
        <v>2625</v>
      </c>
      <c r="C810">
        <v>5697</v>
      </c>
      <c r="D810" t="s">
        <v>2344</v>
      </c>
      <c r="E810" t="s">
        <v>2036</v>
      </c>
      <c r="F810">
        <v>202109</v>
      </c>
      <c r="G810" t="s">
        <v>2169</v>
      </c>
      <c r="H810">
        <v>99.17</v>
      </c>
      <c r="O810">
        <v>5352</v>
      </c>
      <c r="P810" t="s">
        <v>2625</v>
      </c>
      <c r="Q810">
        <v>5697</v>
      </c>
      <c r="R810" t="s">
        <v>2344</v>
      </c>
      <c r="S810" t="s">
        <v>2036</v>
      </c>
      <c r="T810">
        <v>202203</v>
      </c>
      <c r="U810" t="s">
        <v>184</v>
      </c>
      <c r="V810">
        <v>37199</v>
      </c>
    </row>
    <row r="811" spans="1:22">
      <c r="A811">
        <v>5352</v>
      </c>
      <c r="B811" t="s">
        <v>2625</v>
      </c>
      <c r="C811">
        <v>5697</v>
      </c>
      <c r="D811" t="s">
        <v>2344</v>
      </c>
      <c r="E811" t="s">
        <v>2036</v>
      </c>
      <c r="F811">
        <v>202109</v>
      </c>
      <c r="G811" t="s">
        <v>2166</v>
      </c>
      <c r="H811">
        <v>12.33</v>
      </c>
      <c r="O811">
        <v>5352</v>
      </c>
      <c r="P811" t="s">
        <v>2625</v>
      </c>
      <c r="Q811">
        <v>5697</v>
      </c>
      <c r="R811" t="s">
        <v>2344</v>
      </c>
      <c r="S811" t="s">
        <v>2036</v>
      </c>
      <c r="T811">
        <v>202203</v>
      </c>
      <c r="U811" t="s">
        <v>186</v>
      </c>
      <c r="V811">
        <v>0</v>
      </c>
    </row>
    <row r="812" spans="1:22">
      <c r="A812">
        <v>5352</v>
      </c>
      <c r="B812" t="s">
        <v>2625</v>
      </c>
      <c r="C812">
        <v>5697</v>
      </c>
      <c r="D812" t="s">
        <v>2344</v>
      </c>
      <c r="E812" t="s">
        <v>2036</v>
      </c>
      <c r="F812">
        <v>202109</v>
      </c>
      <c r="G812" t="s">
        <v>2167</v>
      </c>
      <c r="H812">
        <v>23.94</v>
      </c>
      <c r="O812">
        <v>5352</v>
      </c>
      <c r="P812" t="s">
        <v>2625</v>
      </c>
      <c r="Q812">
        <v>5697</v>
      </c>
      <c r="R812" t="s">
        <v>2344</v>
      </c>
      <c r="S812" t="s">
        <v>2036</v>
      </c>
      <c r="T812">
        <v>202203</v>
      </c>
      <c r="U812" t="s">
        <v>190</v>
      </c>
      <c r="V812">
        <v>175859</v>
      </c>
    </row>
    <row r="813" spans="1:22">
      <c r="A813">
        <v>5352</v>
      </c>
      <c r="B813" t="s">
        <v>2625</v>
      </c>
      <c r="C813">
        <v>5697</v>
      </c>
      <c r="D813" t="s">
        <v>2344</v>
      </c>
      <c r="E813" t="s">
        <v>2036</v>
      </c>
      <c r="F813">
        <v>202109</v>
      </c>
      <c r="G813" t="s">
        <v>2168</v>
      </c>
      <c r="H813">
        <v>10.17</v>
      </c>
      <c r="O813">
        <v>5352</v>
      </c>
      <c r="P813" t="s">
        <v>2625</v>
      </c>
      <c r="Q813">
        <v>5697</v>
      </c>
      <c r="R813" t="s">
        <v>2344</v>
      </c>
      <c r="S813" t="s">
        <v>2036</v>
      </c>
      <c r="T813">
        <v>202203</v>
      </c>
      <c r="U813" t="s">
        <v>191</v>
      </c>
      <c r="V813">
        <v>23786</v>
      </c>
    </row>
    <row r="814" spans="1:22">
      <c r="A814">
        <v>5352</v>
      </c>
      <c r="B814" t="s">
        <v>2625</v>
      </c>
      <c r="C814">
        <v>5697</v>
      </c>
      <c r="D814" t="s">
        <v>2344</v>
      </c>
      <c r="E814" t="s">
        <v>2036</v>
      </c>
      <c r="F814">
        <v>202109</v>
      </c>
      <c r="G814" t="s">
        <v>2171</v>
      </c>
      <c r="H814">
        <v>80464.84</v>
      </c>
      <c r="O814">
        <v>5352</v>
      </c>
      <c r="P814" t="s">
        <v>2625</v>
      </c>
      <c r="Q814">
        <v>5697</v>
      </c>
      <c r="R814" t="s">
        <v>2344</v>
      </c>
      <c r="S814" t="s">
        <v>2036</v>
      </c>
      <c r="T814">
        <v>202203</v>
      </c>
      <c r="U814" t="s">
        <v>178</v>
      </c>
      <c r="V814">
        <v>600</v>
      </c>
    </row>
    <row r="815" spans="1:22">
      <c r="A815">
        <v>5352</v>
      </c>
      <c r="B815" t="s">
        <v>2625</v>
      </c>
      <c r="C815">
        <v>5697</v>
      </c>
      <c r="D815" t="s">
        <v>2344</v>
      </c>
      <c r="E815" t="s">
        <v>2036</v>
      </c>
      <c r="F815">
        <v>202109</v>
      </c>
      <c r="G815" t="s">
        <v>190</v>
      </c>
      <c r="H815">
        <v>774183</v>
      </c>
      <c r="O815">
        <v>5352</v>
      </c>
      <c r="P815" t="s">
        <v>2625</v>
      </c>
      <c r="Q815">
        <v>5697</v>
      </c>
      <c r="R815" t="s">
        <v>2344</v>
      </c>
      <c r="S815" t="s">
        <v>2036</v>
      </c>
      <c r="T815">
        <v>202203</v>
      </c>
      <c r="U815" t="s">
        <v>180</v>
      </c>
      <c r="V815">
        <v>600</v>
      </c>
    </row>
    <row r="816" spans="1:22">
      <c r="A816">
        <v>5352</v>
      </c>
      <c r="B816" t="s">
        <v>2625</v>
      </c>
      <c r="C816">
        <v>5697</v>
      </c>
      <c r="D816" t="s">
        <v>2344</v>
      </c>
      <c r="E816" t="s">
        <v>2036</v>
      </c>
      <c r="F816">
        <v>202109</v>
      </c>
      <c r="G816" t="s">
        <v>191</v>
      </c>
      <c r="H816">
        <v>133616</v>
      </c>
      <c r="O816">
        <v>5352</v>
      </c>
      <c r="P816" t="s">
        <v>2625</v>
      </c>
      <c r="Q816">
        <v>5697</v>
      </c>
      <c r="R816" t="s">
        <v>2344</v>
      </c>
      <c r="S816" t="s">
        <v>2036</v>
      </c>
      <c r="T816">
        <v>202203</v>
      </c>
      <c r="U816" t="s">
        <v>182</v>
      </c>
      <c r="V816">
        <v>175859</v>
      </c>
    </row>
    <row r="817" spans="1:22">
      <c r="A817">
        <v>5352</v>
      </c>
      <c r="B817" t="s">
        <v>2625</v>
      </c>
      <c r="C817">
        <v>5697</v>
      </c>
      <c r="D817" t="s">
        <v>2344</v>
      </c>
      <c r="E817" t="s">
        <v>2036</v>
      </c>
      <c r="F817">
        <v>202109</v>
      </c>
      <c r="G817" t="s">
        <v>176</v>
      </c>
      <c r="H817">
        <v>-31723.040000000001</v>
      </c>
      <c r="O817">
        <v>5352</v>
      </c>
      <c r="P817" t="s">
        <v>2625</v>
      </c>
      <c r="Q817">
        <v>5697</v>
      </c>
      <c r="R817" t="s">
        <v>2344</v>
      </c>
      <c r="S817" t="s">
        <v>2036</v>
      </c>
      <c r="T817">
        <v>202203</v>
      </c>
      <c r="U817" t="s">
        <v>184</v>
      </c>
      <c r="V817">
        <v>23786</v>
      </c>
    </row>
    <row r="818" spans="1:22">
      <c r="A818">
        <v>5352</v>
      </c>
      <c r="B818" t="s">
        <v>2625</v>
      </c>
      <c r="C818">
        <v>5697</v>
      </c>
      <c r="D818" t="s">
        <v>2344</v>
      </c>
      <c r="E818" t="s">
        <v>2036</v>
      </c>
      <c r="F818">
        <v>202109</v>
      </c>
      <c r="G818" t="s">
        <v>178</v>
      </c>
      <c r="H818">
        <v>2400</v>
      </c>
      <c r="O818">
        <v>5352</v>
      </c>
      <c r="P818" t="s">
        <v>2625</v>
      </c>
      <c r="Q818">
        <v>5697</v>
      </c>
      <c r="R818" t="s">
        <v>2344</v>
      </c>
      <c r="S818" t="s">
        <v>2036</v>
      </c>
      <c r="T818">
        <v>202203</v>
      </c>
      <c r="U818" t="s">
        <v>186</v>
      </c>
      <c r="V818">
        <v>0</v>
      </c>
    </row>
    <row r="819" spans="1:22">
      <c r="A819">
        <v>5352</v>
      </c>
      <c r="B819" t="s">
        <v>2625</v>
      </c>
      <c r="C819">
        <v>5697</v>
      </c>
      <c r="D819" t="s">
        <v>2344</v>
      </c>
      <c r="E819" t="s">
        <v>2036</v>
      </c>
      <c r="F819">
        <v>202109</v>
      </c>
      <c r="G819" t="s">
        <v>180</v>
      </c>
      <c r="H819">
        <v>2400</v>
      </c>
      <c r="O819">
        <v>5352</v>
      </c>
      <c r="P819" t="s">
        <v>2625</v>
      </c>
      <c r="Q819">
        <v>5697</v>
      </c>
      <c r="R819" t="s">
        <v>2344</v>
      </c>
      <c r="S819" t="s">
        <v>2036</v>
      </c>
      <c r="T819">
        <v>202203</v>
      </c>
      <c r="U819" t="s">
        <v>190</v>
      </c>
      <c r="V819">
        <v>198666</v>
      </c>
    </row>
    <row r="820" spans="1:22">
      <c r="A820">
        <v>5352</v>
      </c>
      <c r="B820" t="s">
        <v>2625</v>
      </c>
      <c r="C820">
        <v>5697</v>
      </c>
      <c r="D820" t="s">
        <v>2344</v>
      </c>
      <c r="E820" t="s">
        <v>2036</v>
      </c>
      <c r="F820">
        <v>202109</v>
      </c>
      <c r="G820" t="s">
        <v>182</v>
      </c>
      <c r="H820">
        <v>859326</v>
      </c>
      <c r="O820">
        <v>5352</v>
      </c>
      <c r="P820" t="s">
        <v>2625</v>
      </c>
      <c r="Q820">
        <v>5697</v>
      </c>
      <c r="R820" t="s">
        <v>2344</v>
      </c>
      <c r="S820" t="s">
        <v>2036</v>
      </c>
      <c r="T820">
        <v>202203</v>
      </c>
      <c r="U820" t="s">
        <v>191</v>
      </c>
      <c r="V820">
        <v>27510</v>
      </c>
    </row>
    <row r="821" spans="1:22">
      <c r="A821">
        <v>5352</v>
      </c>
      <c r="B821" t="s">
        <v>2625</v>
      </c>
      <c r="C821">
        <v>5697</v>
      </c>
      <c r="D821" t="s">
        <v>2344</v>
      </c>
      <c r="E821" t="s">
        <v>2036</v>
      </c>
      <c r="F821">
        <v>202109</v>
      </c>
      <c r="G821" t="s">
        <v>184</v>
      </c>
      <c r="H821">
        <v>133616</v>
      </c>
      <c r="O821">
        <v>5352</v>
      </c>
      <c r="P821" t="s">
        <v>2625</v>
      </c>
      <c r="Q821">
        <v>5697</v>
      </c>
      <c r="R821" t="s">
        <v>2344</v>
      </c>
      <c r="S821" t="s">
        <v>2036</v>
      </c>
      <c r="T821">
        <v>202203</v>
      </c>
      <c r="U821" t="s">
        <v>178</v>
      </c>
      <c r="V821">
        <v>900</v>
      </c>
    </row>
    <row r="822" spans="1:22">
      <c r="A822">
        <v>5352</v>
      </c>
      <c r="B822" t="s">
        <v>2625</v>
      </c>
      <c r="C822">
        <v>5697</v>
      </c>
      <c r="D822" t="s">
        <v>2344</v>
      </c>
      <c r="E822" t="s">
        <v>2036</v>
      </c>
      <c r="F822">
        <v>202109</v>
      </c>
      <c r="G822" t="s">
        <v>192</v>
      </c>
      <c r="H822">
        <v>0</v>
      </c>
      <c r="O822">
        <v>5352</v>
      </c>
      <c r="P822" t="s">
        <v>2625</v>
      </c>
      <c r="Q822">
        <v>5697</v>
      </c>
      <c r="R822" t="s">
        <v>2344</v>
      </c>
      <c r="S822" t="s">
        <v>2036</v>
      </c>
      <c r="T822">
        <v>202203</v>
      </c>
      <c r="U822" t="s">
        <v>180</v>
      </c>
      <c r="V822">
        <v>850</v>
      </c>
    </row>
    <row r="823" spans="1:22">
      <c r="A823">
        <v>5352</v>
      </c>
      <c r="B823" t="s">
        <v>2625</v>
      </c>
      <c r="C823">
        <v>5697</v>
      </c>
      <c r="D823" t="s">
        <v>2344</v>
      </c>
      <c r="E823" t="s">
        <v>2036</v>
      </c>
      <c r="F823">
        <v>202109</v>
      </c>
      <c r="G823" t="s">
        <v>2170</v>
      </c>
      <c r="H823">
        <v>751.17</v>
      </c>
      <c r="O823">
        <v>5352</v>
      </c>
      <c r="P823" t="s">
        <v>2625</v>
      </c>
      <c r="Q823">
        <v>5697</v>
      </c>
      <c r="R823" t="s">
        <v>2344</v>
      </c>
      <c r="S823" t="s">
        <v>2036</v>
      </c>
      <c r="T823">
        <v>202203</v>
      </c>
      <c r="U823" t="s">
        <v>182</v>
      </c>
      <c r="V823">
        <v>198666</v>
      </c>
    </row>
    <row r="824" spans="1:22">
      <c r="A824">
        <v>5352</v>
      </c>
      <c r="B824" t="s">
        <v>2625</v>
      </c>
      <c r="C824">
        <v>5697</v>
      </c>
      <c r="D824" t="s">
        <v>2344</v>
      </c>
      <c r="E824" t="s">
        <v>2036</v>
      </c>
      <c r="F824">
        <v>202109</v>
      </c>
      <c r="G824" t="s">
        <v>186</v>
      </c>
      <c r="H824">
        <v>85143</v>
      </c>
      <c r="O824">
        <v>5352</v>
      </c>
      <c r="P824" t="s">
        <v>2625</v>
      </c>
      <c r="Q824">
        <v>5697</v>
      </c>
      <c r="R824" t="s">
        <v>2344</v>
      </c>
      <c r="S824" t="s">
        <v>2036</v>
      </c>
      <c r="T824">
        <v>202203</v>
      </c>
      <c r="U824" t="s">
        <v>184</v>
      </c>
      <c r="V824">
        <v>27510</v>
      </c>
    </row>
    <row r="825" spans="1:22">
      <c r="A825">
        <v>5352</v>
      </c>
      <c r="B825" t="s">
        <v>2625</v>
      </c>
      <c r="C825">
        <v>5697</v>
      </c>
      <c r="D825" t="s">
        <v>2344</v>
      </c>
      <c r="E825" t="s">
        <v>2036</v>
      </c>
      <c r="F825">
        <v>202109</v>
      </c>
      <c r="G825" t="s">
        <v>2169</v>
      </c>
      <c r="H825">
        <v>99.17</v>
      </c>
      <c r="O825">
        <v>5352</v>
      </c>
      <c r="P825" t="s">
        <v>2625</v>
      </c>
      <c r="Q825">
        <v>5697</v>
      </c>
      <c r="R825" t="s">
        <v>2344</v>
      </c>
      <c r="S825" t="s">
        <v>2036</v>
      </c>
      <c r="T825">
        <v>202203</v>
      </c>
      <c r="U825" t="s">
        <v>186</v>
      </c>
      <c r="V825">
        <v>0</v>
      </c>
    </row>
    <row r="826" spans="1:22">
      <c r="A826">
        <v>5352</v>
      </c>
      <c r="B826" t="s">
        <v>2625</v>
      </c>
      <c r="C826">
        <v>5697</v>
      </c>
      <c r="D826" t="s">
        <v>2344</v>
      </c>
      <c r="E826" t="s">
        <v>2036</v>
      </c>
      <c r="F826">
        <v>202109</v>
      </c>
      <c r="G826" t="s">
        <v>2166</v>
      </c>
      <c r="H826">
        <v>12.33</v>
      </c>
      <c r="O826">
        <v>5352</v>
      </c>
      <c r="P826" t="s">
        <v>2625</v>
      </c>
      <c r="Q826">
        <v>5697</v>
      </c>
      <c r="R826" t="s">
        <v>2344</v>
      </c>
      <c r="S826" t="s">
        <v>2036</v>
      </c>
      <c r="T826">
        <v>202203</v>
      </c>
      <c r="U826" t="s">
        <v>190</v>
      </c>
      <c r="V826">
        <v>580891</v>
      </c>
    </row>
    <row r="827" spans="1:22">
      <c r="A827">
        <v>5352</v>
      </c>
      <c r="B827" t="s">
        <v>2625</v>
      </c>
      <c r="C827">
        <v>5697</v>
      </c>
      <c r="D827" t="s">
        <v>2344</v>
      </c>
      <c r="E827" t="s">
        <v>2036</v>
      </c>
      <c r="F827">
        <v>202109</v>
      </c>
      <c r="G827" t="s">
        <v>2167</v>
      </c>
      <c r="H827">
        <v>23.94</v>
      </c>
      <c r="O827">
        <v>5352</v>
      </c>
      <c r="P827" t="s">
        <v>2625</v>
      </c>
      <c r="Q827">
        <v>5697</v>
      </c>
      <c r="R827" t="s">
        <v>2344</v>
      </c>
      <c r="S827" t="s">
        <v>2036</v>
      </c>
      <c r="T827">
        <v>202203</v>
      </c>
      <c r="U827" t="s">
        <v>191</v>
      </c>
      <c r="V827">
        <v>75515</v>
      </c>
    </row>
    <row r="828" spans="1:22">
      <c r="A828">
        <v>5352</v>
      </c>
      <c r="B828" t="s">
        <v>2625</v>
      </c>
      <c r="C828">
        <v>5697</v>
      </c>
      <c r="D828" t="s">
        <v>2344</v>
      </c>
      <c r="E828" t="s">
        <v>2036</v>
      </c>
      <c r="F828">
        <v>202109</v>
      </c>
      <c r="G828" t="s">
        <v>2168</v>
      </c>
      <c r="H828">
        <v>10.17</v>
      </c>
      <c r="O828">
        <v>5352</v>
      </c>
      <c r="P828" t="s">
        <v>2625</v>
      </c>
      <c r="Q828">
        <v>5697</v>
      </c>
      <c r="R828" t="s">
        <v>2344</v>
      </c>
      <c r="S828" t="s">
        <v>2036</v>
      </c>
      <c r="T828">
        <v>202203</v>
      </c>
      <c r="U828" t="s">
        <v>178</v>
      </c>
      <c r="V828">
        <v>1670</v>
      </c>
    </row>
    <row r="829" spans="1:22">
      <c r="A829">
        <v>5352</v>
      </c>
      <c r="B829" t="s">
        <v>2625</v>
      </c>
      <c r="C829">
        <v>5697</v>
      </c>
      <c r="D829" t="s">
        <v>2344</v>
      </c>
      <c r="E829" t="s">
        <v>2036</v>
      </c>
      <c r="F829">
        <v>202109</v>
      </c>
      <c r="G829" t="s">
        <v>2171</v>
      </c>
      <c r="H829">
        <v>156201.29</v>
      </c>
      <c r="O829">
        <v>5352</v>
      </c>
      <c r="P829" t="s">
        <v>2625</v>
      </c>
      <c r="Q829">
        <v>5697</v>
      </c>
      <c r="R829" t="s">
        <v>2344</v>
      </c>
      <c r="S829" t="s">
        <v>2036</v>
      </c>
      <c r="T829">
        <v>202203</v>
      </c>
      <c r="U829" t="s">
        <v>180</v>
      </c>
      <c r="V829">
        <v>1722</v>
      </c>
    </row>
    <row r="830" spans="1:22">
      <c r="A830">
        <v>5352</v>
      </c>
      <c r="B830" t="s">
        <v>2625</v>
      </c>
      <c r="C830">
        <v>5697</v>
      </c>
      <c r="D830" t="s">
        <v>2344</v>
      </c>
      <c r="E830" t="s">
        <v>2036</v>
      </c>
      <c r="F830">
        <v>202109</v>
      </c>
      <c r="G830" t="s">
        <v>190</v>
      </c>
      <c r="H830">
        <v>485506</v>
      </c>
      <c r="O830">
        <v>5352</v>
      </c>
      <c r="P830" t="s">
        <v>2625</v>
      </c>
      <c r="Q830">
        <v>5697</v>
      </c>
      <c r="R830" t="s">
        <v>2344</v>
      </c>
      <c r="S830" t="s">
        <v>2036</v>
      </c>
      <c r="T830">
        <v>202203</v>
      </c>
      <c r="U830" t="s">
        <v>182</v>
      </c>
      <c r="V830">
        <v>580891</v>
      </c>
    </row>
    <row r="831" spans="1:22">
      <c r="A831">
        <v>5352</v>
      </c>
      <c r="B831" t="s">
        <v>2625</v>
      </c>
      <c r="C831">
        <v>5697</v>
      </c>
      <c r="D831" t="s">
        <v>2344</v>
      </c>
      <c r="E831" t="s">
        <v>2036</v>
      </c>
      <c r="F831">
        <v>202109</v>
      </c>
      <c r="G831" t="s">
        <v>191</v>
      </c>
      <c r="H831">
        <v>74234</v>
      </c>
      <c r="O831">
        <v>5352</v>
      </c>
      <c r="P831" t="s">
        <v>2625</v>
      </c>
      <c r="Q831">
        <v>5697</v>
      </c>
      <c r="R831" t="s">
        <v>2344</v>
      </c>
      <c r="S831" t="s">
        <v>2036</v>
      </c>
      <c r="T831">
        <v>202203</v>
      </c>
      <c r="U831" t="s">
        <v>184</v>
      </c>
      <c r="V831">
        <v>75515</v>
      </c>
    </row>
    <row r="832" spans="1:22">
      <c r="A832">
        <v>5352</v>
      </c>
      <c r="B832" t="s">
        <v>2625</v>
      </c>
      <c r="C832">
        <v>5697</v>
      </c>
      <c r="D832" t="s">
        <v>2344</v>
      </c>
      <c r="E832" t="s">
        <v>2036</v>
      </c>
      <c r="F832">
        <v>202109</v>
      </c>
      <c r="G832" t="s">
        <v>176</v>
      </c>
      <c r="H832">
        <v>0</v>
      </c>
      <c r="O832">
        <v>5352</v>
      </c>
      <c r="P832" t="s">
        <v>2625</v>
      </c>
      <c r="Q832">
        <v>5697</v>
      </c>
      <c r="R832" t="s">
        <v>2344</v>
      </c>
      <c r="S832" t="s">
        <v>2036</v>
      </c>
      <c r="T832">
        <v>202203</v>
      </c>
      <c r="U832" t="s">
        <v>186</v>
      </c>
      <c r="V832">
        <v>0</v>
      </c>
    </row>
    <row r="833" spans="1:22">
      <c r="A833">
        <v>5352</v>
      </c>
      <c r="B833" t="s">
        <v>2625</v>
      </c>
      <c r="C833">
        <v>5697</v>
      </c>
      <c r="D833" t="s">
        <v>2344</v>
      </c>
      <c r="E833" t="s">
        <v>2036</v>
      </c>
      <c r="F833">
        <v>202109</v>
      </c>
      <c r="G833" t="s">
        <v>178</v>
      </c>
      <c r="H833">
        <v>1357</v>
      </c>
      <c r="O833">
        <v>5352</v>
      </c>
      <c r="P833" t="s">
        <v>2625</v>
      </c>
      <c r="Q833">
        <v>5697</v>
      </c>
      <c r="R833" t="s">
        <v>2344</v>
      </c>
      <c r="S833" t="s">
        <v>2036</v>
      </c>
      <c r="T833">
        <v>202204</v>
      </c>
      <c r="U833" t="s">
        <v>190</v>
      </c>
      <c r="V833">
        <v>621293</v>
      </c>
    </row>
    <row r="834" spans="1:22">
      <c r="A834">
        <v>5352</v>
      </c>
      <c r="B834" t="s">
        <v>2625</v>
      </c>
      <c r="C834">
        <v>5697</v>
      </c>
      <c r="D834" t="s">
        <v>2344</v>
      </c>
      <c r="E834" t="s">
        <v>2036</v>
      </c>
      <c r="F834">
        <v>202109</v>
      </c>
      <c r="G834" t="s">
        <v>180</v>
      </c>
      <c r="H834">
        <v>1361</v>
      </c>
      <c r="O834">
        <v>5352</v>
      </c>
      <c r="P834" t="s">
        <v>2625</v>
      </c>
      <c r="Q834">
        <v>5697</v>
      </c>
      <c r="R834" t="s">
        <v>2344</v>
      </c>
      <c r="S834" t="s">
        <v>2036</v>
      </c>
      <c r="T834">
        <v>202204</v>
      </c>
      <c r="U834" t="s">
        <v>191</v>
      </c>
      <c r="V834">
        <v>40601</v>
      </c>
    </row>
    <row r="835" spans="1:22">
      <c r="A835">
        <v>5352</v>
      </c>
      <c r="B835" t="s">
        <v>2625</v>
      </c>
      <c r="C835">
        <v>5697</v>
      </c>
      <c r="D835" t="s">
        <v>2344</v>
      </c>
      <c r="E835" t="s">
        <v>2036</v>
      </c>
      <c r="F835">
        <v>202109</v>
      </c>
      <c r="G835" t="s">
        <v>182</v>
      </c>
      <c r="H835">
        <v>485506</v>
      </c>
      <c r="O835">
        <v>5352</v>
      </c>
      <c r="P835" t="s">
        <v>2625</v>
      </c>
      <c r="Q835">
        <v>5697</v>
      </c>
      <c r="R835" t="s">
        <v>2344</v>
      </c>
      <c r="S835" t="s">
        <v>2036</v>
      </c>
      <c r="T835">
        <v>202204</v>
      </c>
      <c r="U835" t="s">
        <v>178</v>
      </c>
      <c r="V835">
        <v>1450</v>
      </c>
    </row>
    <row r="836" spans="1:22">
      <c r="A836">
        <v>5352</v>
      </c>
      <c r="B836" t="s">
        <v>2625</v>
      </c>
      <c r="C836">
        <v>5697</v>
      </c>
      <c r="D836" t="s">
        <v>2344</v>
      </c>
      <c r="E836" t="s">
        <v>2036</v>
      </c>
      <c r="F836">
        <v>202109</v>
      </c>
      <c r="G836" t="s">
        <v>184</v>
      </c>
      <c r="H836">
        <v>74234</v>
      </c>
      <c r="O836">
        <v>5352</v>
      </c>
      <c r="P836" t="s">
        <v>2625</v>
      </c>
      <c r="Q836">
        <v>5697</v>
      </c>
      <c r="R836" t="s">
        <v>2344</v>
      </c>
      <c r="S836" t="s">
        <v>2036</v>
      </c>
      <c r="T836">
        <v>202204</v>
      </c>
      <c r="U836" t="s">
        <v>180</v>
      </c>
      <c r="V836">
        <v>1450</v>
      </c>
    </row>
    <row r="837" spans="1:22">
      <c r="A837">
        <v>5352</v>
      </c>
      <c r="B837" t="s">
        <v>2625</v>
      </c>
      <c r="C837">
        <v>5697</v>
      </c>
      <c r="D837" t="s">
        <v>2344</v>
      </c>
      <c r="E837" t="s">
        <v>2036</v>
      </c>
      <c r="F837">
        <v>202109</v>
      </c>
      <c r="G837" t="s">
        <v>192</v>
      </c>
      <c r="H837">
        <v>0</v>
      </c>
      <c r="O837">
        <v>5352</v>
      </c>
      <c r="P837" t="s">
        <v>2625</v>
      </c>
      <c r="Q837">
        <v>5697</v>
      </c>
      <c r="R837" t="s">
        <v>2344</v>
      </c>
      <c r="S837" t="s">
        <v>2036</v>
      </c>
      <c r="T837">
        <v>202204</v>
      </c>
      <c r="U837" t="s">
        <v>182</v>
      </c>
      <c r="V837">
        <v>621293</v>
      </c>
    </row>
    <row r="838" spans="1:22">
      <c r="A838">
        <v>5352</v>
      </c>
      <c r="B838" t="s">
        <v>2625</v>
      </c>
      <c r="C838">
        <v>5697</v>
      </c>
      <c r="D838" t="s">
        <v>2344</v>
      </c>
      <c r="E838" t="s">
        <v>2036</v>
      </c>
      <c r="F838">
        <v>202109</v>
      </c>
      <c r="G838" t="s">
        <v>2170</v>
      </c>
      <c r="H838">
        <v>490.35</v>
      </c>
      <c r="O838">
        <v>5352</v>
      </c>
      <c r="P838" t="s">
        <v>2625</v>
      </c>
      <c r="Q838">
        <v>5697</v>
      </c>
      <c r="R838" t="s">
        <v>2344</v>
      </c>
      <c r="S838" t="s">
        <v>2036</v>
      </c>
      <c r="T838">
        <v>202204</v>
      </c>
      <c r="U838" t="s">
        <v>184</v>
      </c>
      <c r="V838">
        <v>40601</v>
      </c>
    </row>
    <row r="839" spans="1:22">
      <c r="A839">
        <v>5352</v>
      </c>
      <c r="B839" t="s">
        <v>2625</v>
      </c>
      <c r="C839">
        <v>5697</v>
      </c>
      <c r="D839" t="s">
        <v>2344</v>
      </c>
      <c r="E839" t="s">
        <v>2036</v>
      </c>
      <c r="F839">
        <v>202109</v>
      </c>
      <c r="G839" t="s">
        <v>186</v>
      </c>
      <c r="H839">
        <v>0</v>
      </c>
      <c r="O839">
        <v>5352</v>
      </c>
      <c r="P839" t="s">
        <v>2625</v>
      </c>
      <c r="Q839">
        <v>5697</v>
      </c>
      <c r="R839" t="s">
        <v>2344</v>
      </c>
      <c r="S839" t="s">
        <v>2036</v>
      </c>
      <c r="T839">
        <v>202204</v>
      </c>
      <c r="U839" t="s">
        <v>186</v>
      </c>
      <c r="V839">
        <v>0</v>
      </c>
    </row>
    <row r="840" spans="1:22">
      <c r="A840">
        <v>5352</v>
      </c>
      <c r="B840" t="s">
        <v>2625</v>
      </c>
      <c r="C840">
        <v>5697</v>
      </c>
      <c r="D840" t="s">
        <v>2344</v>
      </c>
      <c r="E840" t="s">
        <v>2036</v>
      </c>
      <c r="F840">
        <v>202109</v>
      </c>
      <c r="G840" t="s">
        <v>2169</v>
      </c>
      <c r="H840">
        <v>99.17</v>
      </c>
      <c r="O840">
        <v>5352</v>
      </c>
      <c r="P840" t="s">
        <v>2625</v>
      </c>
      <c r="Q840">
        <v>5697</v>
      </c>
      <c r="R840" t="s">
        <v>2344</v>
      </c>
      <c r="S840" t="s">
        <v>2036</v>
      </c>
      <c r="T840">
        <v>202204</v>
      </c>
      <c r="U840" t="s">
        <v>190</v>
      </c>
      <c r="V840">
        <v>212673</v>
      </c>
    </row>
    <row r="841" spans="1:22">
      <c r="A841">
        <v>5352</v>
      </c>
      <c r="B841" t="s">
        <v>2625</v>
      </c>
      <c r="C841">
        <v>5697</v>
      </c>
      <c r="D841" t="s">
        <v>2344</v>
      </c>
      <c r="E841" t="s">
        <v>2036</v>
      </c>
      <c r="F841">
        <v>202109</v>
      </c>
      <c r="G841" t="s">
        <v>2166</v>
      </c>
      <c r="H841">
        <v>12.33</v>
      </c>
      <c r="O841">
        <v>5352</v>
      </c>
      <c r="P841" t="s">
        <v>2625</v>
      </c>
      <c r="Q841">
        <v>5697</v>
      </c>
      <c r="R841" t="s">
        <v>2344</v>
      </c>
      <c r="S841" t="s">
        <v>2036</v>
      </c>
      <c r="T841">
        <v>202204</v>
      </c>
      <c r="U841" t="s">
        <v>191</v>
      </c>
      <c r="V841">
        <v>30874</v>
      </c>
    </row>
    <row r="842" spans="1:22">
      <c r="A842">
        <v>5352</v>
      </c>
      <c r="B842" t="s">
        <v>2625</v>
      </c>
      <c r="C842">
        <v>5697</v>
      </c>
      <c r="D842" t="s">
        <v>2344</v>
      </c>
      <c r="E842" t="s">
        <v>2036</v>
      </c>
      <c r="F842">
        <v>202109</v>
      </c>
      <c r="G842" t="s">
        <v>2167</v>
      </c>
      <c r="H842">
        <v>23.94</v>
      </c>
      <c r="O842">
        <v>5352</v>
      </c>
      <c r="P842" t="s">
        <v>2625</v>
      </c>
      <c r="Q842">
        <v>5697</v>
      </c>
      <c r="R842" t="s">
        <v>2344</v>
      </c>
      <c r="S842" t="s">
        <v>2036</v>
      </c>
      <c r="T842">
        <v>202204</v>
      </c>
      <c r="U842" t="s">
        <v>178</v>
      </c>
      <c r="V842">
        <v>700</v>
      </c>
    </row>
    <row r="843" spans="1:22">
      <c r="A843">
        <v>5352</v>
      </c>
      <c r="B843" t="s">
        <v>2625</v>
      </c>
      <c r="C843">
        <v>5697</v>
      </c>
      <c r="D843" t="s">
        <v>2344</v>
      </c>
      <c r="E843" t="s">
        <v>2036</v>
      </c>
      <c r="F843">
        <v>202109</v>
      </c>
      <c r="G843" t="s">
        <v>2168</v>
      </c>
      <c r="H843">
        <v>10.17</v>
      </c>
      <c r="O843">
        <v>5352</v>
      </c>
      <c r="P843" t="s">
        <v>2625</v>
      </c>
      <c r="Q843">
        <v>5697</v>
      </c>
      <c r="R843" t="s">
        <v>2344</v>
      </c>
      <c r="S843" t="s">
        <v>2036</v>
      </c>
      <c r="T843">
        <v>202204</v>
      </c>
      <c r="U843" t="s">
        <v>180</v>
      </c>
      <c r="V843">
        <v>677</v>
      </c>
    </row>
    <row r="844" spans="1:22">
      <c r="A844">
        <v>5352</v>
      </c>
      <c r="B844" t="s">
        <v>2625</v>
      </c>
      <c r="C844">
        <v>5697</v>
      </c>
      <c r="D844" t="s">
        <v>2344</v>
      </c>
      <c r="E844" t="s">
        <v>2036</v>
      </c>
      <c r="F844">
        <v>202109</v>
      </c>
      <c r="G844" t="s">
        <v>2171</v>
      </c>
      <c r="H844">
        <v>122588.65</v>
      </c>
      <c r="O844">
        <v>5352</v>
      </c>
      <c r="P844" t="s">
        <v>2625</v>
      </c>
      <c r="Q844">
        <v>5697</v>
      </c>
      <c r="R844" t="s">
        <v>2344</v>
      </c>
      <c r="S844" t="s">
        <v>2036</v>
      </c>
      <c r="T844">
        <v>202204</v>
      </c>
      <c r="U844" t="s">
        <v>182</v>
      </c>
      <c r="V844">
        <v>212673</v>
      </c>
    </row>
    <row r="845" spans="1:22">
      <c r="A845">
        <v>5352</v>
      </c>
      <c r="B845" t="s">
        <v>2625</v>
      </c>
      <c r="C845">
        <v>5697</v>
      </c>
      <c r="D845" t="s">
        <v>2344</v>
      </c>
      <c r="E845" t="s">
        <v>2036</v>
      </c>
      <c r="F845">
        <v>202109</v>
      </c>
      <c r="G845" t="s">
        <v>190</v>
      </c>
      <c r="H845">
        <v>83708</v>
      </c>
      <c r="O845">
        <v>5352</v>
      </c>
      <c r="P845" t="s">
        <v>2625</v>
      </c>
      <c r="Q845">
        <v>5697</v>
      </c>
      <c r="R845" t="s">
        <v>2344</v>
      </c>
      <c r="S845" t="s">
        <v>2036</v>
      </c>
      <c r="T845">
        <v>202204</v>
      </c>
      <c r="U845" t="s">
        <v>184</v>
      </c>
      <c r="V845">
        <v>30874</v>
      </c>
    </row>
    <row r="846" spans="1:22">
      <c r="A846">
        <v>5352</v>
      </c>
      <c r="B846" t="s">
        <v>2625</v>
      </c>
      <c r="C846">
        <v>5697</v>
      </c>
      <c r="D846" t="s">
        <v>2344</v>
      </c>
      <c r="E846" t="s">
        <v>2036</v>
      </c>
      <c r="F846">
        <v>202109</v>
      </c>
      <c r="G846" t="s">
        <v>191</v>
      </c>
      <c r="H846">
        <v>13632</v>
      </c>
      <c r="O846">
        <v>5352</v>
      </c>
      <c r="P846" t="s">
        <v>2625</v>
      </c>
      <c r="Q846">
        <v>5697</v>
      </c>
      <c r="R846" t="s">
        <v>2344</v>
      </c>
      <c r="S846" t="s">
        <v>2036</v>
      </c>
      <c r="T846">
        <v>202204</v>
      </c>
      <c r="U846" t="s">
        <v>186</v>
      </c>
      <c r="V846">
        <v>0</v>
      </c>
    </row>
    <row r="847" spans="1:22">
      <c r="A847">
        <v>5352</v>
      </c>
      <c r="B847" t="s">
        <v>2625</v>
      </c>
      <c r="C847">
        <v>5697</v>
      </c>
      <c r="D847" t="s">
        <v>2344</v>
      </c>
      <c r="E847" t="s">
        <v>2036</v>
      </c>
      <c r="F847">
        <v>202109</v>
      </c>
      <c r="G847" t="s">
        <v>176</v>
      </c>
      <c r="H847">
        <v>0</v>
      </c>
      <c r="O847">
        <v>5352</v>
      </c>
      <c r="P847" t="s">
        <v>2625</v>
      </c>
      <c r="Q847">
        <v>5697</v>
      </c>
      <c r="R847" t="s">
        <v>2344</v>
      </c>
      <c r="S847" t="s">
        <v>2036</v>
      </c>
      <c r="T847">
        <v>202204</v>
      </c>
      <c r="U847" t="s">
        <v>190</v>
      </c>
      <c r="V847">
        <v>12919</v>
      </c>
    </row>
    <row r="848" spans="1:22">
      <c r="A848">
        <v>5352</v>
      </c>
      <c r="B848" t="s">
        <v>2625</v>
      </c>
      <c r="C848">
        <v>5697</v>
      </c>
      <c r="D848" t="s">
        <v>2344</v>
      </c>
      <c r="E848" t="s">
        <v>2036</v>
      </c>
      <c r="F848">
        <v>202109</v>
      </c>
      <c r="G848" t="s">
        <v>178</v>
      </c>
      <c r="H848">
        <v>350</v>
      </c>
      <c r="O848">
        <v>5352</v>
      </c>
      <c r="P848" t="s">
        <v>2625</v>
      </c>
      <c r="Q848">
        <v>5697</v>
      </c>
      <c r="R848" t="s">
        <v>2344</v>
      </c>
      <c r="S848" t="s">
        <v>2036</v>
      </c>
      <c r="T848">
        <v>202204</v>
      </c>
      <c r="U848" t="s">
        <v>191</v>
      </c>
      <c r="V848">
        <v>1941</v>
      </c>
    </row>
    <row r="849" spans="1:22">
      <c r="A849">
        <v>5352</v>
      </c>
      <c r="B849" t="s">
        <v>2625</v>
      </c>
      <c r="C849">
        <v>5697</v>
      </c>
      <c r="D849" t="s">
        <v>2344</v>
      </c>
      <c r="E849" t="s">
        <v>2036</v>
      </c>
      <c r="F849">
        <v>202109</v>
      </c>
      <c r="G849" t="s">
        <v>180</v>
      </c>
      <c r="H849">
        <v>350</v>
      </c>
      <c r="O849">
        <v>5352</v>
      </c>
      <c r="P849" t="s">
        <v>2625</v>
      </c>
      <c r="Q849">
        <v>5697</v>
      </c>
      <c r="R849" t="s">
        <v>2344</v>
      </c>
      <c r="S849" t="s">
        <v>2036</v>
      </c>
      <c r="T849">
        <v>202204</v>
      </c>
      <c r="U849" t="s">
        <v>178</v>
      </c>
      <c r="V849">
        <v>120</v>
      </c>
    </row>
    <row r="850" spans="1:22">
      <c r="A850">
        <v>5352</v>
      </c>
      <c r="B850" t="s">
        <v>2625</v>
      </c>
      <c r="C850">
        <v>5697</v>
      </c>
      <c r="D850" t="s">
        <v>2344</v>
      </c>
      <c r="E850" t="s">
        <v>2036</v>
      </c>
      <c r="F850">
        <v>202109</v>
      </c>
      <c r="G850" t="s">
        <v>182</v>
      </c>
      <c r="H850">
        <v>83708</v>
      </c>
      <c r="O850">
        <v>5352</v>
      </c>
      <c r="P850" t="s">
        <v>2625</v>
      </c>
      <c r="Q850">
        <v>5697</v>
      </c>
      <c r="R850" t="s">
        <v>2344</v>
      </c>
      <c r="S850" t="s">
        <v>2036</v>
      </c>
      <c r="T850">
        <v>202204</v>
      </c>
      <c r="U850" t="s">
        <v>180</v>
      </c>
      <c r="V850">
        <v>120</v>
      </c>
    </row>
    <row r="851" spans="1:22">
      <c r="A851">
        <v>5352</v>
      </c>
      <c r="B851" t="s">
        <v>2625</v>
      </c>
      <c r="C851">
        <v>5697</v>
      </c>
      <c r="D851" t="s">
        <v>2344</v>
      </c>
      <c r="E851" t="s">
        <v>2036</v>
      </c>
      <c r="F851">
        <v>202109</v>
      </c>
      <c r="G851" t="s">
        <v>184</v>
      </c>
      <c r="H851">
        <v>13632</v>
      </c>
      <c r="O851">
        <v>5352</v>
      </c>
      <c r="P851" t="s">
        <v>2625</v>
      </c>
      <c r="Q851">
        <v>5697</v>
      </c>
      <c r="R851" t="s">
        <v>2344</v>
      </c>
      <c r="S851" t="s">
        <v>2036</v>
      </c>
      <c r="T851">
        <v>202204</v>
      </c>
      <c r="U851" t="s">
        <v>182</v>
      </c>
      <c r="V851">
        <v>12919</v>
      </c>
    </row>
    <row r="852" spans="1:22">
      <c r="A852">
        <v>5352</v>
      </c>
      <c r="B852" t="s">
        <v>2625</v>
      </c>
      <c r="C852">
        <v>5697</v>
      </c>
      <c r="D852" t="s">
        <v>2344</v>
      </c>
      <c r="E852" t="s">
        <v>2036</v>
      </c>
      <c r="F852">
        <v>202109</v>
      </c>
      <c r="G852" t="s">
        <v>192</v>
      </c>
      <c r="H852">
        <v>0</v>
      </c>
      <c r="O852">
        <v>5352</v>
      </c>
      <c r="P852" t="s">
        <v>2625</v>
      </c>
      <c r="Q852">
        <v>5697</v>
      </c>
      <c r="R852" t="s">
        <v>2344</v>
      </c>
      <c r="S852" t="s">
        <v>2036</v>
      </c>
      <c r="T852">
        <v>202204</v>
      </c>
      <c r="U852" t="s">
        <v>184</v>
      </c>
      <c r="V852">
        <v>1941</v>
      </c>
    </row>
    <row r="853" spans="1:22">
      <c r="A853">
        <v>5352</v>
      </c>
      <c r="B853" t="s">
        <v>2625</v>
      </c>
      <c r="C853">
        <v>5697</v>
      </c>
      <c r="D853" t="s">
        <v>2344</v>
      </c>
      <c r="E853" t="s">
        <v>2036</v>
      </c>
      <c r="F853">
        <v>202109</v>
      </c>
      <c r="G853" t="s">
        <v>2170</v>
      </c>
      <c r="H853">
        <v>93.72</v>
      </c>
      <c r="O853">
        <v>5352</v>
      </c>
      <c r="P853" t="s">
        <v>2625</v>
      </c>
      <c r="Q853">
        <v>5697</v>
      </c>
      <c r="R853" t="s">
        <v>2344</v>
      </c>
      <c r="S853" t="s">
        <v>2036</v>
      </c>
      <c r="T853">
        <v>202204</v>
      </c>
      <c r="U853" t="s">
        <v>186</v>
      </c>
      <c r="V853">
        <v>0</v>
      </c>
    </row>
    <row r="854" spans="1:22">
      <c r="A854">
        <v>5352</v>
      </c>
      <c r="B854" t="s">
        <v>2625</v>
      </c>
      <c r="C854">
        <v>5697</v>
      </c>
      <c r="D854" t="s">
        <v>2344</v>
      </c>
      <c r="E854" t="s">
        <v>2036</v>
      </c>
      <c r="F854">
        <v>202109</v>
      </c>
      <c r="G854" t="s">
        <v>186</v>
      </c>
      <c r="H854">
        <v>0</v>
      </c>
      <c r="O854">
        <v>5352</v>
      </c>
      <c r="P854" t="s">
        <v>2625</v>
      </c>
      <c r="Q854">
        <v>5697</v>
      </c>
      <c r="R854" t="s">
        <v>2344</v>
      </c>
      <c r="S854" t="s">
        <v>2036</v>
      </c>
      <c r="T854">
        <v>202204</v>
      </c>
      <c r="U854" t="s">
        <v>190</v>
      </c>
      <c r="V854">
        <v>172243</v>
      </c>
    </row>
    <row r="855" spans="1:22">
      <c r="A855">
        <v>5352</v>
      </c>
      <c r="B855" t="s">
        <v>2625</v>
      </c>
      <c r="C855">
        <v>5697</v>
      </c>
      <c r="D855" t="s">
        <v>2344</v>
      </c>
      <c r="E855" t="s">
        <v>2036</v>
      </c>
      <c r="F855">
        <v>202109</v>
      </c>
      <c r="G855" t="s">
        <v>2169</v>
      </c>
      <c r="H855">
        <v>99.17</v>
      </c>
      <c r="O855">
        <v>5352</v>
      </c>
      <c r="P855" t="s">
        <v>2625</v>
      </c>
      <c r="Q855">
        <v>5697</v>
      </c>
      <c r="R855" t="s">
        <v>2344</v>
      </c>
      <c r="S855" t="s">
        <v>2036</v>
      </c>
      <c r="T855">
        <v>202204</v>
      </c>
      <c r="U855" t="s">
        <v>191</v>
      </c>
      <c r="V855">
        <v>23449</v>
      </c>
    </row>
    <row r="856" spans="1:22">
      <c r="A856">
        <v>5352</v>
      </c>
      <c r="B856" t="s">
        <v>2625</v>
      </c>
      <c r="C856">
        <v>5697</v>
      </c>
      <c r="D856" t="s">
        <v>2344</v>
      </c>
      <c r="E856" t="s">
        <v>2036</v>
      </c>
      <c r="F856">
        <v>202109</v>
      </c>
      <c r="G856" t="s">
        <v>2166</v>
      </c>
      <c r="H856">
        <v>12.33</v>
      </c>
      <c r="O856">
        <v>5352</v>
      </c>
      <c r="P856" t="s">
        <v>2625</v>
      </c>
      <c r="Q856">
        <v>5697</v>
      </c>
      <c r="R856" t="s">
        <v>2344</v>
      </c>
      <c r="S856" t="s">
        <v>2036</v>
      </c>
      <c r="T856">
        <v>202204</v>
      </c>
      <c r="U856" t="s">
        <v>178</v>
      </c>
      <c r="V856">
        <v>481</v>
      </c>
    </row>
    <row r="857" spans="1:22">
      <c r="A857">
        <v>5352</v>
      </c>
      <c r="B857" t="s">
        <v>2625</v>
      </c>
      <c r="C857">
        <v>5697</v>
      </c>
      <c r="D857" t="s">
        <v>2344</v>
      </c>
      <c r="E857" t="s">
        <v>2036</v>
      </c>
      <c r="F857">
        <v>202109</v>
      </c>
      <c r="G857" t="s">
        <v>2167</v>
      </c>
      <c r="H857">
        <v>23.94</v>
      </c>
      <c r="O857">
        <v>5352</v>
      </c>
      <c r="P857" t="s">
        <v>2625</v>
      </c>
      <c r="Q857">
        <v>5697</v>
      </c>
      <c r="R857" t="s">
        <v>2344</v>
      </c>
      <c r="S857" t="s">
        <v>2036</v>
      </c>
      <c r="T857">
        <v>202204</v>
      </c>
      <c r="U857" t="s">
        <v>180</v>
      </c>
      <c r="V857">
        <v>550</v>
      </c>
    </row>
    <row r="858" spans="1:22">
      <c r="A858">
        <v>5352</v>
      </c>
      <c r="B858" t="s">
        <v>2625</v>
      </c>
      <c r="C858">
        <v>5697</v>
      </c>
      <c r="D858" t="s">
        <v>2344</v>
      </c>
      <c r="E858" t="s">
        <v>2036</v>
      </c>
      <c r="F858">
        <v>202109</v>
      </c>
      <c r="G858" t="s">
        <v>2168</v>
      </c>
      <c r="H858">
        <v>10.17</v>
      </c>
      <c r="O858">
        <v>5352</v>
      </c>
      <c r="P858" t="s">
        <v>2625</v>
      </c>
      <c r="Q858">
        <v>5697</v>
      </c>
      <c r="R858" t="s">
        <v>2344</v>
      </c>
      <c r="S858" t="s">
        <v>2036</v>
      </c>
      <c r="T858">
        <v>202204</v>
      </c>
      <c r="U858" t="s">
        <v>182</v>
      </c>
      <c r="V858">
        <v>172243</v>
      </c>
    </row>
    <row r="859" spans="1:22">
      <c r="A859">
        <v>5352</v>
      </c>
      <c r="B859" t="s">
        <v>2625</v>
      </c>
      <c r="C859">
        <v>5697</v>
      </c>
      <c r="D859" t="s">
        <v>2344</v>
      </c>
      <c r="E859" t="s">
        <v>2036</v>
      </c>
      <c r="F859">
        <v>202109</v>
      </c>
      <c r="G859" t="s">
        <v>2171</v>
      </c>
      <c r="H859">
        <v>23431.360000000001</v>
      </c>
      <c r="O859">
        <v>5352</v>
      </c>
      <c r="P859" t="s">
        <v>2625</v>
      </c>
      <c r="Q859">
        <v>5697</v>
      </c>
      <c r="R859" t="s">
        <v>2344</v>
      </c>
      <c r="S859" t="s">
        <v>2036</v>
      </c>
      <c r="T859">
        <v>202204</v>
      </c>
      <c r="U859" t="s">
        <v>184</v>
      </c>
      <c r="V859">
        <v>23449</v>
      </c>
    </row>
    <row r="860" spans="1:22">
      <c r="A860">
        <v>5352</v>
      </c>
      <c r="B860" t="s">
        <v>2625</v>
      </c>
      <c r="C860">
        <v>5697</v>
      </c>
      <c r="D860" t="s">
        <v>2344</v>
      </c>
      <c r="E860" t="s">
        <v>2036</v>
      </c>
      <c r="F860">
        <v>202109</v>
      </c>
      <c r="G860" t="s">
        <v>190</v>
      </c>
      <c r="H860">
        <v>175415</v>
      </c>
      <c r="O860">
        <v>5352</v>
      </c>
      <c r="P860" t="s">
        <v>2625</v>
      </c>
      <c r="Q860">
        <v>5697</v>
      </c>
      <c r="R860" t="s">
        <v>2344</v>
      </c>
      <c r="S860" t="s">
        <v>2036</v>
      </c>
      <c r="T860">
        <v>202204</v>
      </c>
      <c r="U860" t="s">
        <v>186</v>
      </c>
      <c r="V860">
        <v>0</v>
      </c>
    </row>
    <row r="861" spans="1:22">
      <c r="A861">
        <v>5352</v>
      </c>
      <c r="B861" t="s">
        <v>2625</v>
      </c>
      <c r="C861">
        <v>5697</v>
      </c>
      <c r="D861" t="s">
        <v>2344</v>
      </c>
      <c r="E861" t="s">
        <v>2036</v>
      </c>
      <c r="F861">
        <v>202109</v>
      </c>
      <c r="G861" t="s">
        <v>191</v>
      </c>
      <c r="H861">
        <v>27447</v>
      </c>
      <c r="O861">
        <v>5352</v>
      </c>
      <c r="P861" t="s">
        <v>2625</v>
      </c>
      <c r="Q861">
        <v>5697</v>
      </c>
      <c r="R861" t="s">
        <v>2344</v>
      </c>
      <c r="S861" t="s">
        <v>2036</v>
      </c>
      <c r="T861">
        <v>202204</v>
      </c>
      <c r="U861" t="s">
        <v>190</v>
      </c>
      <c r="V861">
        <v>285961</v>
      </c>
    </row>
    <row r="862" spans="1:22">
      <c r="A862">
        <v>5352</v>
      </c>
      <c r="B862" t="s">
        <v>2625</v>
      </c>
      <c r="C862">
        <v>5697</v>
      </c>
      <c r="D862" t="s">
        <v>2344</v>
      </c>
      <c r="E862" t="s">
        <v>2036</v>
      </c>
      <c r="F862">
        <v>202109</v>
      </c>
      <c r="G862" t="s">
        <v>176</v>
      </c>
      <c r="H862">
        <v>-3629.52</v>
      </c>
      <c r="O862">
        <v>5352</v>
      </c>
      <c r="P862" t="s">
        <v>2625</v>
      </c>
      <c r="Q862">
        <v>5697</v>
      </c>
      <c r="R862" t="s">
        <v>2344</v>
      </c>
      <c r="S862" t="s">
        <v>2036</v>
      </c>
      <c r="T862">
        <v>202204</v>
      </c>
      <c r="U862" t="s">
        <v>191</v>
      </c>
      <c r="V862">
        <v>38166</v>
      </c>
    </row>
    <row r="863" spans="1:22">
      <c r="A863">
        <v>5352</v>
      </c>
      <c r="B863" t="s">
        <v>2625</v>
      </c>
      <c r="C863">
        <v>5697</v>
      </c>
      <c r="D863" t="s">
        <v>2344</v>
      </c>
      <c r="E863" t="s">
        <v>2036</v>
      </c>
      <c r="F863">
        <v>202109</v>
      </c>
      <c r="G863" t="s">
        <v>178</v>
      </c>
      <c r="H863">
        <v>600</v>
      </c>
      <c r="O863">
        <v>5352</v>
      </c>
      <c r="P863" t="s">
        <v>2625</v>
      </c>
      <c r="Q863">
        <v>5697</v>
      </c>
      <c r="R863" t="s">
        <v>2344</v>
      </c>
      <c r="S863" t="s">
        <v>2036</v>
      </c>
      <c r="T863">
        <v>202204</v>
      </c>
      <c r="U863" t="s">
        <v>178</v>
      </c>
      <c r="V863">
        <v>970</v>
      </c>
    </row>
    <row r="864" spans="1:22">
      <c r="A864">
        <v>5352</v>
      </c>
      <c r="B864" t="s">
        <v>2625</v>
      </c>
      <c r="C864">
        <v>5697</v>
      </c>
      <c r="D864" t="s">
        <v>2344</v>
      </c>
      <c r="E864" t="s">
        <v>2036</v>
      </c>
      <c r="F864">
        <v>202109</v>
      </c>
      <c r="G864" t="s">
        <v>180</v>
      </c>
      <c r="H864">
        <v>593</v>
      </c>
      <c r="O864">
        <v>5352</v>
      </c>
      <c r="P864" t="s">
        <v>2625</v>
      </c>
      <c r="Q864">
        <v>5697</v>
      </c>
      <c r="R864" t="s">
        <v>2344</v>
      </c>
      <c r="S864" t="s">
        <v>2036</v>
      </c>
      <c r="T864">
        <v>202204</v>
      </c>
      <c r="U864" t="s">
        <v>180</v>
      </c>
      <c r="V864">
        <v>970</v>
      </c>
    </row>
    <row r="865" spans="1:22">
      <c r="A865">
        <v>5352</v>
      </c>
      <c r="B865" t="s">
        <v>2625</v>
      </c>
      <c r="C865">
        <v>5697</v>
      </c>
      <c r="D865" t="s">
        <v>2344</v>
      </c>
      <c r="E865" t="s">
        <v>2036</v>
      </c>
      <c r="F865">
        <v>202109</v>
      </c>
      <c r="G865" t="s">
        <v>182</v>
      </c>
      <c r="H865">
        <v>175415</v>
      </c>
      <c r="O865">
        <v>5352</v>
      </c>
      <c r="P865" t="s">
        <v>2625</v>
      </c>
      <c r="Q865">
        <v>5697</v>
      </c>
      <c r="R865" t="s">
        <v>2344</v>
      </c>
      <c r="S865" t="s">
        <v>2036</v>
      </c>
      <c r="T865">
        <v>202204</v>
      </c>
      <c r="U865" t="s">
        <v>182</v>
      </c>
      <c r="V865">
        <v>285961</v>
      </c>
    </row>
    <row r="866" spans="1:22">
      <c r="A866">
        <v>5352</v>
      </c>
      <c r="B866" t="s">
        <v>2625</v>
      </c>
      <c r="C866">
        <v>5697</v>
      </c>
      <c r="D866" t="s">
        <v>2344</v>
      </c>
      <c r="E866" t="s">
        <v>2036</v>
      </c>
      <c r="F866">
        <v>202109</v>
      </c>
      <c r="G866" t="s">
        <v>184</v>
      </c>
      <c r="H866">
        <v>27447</v>
      </c>
      <c r="O866">
        <v>5352</v>
      </c>
      <c r="P866" t="s">
        <v>2625</v>
      </c>
      <c r="Q866">
        <v>5697</v>
      </c>
      <c r="R866" t="s">
        <v>2344</v>
      </c>
      <c r="S866" t="s">
        <v>2036</v>
      </c>
      <c r="T866">
        <v>202204</v>
      </c>
      <c r="U866" t="s">
        <v>184</v>
      </c>
      <c r="V866">
        <v>38166</v>
      </c>
    </row>
    <row r="867" spans="1:22">
      <c r="A867">
        <v>5352</v>
      </c>
      <c r="B867" t="s">
        <v>2625</v>
      </c>
      <c r="C867">
        <v>5697</v>
      </c>
      <c r="D867" t="s">
        <v>2344</v>
      </c>
      <c r="E867" t="s">
        <v>2036</v>
      </c>
      <c r="F867">
        <v>202109</v>
      </c>
      <c r="G867" t="s">
        <v>192</v>
      </c>
      <c r="H867">
        <v>0</v>
      </c>
      <c r="O867">
        <v>5352</v>
      </c>
      <c r="P867" t="s">
        <v>2625</v>
      </c>
      <c r="Q867">
        <v>5697</v>
      </c>
      <c r="R867" t="s">
        <v>2344</v>
      </c>
      <c r="S867" t="s">
        <v>2036</v>
      </c>
      <c r="T867">
        <v>202204</v>
      </c>
      <c r="U867" t="s">
        <v>186</v>
      </c>
      <c r="V867">
        <v>0</v>
      </c>
    </row>
    <row r="868" spans="1:22">
      <c r="A868">
        <v>5352</v>
      </c>
      <c r="B868" t="s">
        <v>2625</v>
      </c>
      <c r="C868">
        <v>5697</v>
      </c>
      <c r="D868" t="s">
        <v>2344</v>
      </c>
      <c r="E868" t="s">
        <v>2036</v>
      </c>
      <c r="F868">
        <v>202109</v>
      </c>
      <c r="G868" t="s">
        <v>2170</v>
      </c>
      <c r="H868">
        <v>175.84</v>
      </c>
      <c r="O868">
        <v>5352</v>
      </c>
      <c r="P868" t="s">
        <v>2625</v>
      </c>
      <c r="Q868">
        <v>5697</v>
      </c>
      <c r="R868" t="s">
        <v>2344</v>
      </c>
      <c r="S868" t="s">
        <v>2036</v>
      </c>
      <c r="T868">
        <v>202204</v>
      </c>
      <c r="U868" t="s">
        <v>190</v>
      </c>
      <c r="V868">
        <v>174305</v>
      </c>
    </row>
    <row r="869" spans="1:22">
      <c r="A869">
        <v>5352</v>
      </c>
      <c r="B869" t="s">
        <v>2625</v>
      </c>
      <c r="C869">
        <v>5697</v>
      </c>
      <c r="D869" t="s">
        <v>2344</v>
      </c>
      <c r="E869" t="s">
        <v>2036</v>
      </c>
      <c r="F869">
        <v>202109</v>
      </c>
      <c r="G869" t="s">
        <v>186</v>
      </c>
      <c r="H869">
        <v>0</v>
      </c>
      <c r="O869">
        <v>5352</v>
      </c>
      <c r="P869" t="s">
        <v>2625</v>
      </c>
      <c r="Q869">
        <v>5697</v>
      </c>
      <c r="R869" t="s">
        <v>2344</v>
      </c>
      <c r="S869" t="s">
        <v>2036</v>
      </c>
      <c r="T869">
        <v>202204</v>
      </c>
      <c r="U869" t="s">
        <v>191</v>
      </c>
      <c r="V869">
        <v>24164</v>
      </c>
    </row>
    <row r="870" spans="1:22">
      <c r="A870">
        <v>5352</v>
      </c>
      <c r="B870" t="s">
        <v>2625</v>
      </c>
      <c r="C870">
        <v>5697</v>
      </c>
      <c r="D870" t="s">
        <v>2344</v>
      </c>
      <c r="E870" t="s">
        <v>2036</v>
      </c>
      <c r="F870">
        <v>202109</v>
      </c>
      <c r="G870" t="s">
        <v>2169</v>
      </c>
      <c r="H870">
        <v>99.17</v>
      </c>
      <c r="O870">
        <v>5352</v>
      </c>
      <c r="P870" t="s">
        <v>2625</v>
      </c>
      <c r="Q870">
        <v>5697</v>
      </c>
      <c r="R870" t="s">
        <v>2344</v>
      </c>
      <c r="S870" t="s">
        <v>2036</v>
      </c>
      <c r="T870">
        <v>202204</v>
      </c>
      <c r="U870" t="s">
        <v>178</v>
      </c>
      <c r="V870">
        <v>600</v>
      </c>
    </row>
    <row r="871" spans="1:22">
      <c r="A871">
        <v>5352</v>
      </c>
      <c r="B871" t="s">
        <v>2625</v>
      </c>
      <c r="C871">
        <v>5697</v>
      </c>
      <c r="D871" t="s">
        <v>2344</v>
      </c>
      <c r="E871" t="s">
        <v>2036</v>
      </c>
      <c r="F871">
        <v>202109</v>
      </c>
      <c r="G871" t="s">
        <v>2166</v>
      </c>
      <c r="H871">
        <v>12.33</v>
      </c>
      <c r="O871">
        <v>5352</v>
      </c>
      <c r="P871" t="s">
        <v>2625</v>
      </c>
      <c r="Q871">
        <v>5697</v>
      </c>
      <c r="R871" t="s">
        <v>2344</v>
      </c>
      <c r="S871" t="s">
        <v>2036</v>
      </c>
      <c r="T871">
        <v>202204</v>
      </c>
      <c r="U871" t="s">
        <v>180</v>
      </c>
      <c r="V871">
        <v>634</v>
      </c>
    </row>
    <row r="872" spans="1:22">
      <c r="A872">
        <v>5352</v>
      </c>
      <c r="B872" t="s">
        <v>2625</v>
      </c>
      <c r="C872">
        <v>5697</v>
      </c>
      <c r="D872" t="s">
        <v>2344</v>
      </c>
      <c r="E872" t="s">
        <v>2036</v>
      </c>
      <c r="F872">
        <v>202109</v>
      </c>
      <c r="G872" t="s">
        <v>2167</v>
      </c>
      <c r="H872">
        <v>23.94</v>
      </c>
      <c r="O872">
        <v>5352</v>
      </c>
      <c r="P872" t="s">
        <v>2625</v>
      </c>
      <c r="Q872">
        <v>5697</v>
      </c>
      <c r="R872" t="s">
        <v>2344</v>
      </c>
      <c r="S872" t="s">
        <v>2036</v>
      </c>
      <c r="T872">
        <v>202204</v>
      </c>
      <c r="U872" t="s">
        <v>182</v>
      </c>
      <c r="V872">
        <v>174305</v>
      </c>
    </row>
    <row r="873" spans="1:22">
      <c r="A873">
        <v>5352</v>
      </c>
      <c r="B873" t="s">
        <v>2625</v>
      </c>
      <c r="C873">
        <v>5697</v>
      </c>
      <c r="D873" t="s">
        <v>2344</v>
      </c>
      <c r="E873" t="s">
        <v>2036</v>
      </c>
      <c r="F873">
        <v>202109</v>
      </c>
      <c r="G873" t="s">
        <v>2168</v>
      </c>
      <c r="H873">
        <v>10.17</v>
      </c>
      <c r="O873">
        <v>5352</v>
      </c>
      <c r="P873" t="s">
        <v>2625</v>
      </c>
      <c r="Q873">
        <v>5697</v>
      </c>
      <c r="R873" t="s">
        <v>2344</v>
      </c>
      <c r="S873" t="s">
        <v>2036</v>
      </c>
      <c r="T873">
        <v>202204</v>
      </c>
      <c r="U873" t="s">
        <v>184</v>
      </c>
      <c r="V873">
        <v>24164</v>
      </c>
    </row>
    <row r="874" spans="1:22">
      <c r="A874">
        <v>5352</v>
      </c>
      <c r="B874" t="s">
        <v>2625</v>
      </c>
      <c r="C874">
        <v>5697</v>
      </c>
      <c r="D874" t="s">
        <v>2344</v>
      </c>
      <c r="E874" t="s">
        <v>2036</v>
      </c>
      <c r="F874">
        <v>202109</v>
      </c>
      <c r="G874" t="s">
        <v>2171</v>
      </c>
      <c r="H874">
        <v>40330.69</v>
      </c>
      <c r="O874">
        <v>5352</v>
      </c>
      <c r="P874" t="s">
        <v>2625</v>
      </c>
      <c r="Q874">
        <v>5697</v>
      </c>
      <c r="R874" t="s">
        <v>2344</v>
      </c>
      <c r="S874" t="s">
        <v>2036</v>
      </c>
      <c r="T874">
        <v>202204</v>
      </c>
      <c r="U874" t="s">
        <v>186</v>
      </c>
      <c r="V874">
        <v>0</v>
      </c>
    </row>
    <row r="875" spans="1:22">
      <c r="A875">
        <v>5352</v>
      </c>
      <c r="B875" t="s">
        <v>2625</v>
      </c>
      <c r="C875">
        <v>5697</v>
      </c>
      <c r="D875" t="s">
        <v>2344</v>
      </c>
      <c r="E875" t="s">
        <v>2036</v>
      </c>
      <c r="F875">
        <v>202109</v>
      </c>
      <c r="G875" t="s">
        <v>190</v>
      </c>
      <c r="H875">
        <v>28339</v>
      </c>
      <c r="O875">
        <v>5352</v>
      </c>
      <c r="P875" t="s">
        <v>2625</v>
      </c>
      <c r="Q875">
        <v>5697</v>
      </c>
      <c r="R875" t="s">
        <v>2344</v>
      </c>
      <c r="S875" t="s">
        <v>2036</v>
      </c>
      <c r="T875">
        <v>202204</v>
      </c>
      <c r="U875" t="s">
        <v>190</v>
      </c>
      <c r="V875">
        <v>150096</v>
      </c>
    </row>
    <row r="876" spans="1:22">
      <c r="A876">
        <v>5352</v>
      </c>
      <c r="B876" t="s">
        <v>2625</v>
      </c>
      <c r="C876">
        <v>5697</v>
      </c>
      <c r="D876" t="s">
        <v>2344</v>
      </c>
      <c r="E876" t="s">
        <v>2036</v>
      </c>
      <c r="F876">
        <v>202109</v>
      </c>
      <c r="G876" t="s">
        <v>191</v>
      </c>
      <c r="H876">
        <v>4554</v>
      </c>
      <c r="O876">
        <v>5352</v>
      </c>
      <c r="P876" t="s">
        <v>2625</v>
      </c>
      <c r="Q876">
        <v>5697</v>
      </c>
      <c r="R876" t="s">
        <v>2344</v>
      </c>
      <c r="S876" t="s">
        <v>2036</v>
      </c>
      <c r="T876">
        <v>202204</v>
      </c>
      <c r="U876" t="s">
        <v>191</v>
      </c>
      <c r="V876">
        <v>19055</v>
      </c>
    </row>
    <row r="877" spans="1:22">
      <c r="A877">
        <v>5352</v>
      </c>
      <c r="B877" t="s">
        <v>2625</v>
      </c>
      <c r="C877">
        <v>5697</v>
      </c>
      <c r="D877" t="s">
        <v>2344</v>
      </c>
      <c r="E877" t="s">
        <v>2036</v>
      </c>
      <c r="F877">
        <v>202109</v>
      </c>
      <c r="G877" t="s">
        <v>176</v>
      </c>
      <c r="H877">
        <v>0</v>
      </c>
      <c r="O877">
        <v>5352</v>
      </c>
      <c r="P877" t="s">
        <v>2625</v>
      </c>
      <c r="Q877">
        <v>5697</v>
      </c>
      <c r="R877" t="s">
        <v>2344</v>
      </c>
      <c r="S877" t="s">
        <v>2036</v>
      </c>
      <c r="T877">
        <v>202204</v>
      </c>
      <c r="U877" t="s">
        <v>178</v>
      </c>
      <c r="V877">
        <v>450</v>
      </c>
    </row>
    <row r="878" spans="1:22">
      <c r="A878">
        <v>5352</v>
      </c>
      <c r="B878" t="s">
        <v>2625</v>
      </c>
      <c r="C878">
        <v>5697</v>
      </c>
      <c r="D878" t="s">
        <v>2344</v>
      </c>
      <c r="E878" t="s">
        <v>2036</v>
      </c>
      <c r="F878">
        <v>202109</v>
      </c>
      <c r="G878" t="s">
        <v>178</v>
      </c>
      <c r="H878">
        <v>113</v>
      </c>
      <c r="O878">
        <v>5352</v>
      </c>
      <c r="P878" t="s">
        <v>2625</v>
      </c>
      <c r="Q878">
        <v>5697</v>
      </c>
      <c r="R878" t="s">
        <v>2344</v>
      </c>
      <c r="S878" t="s">
        <v>2036</v>
      </c>
      <c r="T878">
        <v>202204</v>
      </c>
      <c r="U878" t="s">
        <v>180</v>
      </c>
      <c r="V878">
        <v>450</v>
      </c>
    </row>
    <row r="879" spans="1:22">
      <c r="A879">
        <v>5352</v>
      </c>
      <c r="B879" t="s">
        <v>2625</v>
      </c>
      <c r="C879">
        <v>5697</v>
      </c>
      <c r="D879" t="s">
        <v>2344</v>
      </c>
      <c r="E879" t="s">
        <v>2036</v>
      </c>
      <c r="F879">
        <v>202109</v>
      </c>
      <c r="G879" t="s">
        <v>180</v>
      </c>
      <c r="H879">
        <v>97</v>
      </c>
      <c r="O879">
        <v>5352</v>
      </c>
      <c r="P879" t="s">
        <v>2625</v>
      </c>
      <c r="Q879">
        <v>5697</v>
      </c>
      <c r="R879" t="s">
        <v>2344</v>
      </c>
      <c r="S879" t="s">
        <v>2036</v>
      </c>
      <c r="T879">
        <v>202204</v>
      </c>
      <c r="U879" t="s">
        <v>182</v>
      </c>
      <c r="V879">
        <v>150096</v>
      </c>
    </row>
    <row r="880" spans="1:22">
      <c r="A880">
        <v>5352</v>
      </c>
      <c r="B880" t="s">
        <v>2625</v>
      </c>
      <c r="C880">
        <v>5697</v>
      </c>
      <c r="D880" t="s">
        <v>2344</v>
      </c>
      <c r="E880" t="s">
        <v>2036</v>
      </c>
      <c r="F880">
        <v>202109</v>
      </c>
      <c r="G880" t="s">
        <v>182</v>
      </c>
      <c r="H880">
        <v>28339</v>
      </c>
      <c r="O880">
        <v>5352</v>
      </c>
      <c r="P880" t="s">
        <v>2625</v>
      </c>
      <c r="Q880">
        <v>5697</v>
      </c>
      <c r="R880" t="s">
        <v>2344</v>
      </c>
      <c r="S880" t="s">
        <v>2036</v>
      </c>
      <c r="T880">
        <v>202204</v>
      </c>
      <c r="U880" t="s">
        <v>184</v>
      </c>
      <c r="V880">
        <v>19055</v>
      </c>
    </row>
    <row r="881" spans="1:22">
      <c r="A881">
        <v>5352</v>
      </c>
      <c r="B881" t="s">
        <v>2625</v>
      </c>
      <c r="C881">
        <v>5697</v>
      </c>
      <c r="D881" t="s">
        <v>2344</v>
      </c>
      <c r="E881" t="s">
        <v>2036</v>
      </c>
      <c r="F881">
        <v>202109</v>
      </c>
      <c r="G881" t="s">
        <v>184</v>
      </c>
      <c r="H881">
        <v>4554</v>
      </c>
      <c r="O881">
        <v>5352</v>
      </c>
      <c r="P881" t="s">
        <v>2625</v>
      </c>
      <c r="Q881">
        <v>5697</v>
      </c>
      <c r="R881" t="s">
        <v>2344</v>
      </c>
      <c r="S881" t="s">
        <v>2036</v>
      </c>
      <c r="T881">
        <v>202204</v>
      </c>
      <c r="U881" t="s">
        <v>186</v>
      </c>
      <c r="V881">
        <v>0</v>
      </c>
    </row>
    <row r="882" spans="1:22">
      <c r="A882">
        <v>5352</v>
      </c>
      <c r="B882" t="s">
        <v>2625</v>
      </c>
      <c r="C882">
        <v>5697</v>
      </c>
      <c r="D882" t="s">
        <v>2344</v>
      </c>
      <c r="E882" t="s">
        <v>2036</v>
      </c>
      <c r="F882">
        <v>202109</v>
      </c>
      <c r="G882" t="s">
        <v>192</v>
      </c>
      <c r="H882">
        <v>0</v>
      </c>
      <c r="O882">
        <v>5352</v>
      </c>
      <c r="P882" t="s">
        <v>2625</v>
      </c>
      <c r="Q882">
        <v>5697</v>
      </c>
      <c r="R882" t="s">
        <v>2344</v>
      </c>
      <c r="S882" t="s">
        <v>2036</v>
      </c>
      <c r="T882">
        <v>202204</v>
      </c>
      <c r="U882" t="s">
        <v>190</v>
      </c>
      <c r="V882">
        <v>946658</v>
      </c>
    </row>
    <row r="883" spans="1:22">
      <c r="A883">
        <v>5352</v>
      </c>
      <c r="B883" t="s">
        <v>2625</v>
      </c>
      <c r="C883">
        <v>5697</v>
      </c>
      <c r="D883" t="s">
        <v>2344</v>
      </c>
      <c r="E883" t="s">
        <v>2036</v>
      </c>
      <c r="F883">
        <v>202109</v>
      </c>
      <c r="G883" t="s">
        <v>2170</v>
      </c>
      <c r="H883">
        <v>37.93</v>
      </c>
      <c r="O883">
        <v>5352</v>
      </c>
      <c r="P883" t="s">
        <v>2625</v>
      </c>
      <c r="Q883">
        <v>5697</v>
      </c>
      <c r="R883" t="s">
        <v>2344</v>
      </c>
      <c r="S883" t="s">
        <v>2036</v>
      </c>
      <c r="T883">
        <v>202204</v>
      </c>
      <c r="U883" t="s">
        <v>191</v>
      </c>
      <c r="V883">
        <v>140562</v>
      </c>
    </row>
    <row r="884" spans="1:22">
      <c r="A884">
        <v>5352</v>
      </c>
      <c r="B884" t="s">
        <v>2625</v>
      </c>
      <c r="C884">
        <v>5697</v>
      </c>
      <c r="D884" t="s">
        <v>2344</v>
      </c>
      <c r="E884" t="s">
        <v>2036</v>
      </c>
      <c r="F884">
        <v>202109</v>
      </c>
      <c r="G884" t="s">
        <v>186</v>
      </c>
      <c r="H884">
        <v>0</v>
      </c>
      <c r="O884">
        <v>5352</v>
      </c>
      <c r="P884" t="s">
        <v>2625</v>
      </c>
      <c r="Q884">
        <v>5697</v>
      </c>
      <c r="R884" t="s">
        <v>2344</v>
      </c>
      <c r="S884" t="s">
        <v>2036</v>
      </c>
      <c r="T884">
        <v>202204</v>
      </c>
      <c r="U884" t="s">
        <v>178</v>
      </c>
      <c r="V884">
        <v>2750</v>
      </c>
    </row>
    <row r="885" spans="1:22">
      <c r="A885">
        <v>5352</v>
      </c>
      <c r="B885" t="s">
        <v>2625</v>
      </c>
      <c r="C885">
        <v>5697</v>
      </c>
      <c r="D885" t="s">
        <v>2344</v>
      </c>
      <c r="E885" t="s">
        <v>2036</v>
      </c>
      <c r="F885">
        <v>202109</v>
      </c>
      <c r="G885" t="s">
        <v>2169</v>
      </c>
      <c r="H885">
        <v>99.17</v>
      </c>
      <c r="O885">
        <v>5352</v>
      </c>
      <c r="P885" t="s">
        <v>2625</v>
      </c>
      <c r="Q885">
        <v>5697</v>
      </c>
      <c r="R885" t="s">
        <v>2344</v>
      </c>
      <c r="S885" t="s">
        <v>2036</v>
      </c>
      <c r="T885">
        <v>202204</v>
      </c>
      <c r="U885" t="s">
        <v>180</v>
      </c>
      <c r="V885">
        <v>2750</v>
      </c>
    </row>
    <row r="886" spans="1:22">
      <c r="A886">
        <v>5352</v>
      </c>
      <c r="B886" t="s">
        <v>2625</v>
      </c>
      <c r="C886">
        <v>5697</v>
      </c>
      <c r="D886" t="s">
        <v>2344</v>
      </c>
      <c r="E886" t="s">
        <v>2036</v>
      </c>
      <c r="F886">
        <v>202109</v>
      </c>
      <c r="G886" t="s">
        <v>2166</v>
      </c>
      <c r="H886">
        <v>12.33</v>
      </c>
      <c r="O886">
        <v>5352</v>
      </c>
      <c r="P886" t="s">
        <v>2625</v>
      </c>
      <c r="Q886">
        <v>5697</v>
      </c>
      <c r="R886" t="s">
        <v>2344</v>
      </c>
      <c r="S886" t="s">
        <v>2036</v>
      </c>
      <c r="T886">
        <v>202204</v>
      </c>
      <c r="U886" t="s">
        <v>182</v>
      </c>
      <c r="V886">
        <v>1012797</v>
      </c>
    </row>
    <row r="887" spans="1:22">
      <c r="A887">
        <v>5352</v>
      </c>
      <c r="B887" t="s">
        <v>2625</v>
      </c>
      <c r="C887">
        <v>5697</v>
      </c>
      <c r="D887" t="s">
        <v>2344</v>
      </c>
      <c r="E887" t="s">
        <v>2036</v>
      </c>
      <c r="F887">
        <v>202109</v>
      </c>
      <c r="G887" t="s">
        <v>2167</v>
      </c>
      <c r="H887">
        <v>23.94</v>
      </c>
      <c r="O887">
        <v>5352</v>
      </c>
      <c r="P887" t="s">
        <v>2625</v>
      </c>
      <c r="Q887">
        <v>5697</v>
      </c>
      <c r="R887" t="s">
        <v>2344</v>
      </c>
      <c r="S887" t="s">
        <v>2036</v>
      </c>
      <c r="T887">
        <v>202204</v>
      </c>
      <c r="U887" t="s">
        <v>184</v>
      </c>
      <c r="V887">
        <v>140562</v>
      </c>
    </row>
    <row r="888" spans="1:22">
      <c r="A888">
        <v>5352</v>
      </c>
      <c r="B888" t="s">
        <v>2625</v>
      </c>
      <c r="C888">
        <v>5697</v>
      </c>
      <c r="D888" t="s">
        <v>2344</v>
      </c>
      <c r="E888" t="s">
        <v>2036</v>
      </c>
      <c r="F888">
        <v>202109</v>
      </c>
      <c r="G888" t="s">
        <v>2168</v>
      </c>
      <c r="H888">
        <v>10.17</v>
      </c>
      <c r="O888">
        <v>5352</v>
      </c>
      <c r="P888" t="s">
        <v>2625</v>
      </c>
      <c r="Q888">
        <v>5697</v>
      </c>
      <c r="R888" t="s">
        <v>2344</v>
      </c>
      <c r="S888" t="s">
        <v>2036</v>
      </c>
      <c r="T888">
        <v>202204</v>
      </c>
      <c r="U888" t="s">
        <v>186</v>
      </c>
      <c r="V888">
        <v>66139</v>
      </c>
    </row>
    <row r="889" spans="1:22">
      <c r="A889">
        <v>5352</v>
      </c>
      <c r="B889" t="s">
        <v>2625</v>
      </c>
      <c r="C889">
        <v>5697</v>
      </c>
      <c r="D889" t="s">
        <v>2344</v>
      </c>
      <c r="E889" t="s">
        <v>2036</v>
      </c>
      <c r="F889">
        <v>202109</v>
      </c>
      <c r="G889" t="s">
        <v>2171</v>
      </c>
      <c r="H889">
        <v>9482.31</v>
      </c>
      <c r="O889">
        <v>5352</v>
      </c>
      <c r="P889" t="s">
        <v>2625</v>
      </c>
      <c r="Q889">
        <v>5697</v>
      </c>
      <c r="R889" t="s">
        <v>2344</v>
      </c>
      <c r="S889" t="s">
        <v>2036</v>
      </c>
      <c r="T889">
        <v>202204</v>
      </c>
      <c r="U889" t="s">
        <v>190</v>
      </c>
      <c r="V889">
        <v>291559</v>
      </c>
    </row>
    <row r="890" spans="1:22">
      <c r="A890">
        <v>5352</v>
      </c>
      <c r="B890" t="s">
        <v>2625</v>
      </c>
      <c r="C890">
        <v>5697</v>
      </c>
      <c r="D890" t="s">
        <v>2344</v>
      </c>
      <c r="E890" t="s">
        <v>2036</v>
      </c>
      <c r="F890">
        <v>202109</v>
      </c>
      <c r="G890" t="s">
        <v>190</v>
      </c>
      <c r="H890">
        <v>159542</v>
      </c>
      <c r="O890">
        <v>5352</v>
      </c>
      <c r="P890" t="s">
        <v>2625</v>
      </c>
      <c r="Q890">
        <v>5697</v>
      </c>
      <c r="R890" t="s">
        <v>2344</v>
      </c>
      <c r="S890" t="s">
        <v>2036</v>
      </c>
      <c r="T890">
        <v>202204</v>
      </c>
      <c r="U890" t="s">
        <v>191</v>
      </c>
      <c r="V890">
        <v>38236</v>
      </c>
    </row>
    <row r="891" spans="1:22">
      <c r="A891">
        <v>5352</v>
      </c>
      <c r="B891" t="s">
        <v>2625</v>
      </c>
      <c r="C891">
        <v>5697</v>
      </c>
      <c r="D891" t="s">
        <v>2344</v>
      </c>
      <c r="E891" t="s">
        <v>2036</v>
      </c>
      <c r="F891">
        <v>202109</v>
      </c>
      <c r="G891" t="s">
        <v>191</v>
      </c>
      <c r="H891">
        <v>23077</v>
      </c>
      <c r="O891">
        <v>5352</v>
      </c>
      <c r="P891" t="s">
        <v>2625</v>
      </c>
      <c r="Q891">
        <v>5697</v>
      </c>
      <c r="R891" t="s">
        <v>2344</v>
      </c>
      <c r="S891" t="s">
        <v>2036</v>
      </c>
      <c r="T891">
        <v>202204</v>
      </c>
      <c r="U891" t="s">
        <v>178</v>
      </c>
      <c r="V891">
        <v>820</v>
      </c>
    </row>
    <row r="892" spans="1:22">
      <c r="A892">
        <v>5352</v>
      </c>
      <c r="B892" t="s">
        <v>2625</v>
      </c>
      <c r="C892">
        <v>5697</v>
      </c>
      <c r="D892" t="s">
        <v>2344</v>
      </c>
      <c r="E892" t="s">
        <v>2036</v>
      </c>
      <c r="F892">
        <v>202109</v>
      </c>
      <c r="G892" t="s">
        <v>176</v>
      </c>
      <c r="H892">
        <v>0</v>
      </c>
      <c r="O892">
        <v>5352</v>
      </c>
      <c r="P892" t="s">
        <v>2625</v>
      </c>
      <c r="Q892">
        <v>5697</v>
      </c>
      <c r="R892" t="s">
        <v>2344</v>
      </c>
      <c r="S892" t="s">
        <v>2036</v>
      </c>
      <c r="T892">
        <v>202204</v>
      </c>
      <c r="U892" t="s">
        <v>180</v>
      </c>
      <c r="V892">
        <v>820</v>
      </c>
    </row>
    <row r="893" spans="1:22">
      <c r="A893">
        <v>5352</v>
      </c>
      <c r="B893" t="s">
        <v>2625</v>
      </c>
      <c r="C893">
        <v>5697</v>
      </c>
      <c r="D893" t="s">
        <v>2344</v>
      </c>
      <c r="E893" t="s">
        <v>2036</v>
      </c>
      <c r="F893">
        <v>202109</v>
      </c>
      <c r="G893" t="s">
        <v>178</v>
      </c>
      <c r="H893">
        <v>580</v>
      </c>
      <c r="O893">
        <v>5352</v>
      </c>
      <c r="P893" t="s">
        <v>2625</v>
      </c>
      <c r="Q893">
        <v>5697</v>
      </c>
      <c r="R893" t="s">
        <v>2344</v>
      </c>
      <c r="S893" t="s">
        <v>2036</v>
      </c>
      <c r="T893">
        <v>202204</v>
      </c>
      <c r="U893" t="s">
        <v>182</v>
      </c>
      <c r="V893">
        <v>291559</v>
      </c>
    </row>
    <row r="894" spans="1:22">
      <c r="A894">
        <v>5352</v>
      </c>
      <c r="B894" t="s">
        <v>2625</v>
      </c>
      <c r="C894">
        <v>5697</v>
      </c>
      <c r="D894" t="s">
        <v>2344</v>
      </c>
      <c r="E894" t="s">
        <v>2036</v>
      </c>
      <c r="F894">
        <v>202109</v>
      </c>
      <c r="G894" t="s">
        <v>180</v>
      </c>
      <c r="H894">
        <v>580</v>
      </c>
      <c r="O894">
        <v>5352</v>
      </c>
      <c r="P894" t="s">
        <v>2625</v>
      </c>
      <c r="Q894">
        <v>5697</v>
      </c>
      <c r="R894" t="s">
        <v>2344</v>
      </c>
      <c r="S894" t="s">
        <v>2036</v>
      </c>
      <c r="T894">
        <v>202204</v>
      </c>
      <c r="U894" t="s">
        <v>184</v>
      </c>
      <c r="V894">
        <v>38236</v>
      </c>
    </row>
    <row r="895" spans="1:22">
      <c r="A895">
        <v>5352</v>
      </c>
      <c r="B895" t="s">
        <v>2625</v>
      </c>
      <c r="C895">
        <v>5697</v>
      </c>
      <c r="D895" t="s">
        <v>2344</v>
      </c>
      <c r="E895" t="s">
        <v>2036</v>
      </c>
      <c r="F895">
        <v>202109</v>
      </c>
      <c r="G895" t="s">
        <v>182</v>
      </c>
      <c r="H895">
        <v>159542</v>
      </c>
      <c r="O895">
        <v>5352</v>
      </c>
      <c r="P895" t="s">
        <v>2625</v>
      </c>
      <c r="Q895">
        <v>5697</v>
      </c>
      <c r="R895" t="s">
        <v>2344</v>
      </c>
      <c r="S895" t="s">
        <v>2036</v>
      </c>
      <c r="T895">
        <v>202204</v>
      </c>
      <c r="U895" t="s">
        <v>186</v>
      </c>
      <c r="V895">
        <v>0</v>
      </c>
    </row>
    <row r="896" spans="1:22">
      <c r="A896">
        <v>5352</v>
      </c>
      <c r="B896" t="s">
        <v>2625</v>
      </c>
      <c r="C896">
        <v>5697</v>
      </c>
      <c r="D896" t="s">
        <v>2344</v>
      </c>
      <c r="E896" t="s">
        <v>2036</v>
      </c>
      <c r="F896">
        <v>202109</v>
      </c>
      <c r="G896" t="s">
        <v>184</v>
      </c>
      <c r="H896">
        <v>23077</v>
      </c>
      <c r="O896">
        <v>5352</v>
      </c>
      <c r="P896" t="s">
        <v>2625</v>
      </c>
      <c r="Q896">
        <v>5697</v>
      </c>
      <c r="R896" t="s">
        <v>2344</v>
      </c>
      <c r="S896" t="s">
        <v>2036</v>
      </c>
      <c r="T896">
        <v>202204</v>
      </c>
      <c r="U896" t="s">
        <v>190</v>
      </c>
      <c r="V896">
        <v>196802</v>
      </c>
    </row>
    <row r="897" spans="1:22">
      <c r="A897">
        <v>5352</v>
      </c>
      <c r="B897" t="s">
        <v>2625</v>
      </c>
      <c r="C897">
        <v>5697</v>
      </c>
      <c r="D897" t="s">
        <v>2344</v>
      </c>
      <c r="E897" t="s">
        <v>2036</v>
      </c>
      <c r="F897">
        <v>202109</v>
      </c>
      <c r="G897" t="s">
        <v>192</v>
      </c>
      <c r="H897">
        <v>0</v>
      </c>
      <c r="O897">
        <v>5352</v>
      </c>
      <c r="P897" t="s">
        <v>2625</v>
      </c>
      <c r="Q897">
        <v>5697</v>
      </c>
      <c r="R897" t="s">
        <v>2344</v>
      </c>
      <c r="S897" t="s">
        <v>2036</v>
      </c>
      <c r="T897">
        <v>202204</v>
      </c>
      <c r="U897" t="s">
        <v>191</v>
      </c>
      <c r="V897">
        <v>29543</v>
      </c>
    </row>
    <row r="898" spans="1:22">
      <c r="A898">
        <v>5352</v>
      </c>
      <c r="B898" t="s">
        <v>2625</v>
      </c>
      <c r="C898">
        <v>5697</v>
      </c>
      <c r="D898" t="s">
        <v>2344</v>
      </c>
      <c r="E898" t="s">
        <v>2036</v>
      </c>
      <c r="F898">
        <v>202109</v>
      </c>
      <c r="G898" t="s">
        <v>2170</v>
      </c>
      <c r="H898">
        <v>164.68</v>
      </c>
      <c r="O898">
        <v>5352</v>
      </c>
      <c r="P898" t="s">
        <v>2625</v>
      </c>
      <c r="Q898">
        <v>5697</v>
      </c>
      <c r="R898" t="s">
        <v>2344</v>
      </c>
      <c r="S898" t="s">
        <v>2036</v>
      </c>
      <c r="T898">
        <v>202204</v>
      </c>
      <c r="U898" t="s">
        <v>178</v>
      </c>
      <c r="V898">
        <v>1300</v>
      </c>
    </row>
    <row r="899" spans="1:22">
      <c r="A899">
        <v>5352</v>
      </c>
      <c r="B899" t="s">
        <v>2625</v>
      </c>
      <c r="C899">
        <v>5697</v>
      </c>
      <c r="D899" t="s">
        <v>2344</v>
      </c>
      <c r="E899" t="s">
        <v>2036</v>
      </c>
      <c r="F899">
        <v>202109</v>
      </c>
      <c r="G899" t="s">
        <v>186</v>
      </c>
      <c r="H899">
        <v>0</v>
      </c>
      <c r="O899">
        <v>5352</v>
      </c>
      <c r="P899" t="s">
        <v>2625</v>
      </c>
      <c r="Q899">
        <v>5697</v>
      </c>
      <c r="R899" t="s">
        <v>2344</v>
      </c>
      <c r="S899" t="s">
        <v>2036</v>
      </c>
      <c r="T899">
        <v>202204</v>
      </c>
      <c r="U899" t="s">
        <v>180</v>
      </c>
      <c r="V899">
        <v>1350</v>
      </c>
    </row>
    <row r="900" spans="1:22">
      <c r="A900">
        <v>5352</v>
      </c>
      <c r="B900" t="s">
        <v>2625</v>
      </c>
      <c r="C900">
        <v>5697</v>
      </c>
      <c r="D900" t="s">
        <v>2344</v>
      </c>
      <c r="E900" t="s">
        <v>2036</v>
      </c>
      <c r="F900">
        <v>202109</v>
      </c>
      <c r="G900" t="s">
        <v>2169</v>
      </c>
      <c r="H900">
        <v>99.17</v>
      </c>
      <c r="O900">
        <v>5352</v>
      </c>
      <c r="P900" t="s">
        <v>2625</v>
      </c>
      <c r="Q900">
        <v>5697</v>
      </c>
      <c r="R900" t="s">
        <v>2344</v>
      </c>
      <c r="S900" t="s">
        <v>2036</v>
      </c>
      <c r="T900">
        <v>202204</v>
      </c>
      <c r="U900" t="s">
        <v>182</v>
      </c>
      <c r="V900">
        <v>196802</v>
      </c>
    </row>
    <row r="901" spans="1:22">
      <c r="A901">
        <v>5352</v>
      </c>
      <c r="B901" t="s">
        <v>2625</v>
      </c>
      <c r="C901">
        <v>5697</v>
      </c>
      <c r="D901" t="s">
        <v>2344</v>
      </c>
      <c r="E901" t="s">
        <v>2036</v>
      </c>
      <c r="F901">
        <v>202109</v>
      </c>
      <c r="G901" t="s">
        <v>2166</v>
      </c>
      <c r="H901">
        <v>12.33</v>
      </c>
      <c r="O901">
        <v>5352</v>
      </c>
      <c r="P901" t="s">
        <v>2625</v>
      </c>
      <c r="Q901">
        <v>5697</v>
      </c>
      <c r="R901" t="s">
        <v>2344</v>
      </c>
      <c r="S901" t="s">
        <v>2036</v>
      </c>
      <c r="T901">
        <v>202204</v>
      </c>
      <c r="U901" t="s">
        <v>184</v>
      </c>
      <c r="V901">
        <v>29543</v>
      </c>
    </row>
    <row r="902" spans="1:22">
      <c r="A902">
        <v>5352</v>
      </c>
      <c r="B902" t="s">
        <v>2625</v>
      </c>
      <c r="C902">
        <v>5697</v>
      </c>
      <c r="D902" t="s">
        <v>2344</v>
      </c>
      <c r="E902" t="s">
        <v>2036</v>
      </c>
      <c r="F902">
        <v>202109</v>
      </c>
      <c r="G902" t="s">
        <v>2167</v>
      </c>
      <c r="H902">
        <v>23.94</v>
      </c>
      <c r="O902">
        <v>5352</v>
      </c>
      <c r="P902" t="s">
        <v>2625</v>
      </c>
      <c r="Q902">
        <v>5697</v>
      </c>
      <c r="R902" t="s">
        <v>2344</v>
      </c>
      <c r="S902" t="s">
        <v>2036</v>
      </c>
      <c r="T902">
        <v>202204</v>
      </c>
      <c r="U902" t="s">
        <v>186</v>
      </c>
      <c r="V902">
        <v>0</v>
      </c>
    </row>
    <row r="903" spans="1:22">
      <c r="A903">
        <v>5352</v>
      </c>
      <c r="B903" t="s">
        <v>2625</v>
      </c>
      <c r="C903">
        <v>5697</v>
      </c>
      <c r="D903" t="s">
        <v>2344</v>
      </c>
      <c r="E903" t="s">
        <v>2036</v>
      </c>
      <c r="F903">
        <v>202109</v>
      </c>
      <c r="G903" t="s">
        <v>2168</v>
      </c>
      <c r="H903">
        <v>10.17</v>
      </c>
      <c r="O903">
        <v>5352</v>
      </c>
      <c r="P903" t="s">
        <v>2625</v>
      </c>
      <c r="Q903">
        <v>5697</v>
      </c>
      <c r="R903" t="s">
        <v>2344</v>
      </c>
      <c r="S903" t="s">
        <v>2036</v>
      </c>
      <c r="T903">
        <v>202204</v>
      </c>
      <c r="U903" t="s">
        <v>190</v>
      </c>
      <c r="V903">
        <v>191805</v>
      </c>
    </row>
    <row r="904" spans="1:22">
      <c r="A904">
        <v>5352</v>
      </c>
      <c r="B904" t="s">
        <v>2625</v>
      </c>
      <c r="C904">
        <v>5697</v>
      </c>
      <c r="D904" t="s">
        <v>2344</v>
      </c>
      <c r="E904" t="s">
        <v>2036</v>
      </c>
      <c r="F904">
        <v>202109</v>
      </c>
      <c r="G904" t="s">
        <v>2171</v>
      </c>
      <c r="H904">
        <v>41168.83</v>
      </c>
      <c r="O904">
        <v>5352</v>
      </c>
      <c r="P904" t="s">
        <v>2625</v>
      </c>
      <c r="Q904">
        <v>5697</v>
      </c>
      <c r="R904" t="s">
        <v>2344</v>
      </c>
      <c r="S904" t="s">
        <v>2036</v>
      </c>
      <c r="T904">
        <v>202204</v>
      </c>
      <c r="U904" t="s">
        <v>191</v>
      </c>
      <c r="V904">
        <v>30578</v>
      </c>
    </row>
    <row r="905" spans="1:22">
      <c r="A905">
        <v>5352</v>
      </c>
      <c r="B905" t="s">
        <v>2625</v>
      </c>
      <c r="C905">
        <v>5697</v>
      </c>
      <c r="D905" t="s">
        <v>2344</v>
      </c>
      <c r="E905" t="s">
        <v>2036</v>
      </c>
      <c r="F905">
        <v>202109</v>
      </c>
      <c r="G905" t="s">
        <v>190</v>
      </c>
      <c r="H905">
        <v>176948</v>
      </c>
      <c r="O905">
        <v>5352</v>
      </c>
      <c r="P905" t="s">
        <v>2625</v>
      </c>
      <c r="Q905">
        <v>5697</v>
      </c>
      <c r="R905" t="s">
        <v>2344</v>
      </c>
      <c r="S905" t="s">
        <v>2036</v>
      </c>
      <c r="T905">
        <v>202204</v>
      </c>
      <c r="U905" t="s">
        <v>178</v>
      </c>
      <c r="V905">
        <v>810</v>
      </c>
    </row>
    <row r="906" spans="1:22">
      <c r="A906">
        <v>5352</v>
      </c>
      <c r="B906" t="s">
        <v>2625</v>
      </c>
      <c r="C906">
        <v>5697</v>
      </c>
      <c r="D906" t="s">
        <v>2344</v>
      </c>
      <c r="E906" t="s">
        <v>2036</v>
      </c>
      <c r="F906">
        <v>202109</v>
      </c>
      <c r="G906" t="s">
        <v>191</v>
      </c>
      <c r="H906">
        <v>28227</v>
      </c>
      <c r="O906">
        <v>5352</v>
      </c>
      <c r="P906" t="s">
        <v>2625</v>
      </c>
      <c r="Q906">
        <v>5697</v>
      </c>
      <c r="R906" t="s">
        <v>2344</v>
      </c>
      <c r="S906" t="s">
        <v>2036</v>
      </c>
      <c r="T906">
        <v>202204</v>
      </c>
      <c r="U906" t="s">
        <v>180</v>
      </c>
      <c r="V906">
        <v>930</v>
      </c>
    </row>
    <row r="907" spans="1:22">
      <c r="A907">
        <v>5352</v>
      </c>
      <c r="B907" t="s">
        <v>2625</v>
      </c>
      <c r="C907">
        <v>5697</v>
      </c>
      <c r="D907" t="s">
        <v>2344</v>
      </c>
      <c r="E907" t="s">
        <v>2036</v>
      </c>
      <c r="F907">
        <v>202109</v>
      </c>
      <c r="G907" t="s">
        <v>176</v>
      </c>
      <c r="H907">
        <v>-790.25</v>
      </c>
      <c r="O907">
        <v>5352</v>
      </c>
      <c r="P907" t="s">
        <v>2625</v>
      </c>
      <c r="Q907">
        <v>5697</v>
      </c>
      <c r="R907" t="s">
        <v>2344</v>
      </c>
      <c r="S907" t="s">
        <v>2036</v>
      </c>
      <c r="T907">
        <v>202204</v>
      </c>
      <c r="U907" t="s">
        <v>182</v>
      </c>
      <c r="V907">
        <v>191805</v>
      </c>
    </row>
    <row r="908" spans="1:22">
      <c r="A908">
        <v>5352</v>
      </c>
      <c r="B908" t="s">
        <v>2625</v>
      </c>
      <c r="C908">
        <v>5697</v>
      </c>
      <c r="D908" t="s">
        <v>2344</v>
      </c>
      <c r="E908" t="s">
        <v>2036</v>
      </c>
      <c r="F908">
        <v>202109</v>
      </c>
      <c r="G908" t="s">
        <v>178</v>
      </c>
      <c r="H908">
        <v>735</v>
      </c>
      <c r="O908">
        <v>5352</v>
      </c>
      <c r="P908" t="s">
        <v>2625</v>
      </c>
      <c r="Q908">
        <v>5697</v>
      </c>
      <c r="R908" t="s">
        <v>2344</v>
      </c>
      <c r="S908" t="s">
        <v>2036</v>
      </c>
      <c r="T908">
        <v>202204</v>
      </c>
      <c r="U908" t="s">
        <v>184</v>
      </c>
      <c r="V908">
        <v>30578</v>
      </c>
    </row>
    <row r="909" spans="1:22">
      <c r="A909">
        <v>5352</v>
      </c>
      <c r="B909" t="s">
        <v>2625</v>
      </c>
      <c r="C909">
        <v>5697</v>
      </c>
      <c r="D909" t="s">
        <v>2344</v>
      </c>
      <c r="E909" t="s">
        <v>2036</v>
      </c>
      <c r="F909">
        <v>202109</v>
      </c>
      <c r="G909" t="s">
        <v>180</v>
      </c>
      <c r="H909">
        <v>650</v>
      </c>
      <c r="O909">
        <v>5352</v>
      </c>
      <c r="P909" t="s">
        <v>2625</v>
      </c>
      <c r="Q909">
        <v>5697</v>
      </c>
      <c r="R909" t="s">
        <v>2344</v>
      </c>
      <c r="S909" t="s">
        <v>2036</v>
      </c>
      <c r="T909">
        <v>202204</v>
      </c>
      <c r="U909" t="s">
        <v>186</v>
      </c>
      <c r="V909">
        <v>0</v>
      </c>
    </row>
    <row r="910" spans="1:22">
      <c r="A910">
        <v>5352</v>
      </c>
      <c r="B910" t="s">
        <v>2625</v>
      </c>
      <c r="C910">
        <v>5697</v>
      </c>
      <c r="D910" t="s">
        <v>2344</v>
      </c>
      <c r="E910" t="s">
        <v>2036</v>
      </c>
      <c r="F910">
        <v>202109</v>
      </c>
      <c r="G910" t="s">
        <v>182</v>
      </c>
      <c r="H910">
        <v>176948</v>
      </c>
      <c r="O910">
        <v>5352</v>
      </c>
      <c r="P910" t="s">
        <v>2625</v>
      </c>
      <c r="Q910">
        <v>5697</v>
      </c>
      <c r="R910" t="s">
        <v>2344</v>
      </c>
      <c r="S910" t="s">
        <v>2036</v>
      </c>
      <c r="T910">
        <v>202204</v>
      </c>
      <c r="U910" t="s">
        <v>190</v>
      </c>
      <c r="V910">
        <v>59137</v>
      </c>
    </row>
    <row r="911" spans="1:22">
      <c r="A911">
        <v>5352</v>
      </c>
      <c r="B911" t="s">
        <v>2625</v>
      </c>
      <c r="C911">
        <v>5697</v>
      </c>
      <c r="D911" t="s">
        <v>2344</v>
      </c>
      <c r="E911" t="s">
        <v>2036</v>
      </c>
      <c r="F911">
        <v>202109</v>
      </c>
      <c r="G911" t="s">
        <v>184</v>
      </c>
      <c r="H911">
        <v>28227</v>
      </c>
      <c r="O911">
        <v>5352</v>
      </c>
      <c r="P911" t="s">
        <v>2625</v>
      </c>
      <c r="Q911">
        <v>5697</v>
      </c>
      <c r="R911" t="s">
        <v>2344</v>
      </c>
      <c r="S911" t="s">
        <v>2036</v>
      </c>
      <c r="T911">
        <v>202204</v>
      </c>
      <c r="U911" t="s">
        <v>191</v>
      </c>
      <c r="V911">
        <v>8750</v>
      </c>
    </row>
    <row r="912" spans="1:22">
      <c r="A912">
        <v>5352</v>
      </c>
      <c r="B912" t="s">
        <v>2625</v>
      </c>
      <c r="C912">
        <v>5697</v>
      </c>
      <c r="D912" t="s">
        <v>2344</v>
      </c>
      <c r="E912" t="s">
        <v>2036</v>
      </c>
      <c r="F912">
        <v>202109</v>
      </c>
      <c r="G912" t="s">
        <v>192</v>
      </c>
      <c r="H912">
        <v>0</v>
      </c>
      <c r="O912">
        <v>5352</v>
      </c>
      <c r="P912" t="s">
        <v>2625</v>
      </c>
      <c r="Q912">
        <v>5697</v>
      </c>
      <c r="R912" t="s">
        <v>2344</v>
      </c>
      <c r="S912" t="s">
        <v>2036</v>
      </c>
      <c r="T912">
        <v>202204</v>
      </c>
      <c r="U912" t="s">
        <v>178</v>
      </c>
      <c r="V912">
        <v>250</v>
      </c>
    </row>
    <row r="913" spans="1:22">
      <c r="A913">
        <v>5352</v>
      </c>
      <c r="B913" t="s">
        <v>2625</v>
      </c>
      <c r="C913">
        <v>5697</v>
      </c>
      <c r="D913" t="s">
        <v>2344</v>
      </c>
      <c r="E913" t="s">
        <v>2036</v>
      </c>
      <c r="F913">
        <v>202109</v>
      </c>
      <c r="G913" t="s">
        <v>2170</v>
      </c>
      <c r="H913">
        <v>188.98</v>
      </c>
      <c r="O913">
        <v>5352</v>
      </c>
      <c r="P913" t="s">
        <v>2625</v>
      </c>
      <c r="Q913">
        <v>5697</v>
      </c>
      <c r="R913" t="s">
        <v>2344</v>
      </c>
      <c r="S913" t="s">
        <v>2036</v>
      </c>
      <c r="T913">
        <v>202204</v>
      </c>
      <c r="U913" t="s">
        <v>180</v>
      </c>
      <c r="V913">
        <v>250</v>
      </c>
    </row>
    <row r="914" spans="1:22">
      <c r="A914">
        <v>5352</v>
      </c>
      <c r="B914" t="s">
        <v>2625</v>
      </c>
      <c r="C914">
        <v>5697</v>
      </c>
      <c r="D914" t="s">
        <v>2344</v>
      </c>
      <c r="E914" t="s">
        <v>2036</v>
      </c>
      <c r="F914">
        <v>202109</v>
      </c>
      <c r="G914" t="s">
        <v>186</v>
      </c>
      <c r="H914">
        <v>0</v>
      </c>
      <c r="O914">
        <v>5352</v>
      </c>
      <c r="P914" t="s">
        <v>2625</v>
      </c>
      <c r="Q914">
        <v>5697</v>
      </c>
      <c r="R914" t="s">
        <v>2344</v>
      </c>
      <c r="S914" t="s">
        <v>2036</v>
      </c>
      <c r="T914">
        <v>202204</v>
      </c>
      <c r="U914" t="s">
        <v>182</v>
      </c>
      <c r="V914">
        <v>59137</v>
      </c>
    </row>
    <row r="915" spans="1:22">
      <c r="A915">
        <v>5352</v>
      </c>
      <c r="B915" t="s">
        <v>2625</v>
      </c>
      <c r="C915">
        <v>5697</v>
      </c>
      <c r="D915" t="s">
        <v>2344</v>
      </c>
      <c r="E915" t="s">
        <v>2036</v>
      </c>
      <c r="F915">
        <v>202109</v>
      </c>
      <c r="G915" t="s">
        <v>2169</v>
      </c>
      <c r="H915">
        <v>99.17</v>
      </c>
      <c r="O915">
        <v>5352</v>
      </c>
      <c r="P915" t="s">
        <v>2625</v>
      </c>
      <c r="Q915">
        <v>5697</v>
      </c>
      <c r="R915" t="s">
        <v>2344</v>
      </c>
      <c r="S915" t="s">
        <v>2036</v>
      </c>
      <c r="T915">
        <v>202204</v>
      </c>
      <c r="U915" t="s">
        <v>184</v>
      </c>
      <c r="V915">
        <v>8750</v>
      </c>
    </row>
    <row r="916" spans="1:22">
      <c r="A916">
        <v>5352</v>
      </c>
      <c r="B916" t="s">
        <v>2625</v>
      </c>
      <c r="C916">
        <v>5697</v>
      </c>
      <c r="D916" t="s">
        <v>2344</v>
      </c>
      <c r="E916" t="s">
        <v>2036</v>
      </c>
      <c r="F916">
        <v>202109</v>
      </c>
      <c r="G916" t="s">
        <v>2166</v>
      </c>
      <c r="H916">
        <v>12.33</v>
      </c>
      <c r="O916">
        <v>5352</v>
      </c>
      <c r="P916" t="s">
        <v>2625</v>
      </c>
      <c r="Q916">
        <v>5697</v>
      </c>
      <c r="R916" t="s">
        <v>2344</v>
      </c>
      <c r="S916" t="s">
        <v>2036</v>
      </c>
      <c r="T916">
        <v>202204</v>
      </c>
      <c r="U916" t="s">
        <v>186</v>
      </c>
      <c r="V916">
        <v>0</v>
      </c>
    </row>
    <row r="917" spans="1:22">
      <c r="A917">
        <v>5352</v>
      </c>
      <c r="B917" t="s">
        <v>2625</v>
      </c>
      <c r="C917">
        <v>5697</v>
      </c>
      <c r="D917" t="s">
        <v>2344</v>
      </c>
      <c r="E917" t="s">
        <v>2036</v>
      </c>
      <c r="F917">
        <v>202109</v>
      </c>
      <c r="G917" t="s">
        <v>2167</v>
      </c>
      <c r="H917">
        <v>23.94</v>
      </c>
      <c r="O917">
        <v>5352</v>
      </c>
      <c r="P917" t="s">
        <v>2625</v>
      </c>
      <c r="Q917">
        <v>5697</v>
      </c>
      <c r="R917" t="s">
        <v>2344</v>
      </c>
      <c r="S917" t="s">
        <v>2036</v>
      </c>
      <c r="T917">
        <v>202204</v>
      </c>
      <c r="U917" t="s">
        <v>190</v>
      </c>
      <c r="V917">
        <v>196097</v>
      </c>
    </row>
    <row r="918" spans="1:22">
      <c r="A918">
        <v>5352</v>
      </c>
      <c r="B918" t="s">
        <v>2625</v>
      </c>
      <c r="C918">
        <v>5697</v>
      </c>
      <c r="D918" t="s">
        <v>2344</v>
      </c>
      <c r="E918" t="s">
        <v>2036</v>
      </c>
      <c r="F918">
        <v>202109</v>
      </c>
      <c r="G918" t="s">
        <v>2168</v>
      </c>
      <c r="H918">
        <v>10.17</v>
      </c>
      <c r="O918">
        <v>5352</v>
      </c>
      <c r="P918" t="s">
        <v>2625</v>
      </c>
      <c r="Q918">
        <v>5697</v>
      </c>
      <c r="R918" t="s">
        <v>2344</v>
      </c>
      <c r="S918" t="s">
        <v>2036</v>
      </c>
      <c r="T918">
        <v>202204</v>
      </c>
      <c r="U918" t="s">
        <v>191</v>
      </c>
      <c r="V918">
        <v>29011</v>
      </c>
    </row>
    <row r="919" spans="1:22">
      <c r="A919">
        <v>5352</v>
      </c>
      <c r="B919" t="s">
        <v>2625</v>
      </c>
      <c r="C919">
        <v>5697</v>
      </c>
      <c r="D919" t="s">
        <v>2344</v>
      </c>
      <c r="E919" t="s">
        <v>2036</v>
      </c>
      <c r="F919">
        <v>202109</v>
      </c>
      <c r="G919" t="s">
        <v>2171</v>
      </c>
      <c r="H919">
        <v>46456.1</v>
      </c>
      <c r="O919">
        <v>5352</v>
      </c>
      <c r="P919" t="s">
        <v>2625</v>
      </c>
      <c r="Q919">
        <v>5697</v>
      </c>
      <c r="R919" t="s">
        <v>2344</v>
      </c>
      <c r="S919" t="s">
        <v>2036</v>
      </c>
      <c r="T919">
        <v>202204</v>
      </c>
      <c r="U919" t="s">
        <v>178</v>
      </c>
      <c r="V919">
        <v>900</v>
      </c>
    </row>
    <row r="920" spans="1:22">
      <c r="A920">
        <v>5352</v>
      </c>
      <c r="B920" t="s">
        <v>2625</v>
      </c>
      <c r="C920">
        <v>5697</v>
      </c>
      <c r="D920" t="s">
        <v>2344</v>
      </c>
      <c r="E920" t="s">
        <v>2036</v>
      </c>
      <c r="F920">
        <v>202109</v>
      </c>
      <c r="G920" t="s">
        <v>190</v>
      </c>
      <c r="H920">
        <v>99126</v>
      </c>
      <c r="O920">
        <v>5352</v>
      </c>
      <c r="P920" t="s">
        <v>2625</v>
      </c>
      <c r="Q920">
        <v>5697</v>
      </c>
      <c r="R920" t="s">
        <v>2344</v>
      </c>
      <c r="S920" t="s">
        <v>2036</v>
      </c>
      <c r="T920">
        <v>202204</v>
      </c>
      <c r="U920" t="s">
        <v>180</v>
      </c>
      <c r="V920">
        <v>850</v>
      </c>
    </row>
    <row r="921" spans="1:22">
      <c r="A921">
        <v>5352</v>
      </c>
      <c r="B921" t="s">
        <v>2625</v>
      </c>
      <c r="C921">
        <v>5697</v>
      </c>
      <c r="D921" t="s">
        <v>2344</v>
      </c>
      <c r="E921" t="s">
        <v>2036</v>
      </c>
      <c r="F921">
        <v>202109</v>
      </c>
      <c r="G921" t="s">
        <v>191</v>
      </c>
      <c r="H921">
        <v>14482</v>
      </c>
      <c r="O921">
        <v>5352</v>
      </c>
      <c r="P921" t="s">
        <v>2625</v>
      </c>
      <c r="Q921">
        <v>5697</v>
      </c>
      <c r="R921" t="s">
        <v>2344</v>
      </c>
      <c r="S921" t="s">
        <v>2036</v>
      </c>
      <c r="T921">
        <v>202204</v>
      </c>
      <c r="U921" t="s">
        <v>182</v>
      </c>
      <c r="V921">
        <v>196097</v>
      </c>
    </row>
    <row r="922" spans="1:22">
      <c r="A922">
        <v>5352</v>
      </c>
      <c r="B922" t="s">
        <v>2625</v>
      </c>
      <c r="C922">
        <v>5697</v>
      </c>
      <c r="D922" t="s">
        <v>2344</v>
      </c>
      <c r="E922" t="s">
        <v>2036</v>
      </c>
      <c r="F922">
        <v>202109</v>
      </c>
      <c r="G922" t="s">
        <v>176</v>
      </c>
      <c r="H922">
        <v>0</v>
      </c>
      <c r="O922">
        <v>5352</v>
      </c>
      <c r="P922" t="s">
        <v>2625</v>
      </c>
      <c r="Q922">
        <v>5697</v>
      </c>
      <c r="R922" t="s">
        <v>2344</v>
      </c>
      <c r="S922" t="s">
        <v>2036</v>
      </c>
      <c r="T922">
        <v>202204</v>
      </c>
      <c r="U922" t="s">
        <v>184</v>
      </c>
      <c r="V922">
        <v>29011</v>
      </c>
    </row>
    <row r="923" spans="1:22">
      <c r="A923">
        <v>5352</v>
      </c>
      <c r="B923" t="s">
        <v>2625</v>
      </c>
      <c r="C923">
        <v>5697</v>
      </c>
      <c r="D923" t="s">
        <v>2344</v>
      </c>
      <c r="E923" t="s">
        <v>2036</v>
      </c>
      <c r="F923">
        <v>202109</v>
      </c>
      <c r="G923" t="s">
        <v>178</v>
      </c>
      <c r="H923">
        <v>320</v>
      </c>
      <c r="O923">
        <v>5352</v>
      </c>
      <c r="P923" t="s">
        <v>2625</v>
      </c>
      <c r="Q923">
        <v>5697</v>
      </c>
      <c r="R923" t="s">
        <v>2344</v>
      </c>
      <c r="S923" t="s">
        <v>2036</v>
      </c>
      <c r="T923">
        <v>202204</v>
      </c>
      <c r="U923" t="s">
        <v>186</v>
      </c>
      <c r="V923">
        <v>0</v>
      </c>
    </row>
    <row r="924" spans="1:22">
      <c r="A924">
        <v>5352</v>
      </c>
      <c r="B924" t="s">
        <v>2625</v>
      </c>
      <c r="C924">
        <v>5697</v>
      </c>
      <c r="D924" t="s">
        <v>2344</v>
      </c>
      <c r="E924" t="s">
        <v>2036</v>
      </c>
      <c r="F924">
        <v>202109</v>
      </c>
      <c r="G924" t="s">
        <v>180</v>
      </c>
      <c r="H924">
        <v>320</v>
      </c>
      <c r="O924">
        <v>5352</v>
      </c>
      <c r="P924" t="s">
        <v>2625</v>
      </c>
      <c r="Q924">
        <v>5697</v>
      </c>
      <c r="R924" t="s">
        <v>2344</v>
      </c>
      <c r="S924" t="s">
        <v>2036</v>
      </c>
      <c r="T924">
        <v>202204</v>
      </c>
      <c r="U924" t="s">
        <v>190</v>
      </c>
      <c r="V924">
        <v>107136</v>
      </c>
    </row>
    <row r="925" spans="1:22">
      <c r="A925">
        <v>5352</v>
      </c>
      <c r="B925" t="s">
        <v>2625</v>
      </c>
      <c r="C925">
        <v>5697</v>
      </c>
      <c r="D925" t="s">
        <v>2344</v>
      </c>
      <c r="E925" t="s">
        <v>2036</v>
      </c>
      <c r="F925">
        <v>202109</v>
      </c>
      <c r="G925" t="s">
        <v>182</v>
      </c>
      <c r="H925">
        <v>99126</v>
      </c>
      <c r="O925">
        <v>5352</v>
      </c>
      <c r="P925" t="s">
        <v>2625</v>
      </c>
      <c r="Q925">
        <v>5697</v>
      </c>
      <c r="R925" t="s">
        <v>2344</v>
      </c>
      <c r="S925" t="s">
        <v>2036</v>
      </c>
      <c r="T925">
        <v>202204</v>
      </c>
      <c r="U925" t="s">
        <v>191</v>
      </c>
      <c r="V925">
        <v>14475</v>
      </c>
    </row>
    <row r="926" spans="1:22">
      <c r="A926">
        <v>5352</v>
      </c>
      <c r="B926" t="s">
        <v>2625</v>
      </c>
      <c r="C926">
        <v>5697</v>
      </c>
      <c r="D926" t="s">
        <v>2344</v>
      </c>
      <c r="E926" t="s">
        <v>2036</v>
      </c>
      <c r="F926">
        <v>202109</v>
      </c>
      <c r="G926" t="s">
        <v>184</v>
      </c>
      <c r="H926">
        <v>14482</v>
      </c>
      <c r="O926">
        <v>5352</v>
      </c>
      <c r="P926" t="s">
        <v>2625</v>
      </c>
      <c r="Q926">
        <v>5697</v>
      </c>
      <c r="R926" t="s">
        <v>2344</v>
      </c>
      <c r="S926" t="s">
        <v>2036</v>
      </c>
      <c r="T926">
        <v>202204</v>
      </c>
      <c r="U926" t="s">
        <v>178</v>
      </c>
      <c r="V926">
        <v>320</v>
      </c>
    </row>
    <row r="927" spans="1:22">
      <c r="A927">
        <v>5352</v>
      </c>
      <c r="B927" t="s">
        <v>2625</v>
      </c>
      <c r="C927">
        <v>5697</v>
      </c>
      <c r="D927" t="s">
        <v>2344</v>
      </c>
      <c r="E927" t="s">
        <v>2036</v>
      </c>
      <c r="F927">
        <v>202109</v>
      </c>
      <c r="G927" t="s">
        <v>192</v>
      </c>
      <c r="H927">
        <v>0</v>
      </c>
      <c r="O927">
        <v>5352</v>
      </c>
      <c r="P927" t="s">
        <v>2625</v>
      </c>
      <c r="Q927">
        <v>5697</v>
      </c>
      <c r="R927" t="s">
        <v>2344</v>
      </c>
      <c r="S927" t="s">
        <v>2036</v>
      </c>
      <c r="T927">
        <v>202204</v>
      </c>
      <c r="U927" t="s">
        <v>180</v>
      </c>
      <c r="V927">
        <v>320</v>
      </c>
    </row>
    <row r="928" spans="1:22">
      <c r="A928">
        <v>5352</v>
      </c>
      <c r="B928" t="s">
        <v>2625</v>
      </c>
      <c r="C928">
        <v>5697</v>
      </c>
      <c r="D928" t="s">
        <v>2344</v>
      </c>
      <c r="E928" t="s">
        <v>2036</v>
      </c>
      <c r="F928">
        <v>202109</v>
      </c>
      <c r="G928" t="s">
        <v>2170</v>
      </c>
      <c r="H928">
        <v>96.49</v>
      </c>
      <c r="O928">
        <v>5352</v>
      </c>
      <c r="P928" t="s">
        <v>2625</v>
      </c>
      <c r="Q928">
        <v>5697</v>
      </c>
      <c r="R928" t="s">
        <v>2344</v>
      </c>
      <c r="S928" t="s">
        <v>2036</v>
      </c>
      <c r="T928">
        <v>202204</v>
      </c>
      <c r="U928" t="s">
        <v>182</v>
      </c>
      <c r="V928">
        <v>107136</v>
      </c>
    </row>
    <row r="929" spans="1:22">
      <c r="A929">
        <v>5352</v>
      </c>
      <c r="B929" t="s">
        <v>2625</v>
      </c>
      <c r="C929">
        <v>5697</v>
      </c>
      <c r="D929" t="s">
        <v>2344</v>
      </c>
      <c r="E929" t="s">
        <v>2036</v>
      </c>
      <c r="F929">
        <v>202109</v>
      </c>
      <c r="G929" t="s">
        <v>186</v>
      </c>
      <c r="H929">
        <v>0</v>
      </c>
      <c r="O929">
        <v>5352</v>
      </c>
      <c r="P929" t="s">
        <v>2625</v>
      </c>
      <c r="Q929">
        <v>5697</v>
      </c>
      <c r="R929" t="s">
        <v>2344</v>
      </c>
      <c r="S929" t="s">
        <v>2036</v>
      </c>
      <c r="T929">
        <v>202204</v>
      </c>
      <c r="U929" t="s">
        <v>184</v>
      </c>
      <c r="V929">
        <v>14475</v>
      </c>
    </row>
    <row r="930" spans="1:22">
      <c r="A930">
        <v>5352</v>
      </c>
      <c r="B930" t="s">
        <v>2625</v>
      </c>
      <c r="C930">
        <v>5697</v>
      </c>
      <c r="D930" t="s">
        <v>2344</v>
      </c>
      <c r="E930" t="s">
        <v>2036</v>
      </c>
      <c r="F930">
        <v>202109</v>
      </c>
      <c r="G930" t="s">
        <v>2169</v>
      </c>
      <c r="H930">
        <v>99.17</v>
      </c>
      <c r="O930">
        <v>5352</v>
      </c>
      <c r="P930" t="s">
        <v>2625</v>
      </c>
      <c r="Q930">
        <v>5697</v>
      </c>
      <c r="R930" t="s">
        <v>2344</v>
      </c>
      <c r="S930" t="s">
        <v>2036</v>
      </c>
      <c r="T930">
        <v>202204</v>
      </c>
      <c r="U930" t="s">
        <v>186</v>
      </c>
      <c r="V930">
        <v>0</v>
      </c>
    </row>
    <row r="931" spans="1:22">
      <c r="A931">
        <v>5352</v>
      </c>
      <c r="B931" t="s">
        <v>2625</v>
      </c>
      <c r="C931">
        <v>5697</v>
      </c>
      <c r="D931" t="s">
        <v>2344</v>
      </c>
      <c r="E931" t="s">
        <v>2036</v>
      </c>
      <c r="F931">
        <v>202109</v>
      </c>
      <c r="G931" t="s">
        <v>2166</v>
      </c>
      <c r="H931">
        <v>12.33</v>
      </c>
      <c r="O931">
        <v>5352</v>
      </c>
      <c r="P931" t="s">
        <v>2625</v>
      </c>
      <c r="Q931">
        <v>5697</v>
      </c>
      <c r="R931" t="s">
        <v>2344</v>
      </c>
      <c r="S931" t="s">
        <v>2036</v>
      </c>
      <c r="T931">
        <v>202204</v>
      </c>
      <c r="U931" t="s">
        <v>190</v>
      </c>
      <c r="V931">
        <v>140024</v>
      </c>
    </row>
    <row r="932" spans="1:22">
      <c r="A932">
        <v>5352</v>
      </c>
      <c r="B932" t="s">
        <v>2625</v>
      </c>
      <c r="C932">
        <v>5697</v>
      </c>
      <c r="D932" t="s">
        <v>2344</v>
      </c>
      <c r="E932" t="s">
        <v>2036</v>
      </c>
      <c r="F932">
        <v>202109</v>
      </c>
      <c r="G932" t="s">
        <v>2167</v>
      </c>
      <c r="H932">
        <v>23.94</v>
      </c>
      <c r="O932">
        <v>5352</v>
      </c>
      <c r="P932" t="s">
        <v>2625</v>
      </c>
      <c r="Q932">
        <v>5697</v>
      </c>
      <c r="R932" t="s">
        <v>2344</v>
      </c>
      <c r="S932" t="s">
        <v>2036</v>
      </c>
      <c r="T932">
        <v>202204</v>
      </c>
      <c r="U932" t="s">
        <v>191</v>
      </c>
      <c r="V932">
        <v>19459</v>
      </c>
    </row>
    <row r="933" spans="1:22">
      <c r="A933">
        <v>5352</v>
      </c>
      <c r="B933" t="s">
        <v>2625</v>
      </c>
      <c r="C933">
        <v>5697</v>
      </c>
      <c r="D933" t="s">
        <v>2344</v>
      </c>
      <c r="E933" t="s">
        <v>2036</v>
      </c>
      <c r="F933">
        <v>202109</v>
      </c>
      <c r="G933" t="s">
        <v>2168</v>
      </c>
      <c r="H933">
        <v>10.17</v>
      </c>
      <c r="O933">
        <v>5352</v>
      </c>
      <c r="P933" t="s">
        <v>2625</v>
      </c>
      <c r="Q933">
        <v>5697</v>
      </c>
      <c r="R933" t="s">
        <v>2344</v>
      </c>
      <c r="S933" t="s">
        <v>2036</v>
      </c>
      <c r="T933">
        <v>202204</v>
      </c>
      <c r="U933" t="s">
        <v>178</v>
      </c>
      <c r="V933">
        <v>600</v>
      </c>
    </row>
    <row r="934" spans="1:22">
      <c r="A934">
        <v>5352</v>
      </c>
      <c r="B934" t="s">
        <v>2625</v>
      </c>
      <c r="C934">
        <v>5697</v>
      </c>
      <c r="D934" t="s">
        <v>2344</v>
      </c>
      <c r="E934" t="s">
        <v>2036</v>
      </c>
      <c r="F934">
        <v>202109</v>
      </c>
      <c r="G934" t="s">
        <v>2171</v>
      </c>
      <c r="H934">
        <v>24124.77</v>
      </c>
      <c r="O934">
        <v>5352</v>
      </c>
      <c r="P934" t="s">
        <v>2625</v>
      </c>
      <c r="Q934">
        <v>5697</v>
      </c>
      <c r="R934" t="s">
        <v>2344</v>
      </c>
      <c r="S934" t="s">
        <v>2036</v>
      </c>
      <c r="T934">
        <v>202204</v>
      </c>
      <c r="U934" t="s">
        <v>180</v>
      </c>
      <c r="V934">
        <v>600</v>
      </c>
    </row>
    <row r="935" spans="1:22">
      <c r="A935">
        <v>5352</v>
      </c>
      <c r="B935" t="s">
        <v>2625</v>
      </c>
      <c r="C935">
        <v>5697</v>
      </c>
      <c r="D935" t="s">
        <v>2344</v>
      </c>
      <c r="E935" t="s">
        <v>2036</v>
      </c>
      <c r="F935">
        <v>202109</v>
      </c>
      <c r="G935" t="s">
        <v>190</v>
      </c>
      <c r="H935">
        <v>157054</v>
      </c>
      <c r="O935">
        <v>5352</v>
      </c>
      <c r="P935" t="s">
        <v>2625</v>
      </c>
      <c r="Q935">
        <v>5697</v>
      </c>
      <c r="R935" t="s">
        <v>2344</v>
      </c>
      <c r="S935" t="s">
        <v>2036</v>
      </c>
      <c r="T935">
        <v>202204</v>
      </c>
      <c r="U935" t="s">
        <v>182</v>
      </c>
      <c r="V935">
        <v>140024</v>
      </c>
    </row>
    <row r="936" spans="1:22">
      <c r="A936">
        <v>5352</v>
      </c>
      <c r="B936" t="s">
        <v>2625</v>
      </c>
      <c r="C936">
        <v>5697</v>
      </c>
      <c r="D936" t="s">
        <v>2344</v>
      </c>
      <c r="E936" t="s">
        <v>2036</v>
      </c>
      <c r="F936">
        <v>202109</v>
      </c>
      <c r="G936" t="s">
        <v>191</v>
      </c>
      <c r="H936">
        <v>22874</v>
      </c>
      <c r="O936">
        <v>5352</v>
      </c>
      <c r="P936" t="s">
        <v>2625</v>
      </c>
      <c r="Q936">
        <v>5697</v>
      </c>
      <c r="R936" t="s">
        <v>2344</v>
      </c>
      <c r="S936" t="s">
        <v>2036</v>
      </c>
      <c r="T936">
        <v>202204</v>
      </c>
      <c r="U936" t="s">
        <v>184</v>
      </c>
      <c r="V936">
        <v>19459</v>
      </c>
    </row>
    <row r="937" spans="1:22">
      <c r="A937">
        <v>5352</v>
      </c>
      <c r="B937" t="s">
        <v>2625</v>
      </c>
      <c r="C937">
        <v>5697</v>
      </c>
      <c r="D937" t="s">
        <v>2344</v>
      </c>
      <c r="E937" t="s">
        <v>2036</v>
      </c>
      <c r="F937">
        <v>202109</v>
      </c>
      <c r="G937" t="s">
        <v>176</v>
      </c>
      <c r="H937">
        <v>0</v>
      </c>
      <c r="O937">
        <v>5352</v>
      </c>
      <c r="P937" t="s">
        <v>2625</v>
      </c>
      <c r="Q937">
        <v>5697</v>
      </c>
      <c r="R937" t="s">
        <v>2344</v>
      </c>
      <c r="S937" t="s">
        <v>2036</v>
      </c>
      <c r="T937">
        <v>202204</v>
      </c>
      <c r="U937" t="s">
        <v>186</v>
      </c>
      <c r="V937">
        <v>0</v>
      </c>
    </row>
    <row r="938" spans="1:22">
      <c r="A938">
        <v>5352</v>
      </c>
      <c r="B938" t="s">
        <v>2625</v>
      </c>
      <c r="C938">
        <v>5697</v>
      </c>
      <c r="D938" t="s">
        <v>2344</v>
      </c>
      <c r="E938" t="s">
        <v>2036</v>
      </c>
      <c r="F938">
        <v>202109</v>
      </c>
      <c r="G938" t="s">
        <v>178</v>
      </c>
      <c r="H938">
        <v>600</v>
      </c>
      <c r="O938">
        <v>5352</v>
      </c>
      <c r="P938" t="s">
        <v>2625</v>
      </c>
      <c r="Q938">
        <v>5697</v>
      </c>
      <c r="R938" t="s">
        <v>2344</v>
      </c>
      <c r="S938" t="s">
        <v>2036</v>
      </c>
      <c r="T938">
        <v>202204</v>
      </c>
      <c r="U938" t="s">
        <v>190</v>
      </c>
      <c r="V938">
        <v>588678</v>
      </c>
    </row>
    <row r="939" spans="1:22">
      <c r="A939">
        <v>5352</v>
      </c>
      <c r="B939" t="s">
        <v>2625</v>
      </c>
      <c r="C939">
        <v>5697</v>
      </c>
      <c r="D939" t="s">
        <v>2344</v>
      </c>
      <c r="E939" t="s">
        <v>2036</v>
      </c>
      <c r="F939">
        <v>202109</v>
      </c>
      <c r="G939" t="s">
        <v>180</v>
      </c>
      <c r="H939">
        <v>600</v>
      </c>
      <c r="O939">
        <v>5352</v>
      </c>
      <c r="P939" t="s">
        <v>2625</v>
      </c>
      <c r="Q939">
        <v>5697</v>
      </c>
      <c r="R939" t="s">
        <v>2344</v>
      </c>
      <c r="S939" t="s">
        <v>2036</v>
      </c>
      <c r="T939">
        <v>202204</v>
      </c>
      <c r="U939" t="s">
        <v>191</v>
      </c>
      <c r="V939">
        <v>85620</v>
      </c>
    </row>
    <row r="940" spans="1:22">
      <c r="A940">
        <v>5352</v>
      </c>
      <c r="B940" t="s">
        <v>2625</v>
      </c>
      <c r="C940">
        <v>5697</v>
      </c>
      <c r="D940" t="s">
        <v>2344</v>
      </c>
      <c r="E940" t="s">
        <v>2036</v>
      </c>
      <c r="F940">
        <v>202109</v>
      </c>
      <c r="G940" t="s">
        <v>182</v>
      </c>
      <c r="H940">
        <v>157054</v>
      </c>
      <c r="O940">
        <v>5352</v>
      </c>
      <c r="P940" t="s">
        <v>2625</v>
      </c>
      <c r="Q940">
        <v>5697</v>
      </c>
      <c r="R940" t="s">
        <v>2344</v>
      </c>
      <c r="S940" t="s">
        <v>2036</v>
      </c>
      <c r="T940">
        <v>202204</v>
      </c>
      <c r="U940" t="s">
        <v>178</v>
      </c>
      <c r="V940">
        <v>1747</v>
      </c>
    </row>
    <row r="941" spans="1:22">
      <c r="A941">
        <v>5352</v>
      </c>
      <c r="B941" t="s">
        <v>2625</v>
      </c>
      <c r="C941">
        <v>5697</v>
      </c>
      <c r="D941" t="s">
        <v>2344</v>
      </c>
      <c r="E941" t="s">
        <v>2036</v>
      </c>
      <c r="F941">
        <v>202109</v>
      </c>
      <c r="G941" t="s">
        <v>184</v>
      </c>
      <c r="H941">
        <v>22874</v>
      </c>
      <c r="O941">
        <v>5352</v>
      </c>
      <c r="P941" t="s">
        <v>2625</v>
      </c>
      <c r="Q941">
        <v>5697</v>
      </c>
      <c r="R941" t="s">
        <v>2344</v>
      </c>
      <c r="S941" t="s">
        <v>2036</v>
      </c>
      <c r="T941">
        <v>202204</v>
      </c>
      <c r="U941" t="s">
        <v>180</v>
      </c>
      <c r="V941">
        <v>1863</v>
      </c>
    </row>
    <row r="942" spans="1:22">
      <c r="A942">
        <v>5352</v>
      </c>
      <c r="B942" t="s">
        <v>2625</v>
      </c>
      <c r="C942">
        <v>5697</v>
      </c>
      <c r="D942" t="s">
        <v>2344</v>
      </c>
      <c r="E942" t="s">
        <v>2036</v>
      </c>
      <c r="F942">
        <v>202109</v>
      </c>
      <c r="G942" t="s">
        <v>192</v>
      </c>
      <c r="H942">
        <v>0</v>
      </c>
      <c r="O942">
        <v>5352</v>
      </c>
      <c r="P942" t="s">
        <v>2625</v>
      </c>
      <c r="Q942">
        <v>5697</v>
      </c>
      <c r="R942" t="s">
        <v>2344</v>
      </c>
      <c r="S942" t="s">
        <v>2036</v>
      </c>
      <c r="T942">
        <v>202204</v>
      </c>
      <c r="U942" t="s">
        <v>182</v>
      </c>
      <c r="V942">
        <v>588678</v>
      </c>
    </row>
    <row r="943" spans="1:22">
      <c r="A943">
        <v>5352</v>
      </c>
      <c r="B943" t="s">
        <v>2625</v>
      </c>
      <c r="C943">
        <v>5697</v>
      </c>
      <c r="D943" t="s">
        <v>2344</v>
      </c>
      <c r="E943" t="s">
        <v>2036</v>
      </c>
      <c r="F943">
        <v>202109</v>
      </c>
      <c r="G943" t="s">
        <v>2170</v>
      </c>
      <c r="H943">
        <v>166.4</v>
      </c>
      <c r="O943">
        <v>5352</v>
      </c>
      <c r="P943" t="s">
        <v>2625</v>
      </c>
      <c r="Q943">
        <v>5697</v>
      </c>
      <c r="R943" t="s">
        <v>2344</v>
      </c>
      <c r="S943" t="s">
        <v>2036</v>
      </c>
      <c r="T943">
        <v>202204</v>
      </c>
      <c r="U943" t="s">
        <v>184</v>
      </c>
      <c r="V943">
        <v>85620</v>
      </c>
    </row>
    <row r="944" spans="1:22">
      <c r="A944">
        <v>5352</v>
      </c>
      <c r="B944" t="s">
        <v>2625</v>
      </c>
      <c r="C944">
        <v>5697</v>
      </c>
      <c r="D944" t="s">
        <v>2344</v>
      </c>
      <c r="E944" t="s">
        <v>2036</v>
      </c>
      <c r="F944">
        <v>202109</v>
      </c>
      <c r="G944" t="s">
        <v>186</v>
      </c>
      <c r="H944">
        <v>0</v>
      </c>
      <c r="O944">
        <v>5352</v>
      </c>
      <c r="P944" t="s">
        <v>2625</v>
      </c>
      <c r="Q944">
        <v>5697</v>
      </c>
      <c r="R944" t="s">
        <v>2344</v>
      </c>
      <c r="S944" t="s">
        <v>2036</v>
      </c>
      <c r="T944">
        <v>202204</v>
      </c>
      <c r="U944" t="s">
        <v>186</v>
      </c>
      <c r="V944">
        <v>0</v>
      </c>
    </row>
    <row r="945" spans="1:22">
      <c r="A945">
        <v>5352</v>
      </c>
      <c r="B945" t="s">
        <v>2625</v>
      </c>
      <c r="C945">
        <v>5697</v>
      </c>
      <c r="D945" t="s">
        <v>2344</v>
      </c>
      <c r="E945" t="s">
        <v>2036</v>
      </c>
      <c r="F945">
        <v>202109</v>
      </c>
      <c r="G945" t="s">
        <v>2169</v>
      </c>
      <c r="H945">
        <v>99.17</v>
      </c>
      <c r="O945">
        <v>5352</v>
      </c>
      <c r="P945" t="s">
        <v>2625</v>
      </c>
      <c r="Q945">
        <v>5697</v>
      </c>
      <c r="R945" t="s">
        <v>2344</v>
      </c>
      <c r="S945" t="s">
        <v>2036</v>
      </c>
      <c r="T945">
        <v>202204</v>
      </c>
      <c r="U945" t="s">
        <v>190</v>
      </c>
      <c r="V945">
        <v>112091</v>
      </c>
    </row>
    <row r="946" spans="1:22">
      <c r="A946">
        <v>5352</v>
      </c>
      <c r="B946" t="s">
        <v>2625</v>
      </c>
      <c r="C946">
        <v>5697</v>
      </c>
      <c r="D946" t="s">
        <v>2344</v>
      </c>
      <c r="E946" t="s">
        <v>2036</v>
      </c>
      <c r="F946">
        <v>202109</v>
      </c>
      <c r="G946" t="s">
        <v>2166</v>
      </c>
      <c r="H946">
        <v>12.33</v>
      </c>
      <c r="O946">
        <v>5352</v>
      </c>
      <c r="P946" t="s">
        <v>2625</v>
      </c>
      <c r="Q946">
        <v>5697</v>
      </c>
      <c r="R946" t="s">
        <v>2344</v>
      </c>
      <c r="S946" t="s">
        <v>2036</v>
      </c>
      <c r="T946">
        <v>202204</v>
      </c>
      <c r="U946" t="s">
        <v>191</v>
      </c>
      <c r="V946">
        <v>15484</v>
      </c>
    </row>
    <row r="947" spans="1:22">
      <c r="A947">
        <v>5352</v>
      </c>
      <c r="B947" t="s">
        <v>2625</v>
      </c>
      <c r="C947">
        <v>5697</v>
      </c>
      <c r="D947" t="s">
        <v>2344</v>
      </c>
      <c r="E947" t="s">
        <v>2036</v>
      </c>
      <c r="F947">
        <v>202109</v>
      </c>
      <c r="G947" t="s">
        <v>2167</v>
      </c>
      <c r="H947">
        <v>23.94</v>
      </c>
      <c r="O947">
        <v>5352</v>
      </c>
      <c r="P947" t="s">
        <v>2625</v>
      </c>
      <c r="Q947">
        <v>5697</v>
      </c>
      <c r="R947" t="s">
        <v>2344</v>
      </c>
      <c r="S947" t="s">
        <v>2036</v>
      </c>
      <c r="T947">
        <v>202204</v>
      </c>
      <c r="U947" t="s">
        <v>178</v>
      </c>
      <c r="V947">
        <v>510</v>
      </c>
    </row>
    <row r="948" spans="1:22">
      <c r="A948">
        <v>5352</v>
      </c>
      <c r="B948" t="s">
        <v>2625</v>
      </c>
      <c r="C948">
        <v>5697</v>
      </c>
      <c r="D948" t="s">
        <v>2344</v>
      </c>
      <c r="E948" t="s">
        <v>2036</v>
      </c>
      <c r="F948">
        <v>202109</v>
      </c>
      <c r="G948" t="s">
        <v>2168</v>
      </c>
      <c r="H948">
        <v>10.17</v>
      </c>
      <c r="O948">
        <v>5352</v>
      </c>
      <c r="P948" t="s">
        <v>2625</v>
      </c>
      <c r="Q948">
        <v>5697</v>
      </c>
      <c r="R948" t="s">
        <v>2344</v>
      </c>
      <c r="S948" t="s">
        <v>2036</v>
      </c>
      <c r="T948">
        <v>202204</v>
      </c>
      <c r="U948" t="s">
        <v>180</v>
      </c>
      <c r="V948">
        <v>570</v>
      </c>
    </row>
    <row r="949" spans="1:22">
      <c r="A949">
        <v>5352</v>
      </c>
      <c r="B949" t="s">
        <v>2625</v>
      </c>
      <c r="C949">
        <v>5697</v>
      </c>
      <c r="D949" t="s">
        <v>2344</v>
      </c>
      <c r="E949" t="s">
        <v>2036</v>
      </c>
      <c r="F949">
        <v>202109</v>
      </c>
      <c r="G949" t="s">
        <v>2171</v>
      </c>
      <c r="H949">
        <v>41601.699999999997</v>
      </c>
      <c r="O949">
        <v>5352</v>
      </c>
      <c r="P949" t="s">
        <v>2625</v>
      </c>
      <c r="Q949">
        <v>5697</v>
      </c>
      <c r="R949" t="s">
        <v>2344</v>
      </c>
      <c r="S949" t="s">
        <v>2036</v>
      </c>
      <c r="T949">
        <v>202204</v>
      </c>
      <c r="U949" t="s">
        <v>182</v>
      </c>
      <c r="V949">
        <v>112091</v>
      </c>
    </row>
    <row r="950" spans="1:22">
      <c r="A950">
        <v>5352</v>
      </c>
      <c r="B950" t="s">
        <v>2625</v>
      </c>
      <c r="C950">
        <v>5697</v>
      </c>
      <c r="D950" t="s">
        <v>2344</v>
      </c>
      <c r="E950" t="s">
        <v>2036</v>
      </c>
      <c r="F950">
        <v>202109</v>
      </c>
      <c r="G950" t="s">
        <v>190</v>
      </c>
      <c r="H950">
        <v>283091</v>
      </c>
      <c r="O950">
        <v>5352</v>
      </c>
      <c r="P950" t="s">
        <v>2625</v>
      </c>
      <c r="Q950">
        <v>5697</v>
      </c>
      <c r="R950" t="s">
        <v>2344</v>
      </c>
      <c r="S950" t="s">
        <v>2036</v>
      </c>
      <c r="T950">
        <v>202204</v>
      </c>
      <c r="U950" t="s">
        <v>184</v>
      </c>
      <c r="V950">
        <v>15484</v>
      </c>
    </row>
    <row r="951" spans="1:22">
      <c r="A951">
        <v>5352</v>
      </c>
      <c r="B951" t="s">
        <v>2625</v>
      </c>
      <c r="C951">
        <v>5697</v>
      </c>
      <c r="D951" t="s">
        <v>2344</v>
      </c>
      <c r="E951" t="s">
        <v>2036</v>
      </c>
      <c r="F951">
        <v>202109</v>
      </c>
      <c r="G951" t="s">
        <v>191</v>
      </c>
      <c r="H951">
        <v>39084</v>
      </c>
      <c r="O951">
        <v>5352</v>
      </c>
      <c r="P951" t="s">
        <v>2625</v>
      </c>
      <c r="Q951">
        <v>5697</v>
      </c>
      <c r="R951" t="s">
        <v>2344</v>
      </c>
      <c r="S951" t="s">
        <v>2036</v>
      </c>
      <c r="T951">
        <v>202204</v>
      </c>
      <c r="U951" t="s">
        <v>186</v>
      </c>
      <c r="V951">
        <v>0</v>
      </c>
    </row>
    <row r="952" spans="1:22">
      <c r="A952">
        <v>5352</v>
      </c>
      <c r="B952" t="s">
        <v>2625</v>
      </c>
      <c r="C952">
        <v>5697</v>
      </c>
      <c r="D952" t="s">
        <v>2344</v>
      </c>
      <c r="E952" t="s">
        <v>2036</v>
      </c>
      <c r="F952">
        <v>202109</v>
      </c>
      <c r="G952" t="s">
        <v>176</v>
      </c>
      <c r="H952">
        <v>0</v>
      </c>
      <c r="O952">
        <v>5352</v>
      </c>
      <c r="P952" t="s">
        <v>2625</v>
      </c>
      <c r="Q952">
        <v>5697</v>
      </c>
      <c r="R952" t="s">
        <v>2344</v>
      </c>
      <c r="S952" t="s">
        <v>2036</v>
      </c>
      <c r="T952">
        <v>202205</v>
      </c>
      <c r="U952" t="s">
        <v>190</v>
      </c>
      <c r="V952">
        <v>496871</v>
      </c>
    </row>
    <row r="953" spans="1:22">
      <c r="A953">
        <v>5352</v>
      </c>
      <c r="B953" t="s">
        <v>2625</v>
      </c>
      <c r="C953">
        <v>5697</v>
      </c>
      <c r="D953" t="s">
        <v>2344</v>
      </c>
      <c r="E953" t="s">
        <v>2036</v>
      </c>
      <c r="F953">
        <v>202109</v>
      </c>
      <c r="G953" t="s">
        <v>178</v>
      </c>
      <c r="H953">
        <v>820</v>
      </c>
      <c r="O953">
        <v>5352</v>
      </c>
      <c r="P953" t="s">
        <v>2625</v>
      </c>
      <c r="Q953">
        <v>5697</v>
      </c>
      <c r="R953" t="s">
        <v>2344</v>
      </c>
      <c r="S953" t="s">
        <v>2036</v>
      </c>
      <c r="T953">
        <v>202205</v>
      </c>
      <c r="U953" t="s">
        <v>191</v>
      </c>
      <c r="V953">
        <v>65331</v>
      </c>
    </row>
    <row r="954" spans="1:22">
      <c r="A954">
        <v>5352</v>
      </c>
      <c r="B954" t="s">
        <v>2625</v>
      </c>
      <c r="C954">
        <v>5697</v>
      </c>
      <c r="D954" t="s">
        <v>2344</v>
      </c>
      <c r="E954" t="s">
        <v>2036</v>
      </c>
      <c r="F954">
        <v>202109</v>
      </c>
      <c r="G954" t="s">
        <v>180</v>
      </c>
      <c r="H954">
        <v>820</v>
      </c>
      <c r="O954">
        <v>5352</v>
      </c>
      <c r="P954" t="s">
        <v>2625</v>
      </c>
      <c r="Q954">
        <v>5697</v>
      </c>
      <c r="R954" t="s">
        <v>2344</v>
      </c>
      <c r="S954" t="s">
        <v>2036</v>
      </c>
      <c r="T954">
        <v>202205</v>
      </c>
      <c r="U954" t="s">
        <v>178</v>
      </c>
      <c r="V954">
        <v>1670</v>
      </c>
    </row>
    <row r="955" spans="1:22">
      <c r="A955">
        <v>5352</v>
      </c>
      <c r="B955" t="s">
        <v>2625</v>
      </c>
      <c r="C955">
        <v>5697</v>
      </c>
      <c r="D955" t="s">
        <v>2344</v>
      </c>
      <c r="E955" t="s">
        <v>2036</v>
      </c>
      <c r="F955">
        <v>202109</v>
      </c>
      <c r="G955" t="s">
        <v>182</v>
      </c>
      <c r="H955">
        <v>283091</v>
      </c>
      <c r="O955">
        <v>5352</v>
      </c>
      <c r="P955" t="s">
        <v>2625</v>
      </c>
      <c r="Q955">
        <v>5697</v>
      </c>
      <c r="R955" t="s">
        <v>2344</v>
      </c>
      <c r="S955" t="s">
        <v>2036</v>
      </c>
      <c r="T955">
        <v>202205</v>
      </c>
      <c r="U955" t="s">
        <v>180</v>
      </c>
      <c r="V955">
        <v>1670</v>
      </c>
    </row>
    <row r="956" spans="1:22">
      <c r="A956">
        <v>5352</v>
      </c>
      <c r="B956" t="s">
        <v>2625</v>
      </c>
      <c r="C956">
        <v>5697</v>
      </c>
      <c r="D956" t="s">
        <v>2344</v>
      </c>
      <c r="E956" t="s">
        <v>2036</v>
      </c>
      <c r="F956">
        <v>202109</v>
      </c>
      <c r="G956" t="s">
        <v>184</v>
      </c>
      <c r="H956">
        <v>39084</v>
      </c>
      <c r="O956">
        <v>5352</v>
      </c>
      <c r="P956" t="s">
        <v>2625</v>
      </c>
      <c r="Q956">
        <v>5697</v>
      </c>
      <c r="R956" t="s">
        <v>2344</v>
      </c>
      <c r="S956" t="s">
        <v>2036</v>
      </c>
      <c r="T956">
        <v>202205</v>
      </c>
      <c r="U956" t="s">
        <v>182</v>
      </c>
      <c r="V956">
        <v>496871</v>
      </c>
    </row>
    <row r="957" spans="1:22">
      <c r="A957">
        <v>5352</v>
      </c>
      <c r="B957" t="s">
        <v>2625</v>
      </c>
      <c r="C957">
        <v>5697</v>
      </c>
      <c r="D957" t="s">
        <v>2344</v>
      </c>
      <c r="E957" t="s">
        <v>2036</v>
      </c>
      <c r="F957">
        <v>202109</v>
      </c>
      <c r="G957" t="s">
        <v>192</v>
      </c>
      <c r="H957">
        <v>0</v>
      </c>
      <c r="O957">
        <v>5352</v>
      </c>
      <c r="P957" t="s">
        <v>2625</v>
      </c>
      <c r="Q957">
        <v>5697</v>
      </c>
      <c r="R957" t="s">
        <v>2344</v>
      </c>
      <c r="S957" t="s">
        <v>2036</v>
      </c>
      <c r="T957">
        <v>202205</v>
      </c>
      <c r="U957" t="s">
        <v>184</v>
      </c>
      <c r="V957">
        <v>65331</v>
      </c>
    </row>
    <row r="958" spans="1:22">
      <c r="A958">
        <v>5352</v>
      </c>
      <c r="B958" t="s">
        <v>2625</v>
      </c>
      <c r="C958">
        <v>5697</v>
      </c>
      <c r="D958" t="s">
        <v>2344</v>
      </c>
      <c r="E958" t="s">
        <v>2036</v>
      </c>
      <c r="F958">
        <v>202109</v>
      </c>
      <c r="G958" t="s">
        <v>2170</v>
      </c>
      <c r="H958">
        <v>260.92</v>
      </c>
      <c r="O958">
        <v>5352</v>
      </c>
      <c r="P958" t="s">
        <v>2625</v>
      </c>
      <c r="Q958">
        <v>5697</v>
      </c>
      <c r="R958" t="s">
        <v>2344</v>
      </c>
      <c r="S958" t="s">
        <v>2036</v>
      </c>
      <c r="T958">
        <v>202205</v>
      </c>
      <c r="U958" t="s">
        <v>186</v>
      </c>
      <c r="V958">
        <v>0</v>
      </c>
    </row>
    <row r="959" spans="1:22">
      <c r="A959">
        <v>5352</v>
      </c>
      <c r="B959" t="s">
        <v>2625</v>
      </c>
      <c r="C959">
        <v>5697</v>
      </c>
      <c r="D959" t="s">
        <v>2344</v>
      </c>
      <c r="E959" t="s">
        <v>2036</v>
      </c>
      <c r="F959">
        <v>202109</v>
      </c>
      <c r="G959" t="s">
        <v>186</v>
      </c>
      <c r="H959">
        <v>0</v>
      </c>
      <c r="O959">
        <v>5352</v>
      </c>
      <c r="P959" t="s">
        <v>2625</v>
      </c>
      <c r="Q959">
        <v>5697</v>
      </c>
      <c r="R959" t="s">
        <v>2344</v>
      </c>
      <c r="S959" t="s">
        <v>2036</v>
      </c>
      <c r="T959">
        <v>202205</v>
      </c>
      <c r="U959" t="s">
        <v>190</v>
      </c>
      <c r="V959">
        <v>626941</v>
      </c>
    </row>
    <row r="960" spans="1:22">
      <c r="A960">
        <v>5352</v>
      </c>
      <c r="B960" t="s">
        <v>2625</v>
      </c>
      <c r="C960">
        <v>5697</v>
      </c>
      <c r="D960" t="s">
        <v>2344</v>
      </c>
      <c r="E960" t="s">
        <v>2036</v>
      </c>
      <c r="F960">
        <v>202109</v>
      </c>
      <c r="G960" t="s">
        <v>2169</v>
      </c>
      <c r="H960">
        <v>99.17</v>
      </c>
      <c r="O960">
        <v>5352</v>
      </c>
      <c r="P960" t="s">
        <v>2625</v>
      </c>
      <c r="Q960">
        <v>5697</v>
      </c>
      <c r="R960" t="s">
        <v>2344</v>
      </c>
      <c r="S960" t="s">
        <v>2036</v>
      </c>
      <c r="T960">
        <v>202205</v>
      </c>
      <c r="U960" t="s">
        <v>191</v>
      </c>
      <c r="V960">
        <v>34971</v>
      </c>
    </row>
    <row r="961" spans="1:22">
      <c r="A961">
        <v>5352</v>
      </c>
      <c r="B961" t="s">
        <v>2625</v>
      </c>
      <c r="C961">
        <v>5697</v>
      </c>
      <c r="D961" t="s">
        <v>2344</v>
      </c>
      <c r="E961" t="s">
        <v>2036</v>
      </c>
      <c r="F961">
        <v>202109</v>
      </c>
      <c r="G961" t="s">
        <v>2166</v>
      </c>
      <c r="H961">
        <v>12.33</v>
      </c>
      <c r="O961">
        <v>5352</v>
      </c>
      <c r="P961" t="s">
        <v>2625</v>
      </c>
      <c r="Q961">
        <v>5697</v>
      </c>
      <c r="R961" t="s">
        <v>2344</v>
      </c>
      <c r="S961" t="s">
        <v>2036</v>
      </c>
      <c r="T961">
        <v>202205</v>
      </c>
      <c r="U961" t="s">
        <v>178</v>
      </c>
      <c r="V961">
        <v>1450</v>
      </c>
    </row>
    <row r="962" spans="1:22">
      <c r="A962">
        <v>5352</v>
      </c>
      <c r="B962" t="s">
        <v>2625</v>
      </c>
      <c r="C962">
        <v>5697</v>
      </c>
      <c r="D962" t="s">
        <v>2344</v>
      </c>
      <c r="E962" t="s">
        <v>2036</v>
      </c>
      <c r="F962">
        <v>202109</v>
      </c>
      <c r="G962" t="s">
        <v>2167</v>
      </c>
      <c r="H962">
        <v>23.94</v>
      </c>
      <c r="O962">
        <v>5352</v>
      </c>
      <c r="P962" t="s">
        <v>2625</v>
      </c>
      <c r="Q962">
        <v>5697</v>
      </c>
      <c r="R962" t="s">
        <v>2344</v>
      </c>
      <c r="S962" t="s">
        <v>2036</v>
      </c>
      <c r="T962">
        <v>202205</v>
      </c>
      <c r="U962" t="s">
        <v>180</v>
      </c>
      <c r="V962">
        <v>1450</v>
      </c>
    </row>
    <row r="963" spans="1:22">
      <c r="A963">
        <v>5352</v>
      </c>
      <c r="B963" t="s">
        <v>2625</v>
      </c>
      <c r="C963">
        <v>5697</v>
      </c>
      <c r="D963" t="s">
        <v>2344</v>
      </c>
      <c r="E963" t="s">
        <v>2036</v>
      </c>
      <c r="F963">
        <v>202109</v>
      </c>
      <c r="G963" t="s">
        <v>2168</v>
      </c>
      <c r="H963">
        <v>10.17</v>
      </c>
      <c r="O963">
        <v>5352</v>
      </c>
      <c r="P963" t="s">
        <v>2625</v>
      </c>
      <c r="Q963">
        <v>5697</v>
      </c>
      <c r="R963" t="s">
        <v>2344</v>
      </c>
      <c r="S963" t="s">
        <v>2036</v>
      </c>
      <c r="T963">
        <v>202205</v>
      </c>
      <c r="U963" t="s">
        <v>182</v>
      </c>
      <c r="V963">
        <v>626941</v>
      </c>
    </row>
    <row r="964" spans="1:22">
      <c r="A964">
        <v>5352</v>
      </c>
      <c r="B964" t="s">
        <v>2625</v>
      </c>
      <c r="C964">
        <v>5697</v>
      </c>
      <c r="D964" t="s">
        <v>2344</v>
      </c>
      <c r="E964" t="s">
        <v>2036</v>
      </c>
      <c r="F964">
        <v>202109</v>
      </c>
      <c r="G964" t="s">
        <v>2171</v>
      </c>
      <c r="H964">
        <v>65228.92</v>
      </c>
      <c r="O964">
        <v>5352</v>
      </c>
      <c r="P964" t="s">
        <v>2625</v>
      </c>
      <c r="Q964">
        <v>5697</v>
      </c>
      <c r="R964" t="s">
        <v>2344</v>
      </c>
      <c r="S964" t="s">
        <v>2036</v>
      </c>
      <c r="T964">
        <v>202205</v>
      </c>
      <c r="U964" t="s">
        <v>184</v>
      </c>
      <c r="V964">
        <v>34971</v>
      </c>
    </row>
    <row r="965" spans="1:22">
      <c r="A965">
        <v>5352</v>
      </c>
      <c r="B965" t="s">
        <v>2625</v>
      </c>
      <c r="C965">
        <v>5697</v>
      </c>
      <c r="D965" t="s">
        <v>2344</v>
      </c>
      <c r="E965" t="s">
        <v>2036</v>
      </c>
      <c r="F965">
        <v>202109</v>
      </c>
      <c r="G965" t="s">
        <v>190</v>
      </c>
      <c r="H965">
        <v>175464</v>
      </c>
      <c r="O965">
        <v>5352</v>
      </c>
      <c r="P965" t="s">
        <v>2625</v>
      </c>
      <c r="Q965">
        <v>5697</v>
      </c>
      <c r="R965" t="s">
        <v>2344</v>
      </c>
      <c r="S965" t="s">
        <v>2036</v>
      </c>
      <c r="T965">
        <v>202205</v>
      </c>
      <c r="U965" t="s">
        <v>186</v>
      </c>
      <c r="V965">
        <v>0</v>
      </c>
    </row>
    <row r="966" spans="1:22">
      <c r="A966">
        <v>5352</v>
      </c>
      <c r="B966" t="s">
        <v>2625</v>
      </c>
      <c r="C966">
        <v>5697</v>
      </c>
      <c r="D966" t="s">
        <v>2344</v>
      </c>
      <c r="E966" t="s">
        <v>2036</v>
      </c>
      <c r="F966">
        <v>202109</v>
      </c>
      <c r="G966" t="s">
        <v>191</v>
      </c>
      <c r="H966">
        <v>30937</v>
      </c>
      <c r="O966">
        <v>5352</v>
      </c>
      <c r="P966" t="s">
        <v>2625</v>
      </c>
      <c r="Q966">
        <v>5697</v>
      </c>
      <c r="R966" t="s">
        <v>2344</v>
      </c>
      <c r="S966" t="s">
        <v>2036</v>
      </c>
      <c r="T966">
        <v>202205</v>
      </c>
      <c r="U966" t="s">
        <v>190</v>
      </c>
      <c r="V966">
        <v>11899</v>
      </c>
    </row>
    <row r="967" spans="1:22">
      <c r="A967">
        <v>5352</v>
      </c>
      <c r="B967" t="s">
        <v>2625</v>
      </c>
      <c r="C967">
        <v>5697</v>
      </c>
      <c r="D967" t="s">
        <v>2344</v>
      </c>
      <c r="E967" t="s">
        <v>2036</v>
      </c>
      <c r="F967">
        <v>202109</v>
      </c>
      <c r="G967" t="s">
        <v>176</v>
      </c>
      <c r="H967">
        <v>0</v>
      </c>
      <c r="O967">
        <v>5352</v>
      </c>
      <c r="P967" t="s">
        <v>2625</v>
      </c>
      <c r="Q967">
        <v>5697</v>
      </c>
      <c r="R967" t="s">
        <v>2344</v>
      </c>
      <c r="S967" t="s">
        <v>2036</v>
      </c>
      <c r="T967">
        <v>202205</v>
      </c>
      <c r="U967" t="s">
        <v>191</v>
      </c>
      <c r="V967">
        <v>1557</v>
      </c>
    </row>
    <row r="968" spans="1:22">
      <c r="A968">
        <v>5352</v>
      </c>
      <c r="B968" t="s">
        <v>2625</v>
      </c>
      <c r="C968">
        <v>5697</v>
      </c>
      <c r="D968" t="s">
        <v>2344</v>
      </c>
      <c r="E968" t="s">
        <v>2036</v>
      </c>
      <c r="F968">
        <v>202109</v>
      </c>
      <c r="G968" t="s">
        <v>178</v>
      </c>
      <c r="H968">
        <v>1300</v>
      </c>
      <c r="O968">
        <v>5352</v>
      </c>
      <c r="P968" t="s">
        <v>2625</v>
      </c>
      <c r="Q968">
        <v>5697</v>
      </c>
      <c r="R968" t="s">
        <v>2344</v>
      </c>
      <c r="S968" t="s">
        <v>2036</v>
      </c>
      <c r="T968">
        <v>202205</v>
      </c>
      <c r="U968" t="s">
        <v>178</v>
      </c>
      <c r="V968">
        <v>120</v>
      </c>
    </row>
    <row r="969" spans="1:22">
      <c r="A969">
        <v>5352</v>
      </c>
      <c r="B969" t="s">
        <v>2625</v>
      </c>
      <c r="C969">
        <v>5697</v>
      </c>
      <c r="D969" t="s">
        <v>2344</v>
      </c>
      <c r="E969" t="s">
        <v>2036</v>
      </c>
      <c r="F969">
        <v>202109</v>
      </c>
      <c r="G969" t="s">
        <v>180</v>
      </c>
      <c r="H969">
        <v>1350</v>
      </c>
      <c r="O969">
        <v>5352</v>
      </c>
      <c r="P969" t="s">
        <v>2625</v>
      </c>
      <c r="Q969">
        <v>5697</v>
      </c>
      <c r="R969" t="s">
        <v>2344</v>
      </c>
      <c r="S969" t="s">
        <v>2036</v>
      </c>
      <c r="T969">
        <v>202205</v>
      </c>
      <c r="U969" t="s">
        <v>180</v>
      </c>
      <c r="V969">
        <v>120</v>
      </c>
    </row>
    <row r="970" spans="1:22">
      <c r="A970">
        <v>5352</v>
      </c>
      <c r="B970" t="s">
        <v>2625</v>
      </c>
      <c r="C970">
        <v>5697</v>
      </c>
      <c r="D970" t="s">
        <v>2344</v>
      </c>
      <c r="E970" t="s">
        <v>2036</v>
      </c>
      <c r="F970">
        <v>202109</v>
      </c>
      <c r="G970" t="s">
        <v>182</v>
      </c>
      <c r="H970">
        <v>175464</v>
      </c>
      <c r="O970">
        <v>5352</v>
      </c>
      <c r="P970" t="s">
        <v>2625</v>
      </c>
      <c r="Q970">
        <v>5697</v>
      </c>
      <c r="R970" t="s">
        <v>2344</v>
      </c>
      <c r="S970" t="s">
        <v>2036</v>
      </c>
      <c r="T970">
        <v>202205</v>
      </c>
      <c r="U970" t="s">
        <v>182</v>
      </c>
      <c r="V970">
        <v>11899</v>
      </c>
    </row>
    <row r="971" spans="1:22">
      <c r="A971">
        <v>5352</v>
      </c>
      <c r="B971" t="s">
        <v>2625</v>
      </c>
      <c r="C971">
        <v>5697</v>
      </c>
      <c r="D971" t="s">
        <v>2344</v>
      </c>
      <c r="E971" t="s">
        <v>2036</v>
      </c>
      <c r="F971">
        <v>202109</v>
      </c>
      <c r="G971" t="s">
        <v>184</v>
      </c>
      <c r="H971">
        <v>30937</v>
      </c>
      <c r="O971">
        <v>5352</v>
      </c>
      <c r="P971" t="s">
        <v>2625</v>
      </c>
      <c r="Q971">
        <v>5697</v>
      </c>
      <c r="R971" t="s">
        <v>2344</v>
      </c>
      <c r="S971" t="s">
        <v>2036</v>
      </c>
      <c r="T971">
        <v>202205</v>
      </c>
      <c r="U971" t="s">
        <v>184</v>
      </c>
      <c r="V971">
        <v>1557</v>
      </c>
    </row>
    <row r="972" spans="1:22">
      <c r="A972">
        <v>5352</v>
      </c>
      <c r="B972" t="s">
        <v>2625</v>
      </c>
      <c r="C972">
        <v>5697</v>
      </c>
      <c r="D972" t="s">
        <v>2344</v>
      </c>
      <c r="E972" t="s">
        <v>2036</v>
      </c>
      <c r="F972">
        <v>202109</v>
      </c>
      <c r="G972" t="s">
        <v>192</v>
      </c>
      <c r="H972">
        <v>0</v>
      </c>
      <c r="O972">
        <v>5352</v>
      </c>
      <c r="P972" t="s">
        <v>2625</v>
      </c>
      <c r="Q972">
        <v>5697</v>
      </c>
      <c r="R972" t="s">
        <v>2344</v>
      </c>
      <c r="S972" t="s">
        <v>2036</v>
      </c>
      <c r="T972">
        <v>202205</v>
      </c>
      <c r="U972" t="s">
        <v>186</v>
      </c>
      <c r="V972">
        <v>0</v>
      </c>
    </row>
    <row r="973" spans="1:22">
      <c r="A973">
        <v>5352</v>
      </c>
      <c r="B973" t="s">
        <v>2625</v>
      </c>
      <c r="C973">
        <v>5697</v>
      </c>
      <c r="D973" t="s">
        <v>2344</v>
      </c>
      <c r="E973" t="s">
        <v>2036</v>
      </c>
      <c r="F973">
        <v>202109</v>
      </c>
      <c r="G973" t="s">
        <v>2170</v>
      </c>
      <c r="H973">
        <v>284.8</v>
      </c>
      <c r="O973">
        <v>5352</v>
      </c>
      <c r="P973" t="s">
        <v>2625</v>
      </c>
      <c r="Q973">
        <v>5697</v>
      </c>
      <c r="R973" t="s">
        <v>2344</v>
      </c>
      <c r="S973" t="s">
        <v>2036</v>
      </c>
      <c r="T973">
        <v>202205</v>
      </c>
      <c r="U973" t="s">
        <v>190</v>
      </c>
      <c r="V973">
        <v>836514</v>
      </c>
    </row>
    <row r="974" spans="1:22">
      <c r="A974">
        <v>5352</v>
      </c>
      <c r="B974" t="s">
        <v>2625</v>
      </c>
      <c r="C974">
        <v>5697</v>
      </c>
      <c r="D974" t="s">
        <v>2344</v>
      </c>
      <c r="E974" t="s">
        <v>2036</v>
      </c>
      <c r="F974">
        <v>202109</v>
      </c>
      <c r="G974" t="s">
        <v>186</v>
      </c>
      <c r="H974">
        <v>0</v>
      </c>
      <c r="O974">
        <v>5352</v>
      </c>
      <c r="P974" t="s">
        <v>2625</v>
      </c>
      <c r="Q974">
        <v>5697</v>
      </c>
      <c r="R974" t="s">
        <v>2344</v>
      </c>
      <c r="S974" t="s">
        <v>2036</v>
      </c>
      <c r="T974">
        <v>202205</v>
      </c>
      <c r="U974" t="s">
        <v>191</v>
      </c>
      <c r="V974">
        <v>115201</v>
      </c>
    </row>
    <row r="975" spans="1:22">
      <c r="A975">
        <v>5352</v>
      </c>
      <c r="B975" t="s">
        <v>2625</v>
      </c>
      <c r="C975">
        <v>5697</v>
      </c>
      <c r="D975" t="s">
        <v>2344</v>
      </c>
      <c r="E975" t="s">
        <v>2036</v>
      </c>
      <c r="F975">
        <v>202109</v>
      </c>
      <c r="G975" t="s">
        <v>2169</v>
      </c>
      <c r="H975">
        <v>99.17</v>
      </c>
      <c r="O975">
        <v>5352</v>
      </c>
      <c r="P975" t="s">
        <v>2625</v>
      </c>
      <c r="Q975">
        <v>5697</v>
      </c>
      <c r="R975" t="s">
        <v>2344</v>
      </c>
      <c r="S975" t="s">
        <v>2036</v>
      </c>
      <c r="T975">
        <v>202205</v>
      </c>
      <c r="U975" t="s">
        <v>178</v>
      </c>
      <c r="V975">
        <v>2750</v>
      </c>
    </row>
    <row r="976" spans="1:22">
      <c r="A976">
        <v>5352</v>
      </c>
      <c r="B976" t="s">
        <v>2625</v>
      </c>
      <c r="C976">
        <v>5697</v>
      </c>
      <c r="D976" t="s">
        <v>2344</v>
      </c>
      <c r="E976" t="s">
        <v>2036</v>
      </c>
      <c r="F976">
        <v>202109</v>
      </c>
      <c r="G976" t="s">
        <v>2166</v>
      </c>
      <c r="H976">
        <v>12.33</v>
      </c>
      <c r="O976">
        <v>5352</v>
      </c>
      <c r="P976" t="s">
        <v>2625</v>
      </c>
      <c r="Q976">
        <v>5697</v>
      </c>
      <c r="R976" t="s">
        <v>2344</v>
      </c>
      <c r="S976" t="s">
        <v>2036</v>
      </c>
      <c r="T976">
        <v>202205</v>
      </c>
      <c r="U976" t="s">
        <v>180</v>
      </c>
      <c r="V976">
        <v>2750</v>
      </c>
    </row>
    <row r="977" spans="1:22">
      <c r="A977">
        <v>5352</v>
      </c>
      <c r="B977" t="s">
        <v>2625</v>
      </c>
      <c r="C977">
        <v>5697</v>
      </c>
      <c r="D977" t="s">
        <v>2344</v>
      </c>
      <c r="E977" t="s">
        <v>2036</v>
      </c>
      <c r="F977">
        <v>202109</v>
      </c>
      <c r="G977" t="s">
        <v>2167</v>
      </c>
      <c r="H977">
        <v>23.94</v>
      </c>
      <c r="O977">
        <v>5352</v>
      </c>
      <c r="P977" t="s">
        <v>2625</v>
      </c>
      <c r="Q977">
        <v>5697</v>
      </c>
      <c r="R977" t="s">
        <v>2344</v>
      </c>
      <c r="S977" t="s">
        <v>2036</v>
      </c>
      <c r="T977">
        <v>202205</v>
      </c>
      <c r="U977" t="s">
        <v>182</v>
      </c>
      <c r="V977">
        <v>900151</v>
      </c>
    </row>
    <row r="978" spans="1:22">
      <c r="A978">
        <v>5352</v>
      </c>
      <c r="B978" t="s">
        <v>2625</v>
      </c>
      <c r="C978">
        <v>5697</v>
      </c>
      <c r="D978" t="s">
        <v>2344</v>
      </c>
      <c r="E978" t="s">
        <v>2036</v>
      </c>
      <c r="F978">
        <v>202109</v>
      </c>
      <c r="G978" t="s">
        <v>2168</v>
      </c>
      <c r="H978">
        <v>10.17</v>
      </c>
      <c r="O978">
        <v>5352</v>
      </c>
      <c r="P978" t="s">
        <v>2625</v>
      </c>
      <c r="Q978">
        <v>5697</v>
      </c>
      <c r="R978" t="s">
        <v>2344</v>
      </c>
      <c r="S978" t="s">
        <v>2036</v>
      </c>
      <c r="T978">
        <v>202205</v>
      </c>
      <c r="U978" t="s">
        <v>184</v>
      </c>
      <c r="V978">
        <v>115201</v>
      </c>
    </row>
    <row r="979" spans="1:22">
      <c r="A979">
        <v>5352</v>
      </c>
      <c r="B979" t="s">
        <v>2625</v>
      </c>
      <c r="C979">
        <v>5697</v>
      </c>
      <c r="D979" t="s">
        <v>2344</v>
      </c>
      <c r="E979" t="s">
        <v>2036</v>
      </c>
      <c r="F979">
        <v>202109</v>
      </c>
      <c r="G979" t="s">
        <v>2171</v>
      </c>
      <c r="H979">
        <v>71200.66</v>
      </c>
      <c r="O979">
        <v>5352</v>
      </c>
      <c r="P979" t="s">
        <v>2625</v>
      </c>
      <c r="Q979">
        <v>5697</v>
      </c>
      <c r="R979" t="s">
        <v>2344</v>
      </c>
      <c r="S979" t="s">
        <v>2036</v>
      </c>
      <c r="T979">
        <v>202205</v>
      </c>
      <c r="U979" t="s">
        <v>186</v>
      </c>
      <c r="V979">
        <v>63637</v>
      </c>
    </row>
    <row r="980" spans="1:22">
      <c r="A980">
        <v>5352</v>
      </c>
      <c r="B980" t="s">
        <v>2625</v>
      </c>
      <c r="C980">
        <v>5697</v>
      </c>
      <c r="D980" t="s">
        <v>2344</v>
      </c>
      <c r="E980" t="s">
        <v>2036</v>
      </c>
      <c r="F980">
        <v>202109</v>
      </c>
      <c r="G980" t="s">
        <v>190</v>
      </c>
      <c r="H980">
        <v>174010</v>
      </c>
      <c r="O980">
        <v>5352</v>
      </c>
      <c r="P980" t="s">
        <v>2625</v>
      </c>
      <c r="Q980">
        <v>5697</v>
      </c>
      <c r="R980" t="s">
        <v>2344</v>
      </c>
      <c r="S980" t="s">
        <v>2036</v>
      </c>
      <c r="T980">
        <v>202205</v>
      </c>
      <c r="U980" t="s">
        <v>190</v>
      </c>
      <c r="V980">
        <v>90390</v>
      </c>
    </row>
    <row r="981" spans="1:22">
      <c r="A981">
        <v>5352</v>
      </c>
      <c r="B981" t="s">
        <v>2625</v>
      </c>
      <c r="C981">
        <v>5697</v>
      </c>
      <c r="D981" t="s">
        <v>2344</v>
      </c>
      <c r="E981" t="s">
        <v>2036</v>
      </c>
      <c r="F981">
        <v>202109</v>
      </c>
      <c r="G981" t="s">
        <v>191</v>
      </c>
      <c r="H981">
        <v>30989</v>
      </c>
      <c r="O981">
        <v>5352</v>
      </c>
      <c r="P981" t="s">
        <v>2625</v>
      </c>
      <c r="Q981">
        <v>5697</v>
      </c>
      <c r="R981" t="s">
        <v>2344</v>
      </c>
      <c r="S981" t="s">
        <v>2036</v>
      </c>
      <c r="T981">
        <v>202205</v>
      </c>
      <c r="U981" t="s">
        <v>191</v>
      </c>
      <c r="V981">
        <v>11709</v>
      </c>
    </row>
    <row r="982" spans="1:22">
      <c r="A982">
        <v>5352</v>
      </c>
      <c r="B982" t="s">
        <v>2625</v>
      </c>
      <c r="C982">
        <v>5697</v>
      </c>
      <c r="D982" t="s">
        <v>2344</v>
      </c>
      <c r="E982" t="s">
        <v>2036</v>
      </c>
      <c r="F982">
        <v>202109</v>
      </c>
      <c r="G982" t="s">
        <v>176</v>
      </c>
      <c r="H982">
        <v>0</v>
      </c>
      <c r="O982">
        <v>5352</v>
      </c>
      <c r="P982" t="s">
        <v>2625</v>
      </c>
      <c r="Q982">
        <v>5697</v>
      </c>
      <c r="R982" t="s">
        <v>2344</v>
      </c>
      <c r="S982" t="s">
        <v>2036</v>
      </c>
      <c r="T982">
        <v>202205</v>
      </c>
      <c r="U982" t="s">
        <v>178</v>
      </c>
      <c r="V982">
        <v>510</v>
      </c>
    </row>
    <row r="983" spans="1:22">
      <c r="A983">
        <v>5352</v>
      </c>
      <c r="B983" t="s">
        <v>2625</v>
      </c>
      <c r="C983">
        <v>5697</v>
      </c>
      <c r="D983" t="s">
        <v>2344</v>
      </c>
      <c r="E983" t="s">
        <v>2036</v>
      </c>
      <c r="F983">
        <v>202109</v>
      </c>
      <c r="G983" t="s">
        <v>178</v>
      </c>
      <c r="H983">
        <v>810</v>
      </c>
      <c r="O983">
        <v>5352</v>
      </c>
      <c r="P983" t="s">
        <v>2625</v>
      </c>
      <c r="Q983">
        <v>5697</v>
      </c>
      <c r="R983" t="s">
        <v>2344</v>
      </c>
      <c r="S983" t="s">
        <v>2036</v>
      </c>
      <c r="T983">
        <v>202205</v>
      </c>
      <c r="U983" t="s">
        <v>180</v>
      </c>
      <c r="V983">
        <v>570</v>
      </c>
    </row>
    <row r="984" spans="1:22">
      <c r="A984">
        <v>5352</v>
      </c>
      <c r="B984" t="s">
        <v>2625</v>
      </c>
      <c r="C984">
        <v>5697</v>
      </c>
      <c r="D984" t="s">
        <v>2344</v>
      </c>
      <c r="E984" t="s">
        <v>2036</v>
      </c>
      <c r="F984">
        <v>202109</v>
      </c>
      <c r="G984" t="s">
        <v>180</v>
      </c>
      <c r="H984">
        <v>930</v>
      </c>
      <c r="O984">
        <v>5352</v>
      </c>
      <c r="P984" t="s">
        <v>2625</v>
      </c>
      <c r="Q984">
        <v>5697</v>
      </c>
      <c r="R984" t="s">
        <v>2344</v>
      </c>
      <c r="S984" t="s">
        <v>2036</v>
      </c>
      <c r="T984">
        <v>202205</v>
      </c>
      <c r="U984" t="s">
        <v>182</v>
      </c>
      <c r="V984">
        <v>90390</v>
      </c>
    </row>
    <row r="985" spans="1:22">
      <c r="A985">
        <v>5352</v>
      </c>
      <c r="B985" t="s">
        <v>2625</v>
      </c>
      <c r="C985">
        <v>5697</v>
      </c>
      <c r="D985" t="s">
        <v>2344</v>
      </c>
      <c r="E985" t="s">
        <v>2036</v>
      </c>
      <c r="F985">
        <v>202109</v>
      </c>
      <c r="G985" t="s">
        <v>182</v>
      </c>
      <c r="H985">
        <v>174010</v>
      </c>
      <c r="O985">
        <v>5352</v>
      </c>
      <c r="P985" t="s">
        <v>2625</v>
      </c>
      <c r="Q985">
        <v>5697</v>
      </c>
      <c r="R985" t="s">
        <v>2344</v>
      </c>
      <c r="S985" t="s">
        <v>2036</v>
      </c>
      <c r="T985">
        <v>202205</v>
      </c>
      <c r="U985" t="s">
        <v>184</v>
      </c>
      <c r="V985">
        <v>11709</v>
      </c>
    </row>
    <row r="986" spans="1:22">
      <c r="A986">
        <v>5352</v>
      </c>
      <c r="B986" t="s">
        <v>2625</v>
      </c>
      <c r="C986">
        <v>5697</v>
      </c>
      <c r="D986" t="s">
        <v>2344</v>
      </c>
      <c r="E986" t="s">
        <v>2036</v>
      </c>
      <c r="F986">
        <v>202109</v>
      </c>
      <c r="G986" t="s">
        <v>184</v>
      </c>
      <c r="H986">
        <v>30989</v>
      </c>
      <c r="O986">
        <v>5352</v>
      </c>
      <c r="P986" t="s">
        <v>2625</v>
      </c>
      <c r="Q986">
        <v>5697</v>
      </c>
      <c r="R986" t="s">
        <v>2344</v>
      </c>
      <c r="S986" t="s">
        <v>2036</v>
      </c>
      <c r="T986">
        <v>202205</v>
      </c>
      <c r="U986" t="s">
        <v>186</v>
      </c>
      <c r="V986">
        <v>0</v>
      </c>
    </row>
    <row r="987" spans="1:22">
      <c r="A987">
        <v>5352</v>
      </c>
      <c r="B987" t="s">
        <v>2625</v>
      </c>
      <c r="C987">
        <v>5697</v>
      </c>
      <c r="D987" t="s">
        <v>2344</v>
      </c>
      <c r="E987" t="s">
        <v>2036</v>
      </c>
      <c r="F987">
        <v>202109</v>
      </c>
      <c r="G987" t="s">
        <v>192</v>
      </c>
      <c r="H987">
        <v>0</v>
      </c>
      <c r="O987">
        <v>5352</v>
      </c>
      <c r="P987" t="s">
        <v>2625</v>
      </c>
      <c r="Q987">
        <v>5697</v>
      </c>
      <c r="R987" t="s">
        <v>2344</v>
      </c>
      <c r="S987" t="s">
        <v>2036</v>
      </c>
      <c r="T987">
        <v>202205</v>
      </c>
      <c r="U987" t="s">
        <v>190</v>
      </c>
      <c r="V987">
        <v>84563</v>
      </c>
    </row>
    <row r="988" spans="1:22">
      <c r="A988">
        <v>5352</v>
      </c>
      <c r="B988" t="s">
        <v>2625</v>
      </c>
      <c r="C988">
        <v>5697</v>
      </c>
      <c r="D988" t="s">
        <v>2344</v>
      </c>
      <c r="E988" t="s">
        <v>2036</v>
      </c>
      <c r="F988">
        <v>202109</v>
      </c>
      <c r="G988" t="s">
        <v>2170</v>
      </c>
      <c r="H988">
        <v>219.54</v>
      </c>
      <c r="O988">
        <v>5352</v>
      </c>
      <c r="P988" t="s">
        <v>2625</v>
      </c>
      <c r="Q988">
        <v>5697</v>
      </c>
      <c r="R988" t="s">
        <v>2344</v>
      </c>
      <c r="S988" t="s">
        <v>2036</v>
      </c>
      <c r="T988">
        <v>202205</v>
      </c>
      <c r="U988" t="s">
        <v>191</v>
      </c>
      <c r="V988">
        <v>11270</v>
      </c>
    </row>
    <row r="989" spans="1:22">
      <c r="A989">
        <v>5352</v>
      </c>
      <c r="B989" t="s">
        <v>2625</v>
      </c>
      <c r="C989">
        <v>5697</v>
      </c>
      <c r="D989" t="s">
        <v>2344</v>
      </c>
      <c r="E989" t="s">
        <v>2036</v>
      </c>
      <c r="F989">
        <v>202109</v>
      </c>
      <c r="G989" t="s">
        <v>186</v>
      </c>
      <c r="H989">
        <v>0</v>
      </c>
      <c r="O989">
        <v>5352</v>
      </c>
      <c r="P989" t="s">
        <v>2625</v>
      </c>
      <c r="Q989">
        <v>5697</v>
      </c>
      <c r="R989" t="s">
        <v>2344</v>
      </c>
      <c r="S989" t="s">
        <v>2036</v>
      </c>
      <c r="T989">
        <v>202205</v>
      </c>
      <c r="U989" t="s">
        <v>178</v>
      </c>
      <c r="V989">
        <v>600</v>
      </c>
    </row>
    <row r="990" spans="1:22">
      <c r="A990">
        <v>5352</v>
      </c>
      <c r="B990" t="s">
        <v>2625</v>
      </c>
      <c r="C990">
        <v>5697</v>
      </c>
      <c r="D990" t="s">
        <v>2344</v>
      </c>
      <c r="E990" t="s">
        <v>2036</v>
      </c>
      <c r="F990">
        <v>202109</v>
      </c>
      <c r="G990" t="s">
        <v>2169</v>
      </c>
      <c r="H990">
        <v>99.17</v>
      </c>
      <c r="O990">
        <v>5352</v>
      </c>
      <c r="P990" t="s">
        <v>2625</v>
      </c>
      <c r="Q990">
        <v>5697</v>
      </c>
      <c r="R990" t="s">
        <v>2344</v>
      </c>
      <c r="S990" t="s">
        <v>2036</v>
      </c>
      <c r="T990">
        <v>202205</v>
      </c>
      <c r="U990" t="s">
        <v>180</v>
      </c>
      <c r="V990">
        <v>600</v>
      </c>
    </row>
    <row r="991" spans="1:22">
      <c r="A991">
        <v>5352</v>
      </c>
      <c r="B991" t="s">
        <v>2625</v>
      </c>
      <c r="C991">
        <v>5697</v>
      </c>
      <c r="D991" t="s">
        <v>2344</v>
      </c>
      <c r="E991" t="s">
        <v>2036</v>
      </c>
      <c r="F991">
        <v>202109</v>
      </c>
      <c r="G991" t="s">
        <v>2166</v>
      </c>
      <c r="H991">
        <v>12.33</v>
      </c>
      <c r="O991">
        <v>5352</v>
      </c>
      <c r="P991" t="s">
        <v>2625</v>
      </c>
      <c r="Q991">
        <v>5697</v>
      </c>
      <c r="R991" t="s">
        <v>2344</v>
      </c>
      <c r="S991" t="s">
        <v>2036</v>
      </c>
      <c r="T991">
        <v>202205</v>
      </c>
      <c r="U991" t="s">
        <v>182</v>
      </c>
      <c r="V991">
        <v>84563</v>
      </c>
    </row>
    <row r="992" spans="1:22">
      <c r="A992">
        <v>5352</v>
      </c>
      <c r="B992" t="s">
        <v>2625</v>
      </c>
      <c r="C992">
        <v>5697</v>
      </c>
      <c r="D992" t="s">
        <v>2344</v>
      </c>
      <c r="E992" t="s">
        <v>2036</v>
      </c>
      <c r="F992">
        <v>202109</v>
      </c>
      <c r="G992" t="s">
        <v>2167</v>
      </c>
      <c r="H992">
        <v>23.94</v>
      </c>
      <c r="O992">
        <v>5352</v>
      </c>
      <c r="P992" t="s">
        <v>2625</v>
      </c>
      <c r="Q992">
        <v>5697</v>
      </c>
      <c r="R992" t="s">
        <v>2344</v>
      </c>
      <c r="S992" t="s">
        <v>2036</v>
      </c>
      <c r="T992">
        <v>202205</v>
      </c>
      <c r="U992" t="s">
        <v>184</v>
      </c>
      <c r="V992">
        <v>11270</v>
      </c>
    </row>
    <row r="993" spans="1:22">
      <c r="A993">
        <v>5352</v>
      </c>
      <c r="B993" t="s">
        <v>2625</v>
      </c>
      <c r="C993">
        <v>5697</v>
      </c>
      <c r="D993" t="s">
        <v>2344</v>
      </c>
      <c r="E993" t="s">
        <v>2036</v>
      </c>
      <c r="F993">
        <v>202109</v>
      </c>
      <c r="G993" t="s">
        <v>2168</v>
      </c>
      <c r="H993">
        <v>10.17</v>
      </c>
      <c r="O993">
        <v>5352</v>
      </c>
      <c r="P993" t="s">
        <v>2625</v>
      </c>
      <c r="Q993">
        <v>5697</v>
      </c>
      <c r="R993" t="s">
        <v>2344</v>
      </c>
      <c r="S993" t="s">
        <v>2036</v>
      </c>
      <c r="T993">
        <v>202205</v>
      </c>
      <c r="U993" t="s">
        <v>186</v>
      </c>
      <c r="V993">
        <v>0</v>
      </c>
    </row>
    <row r="994" spans="1:22">
      <c r="A994">
        <v>5352</v>
      </c>
      <c r="B994" t="s">
        <v>2625</v>
      </c>
      <c r="C994">
        <v>5697</v>
      </c>
      <c r="D994" t="s">
        <v>2344</v>
      </c>
      <c r="E994" t="s">
        <v>2036</v>
      </c>
      <c r="F994">
        <v>202109</v>
      </c>
      <c r="G994" t="s">
        <v>2171</v>
      </c>
      <c r="H994">
        <v>54885.61</v>
      </c>
      <c r="O994">
        <v>5352</v>
      </c>
      <c r="P994" t="s">
        <v>2625</v>
      </c>
      <c r="Q994">
        <v>5697</v>
      </c>
      <c r="R994" t="s">
        <v>2344</v>
      </c>
      <c r="S994" t="s">
        <v>2036</v>
      </c>
      <c r="T994">
        <v>202205</v>
      </c>
      <c r="U994" t="s">
        <v>190</v>
      </c>
      <c r="V994">
        <v>182364</v>
      </c>
    </row>
    <row r="995" spans="1:22">
      <c r="A995">
        <v>5352</v>
      </c>
      <c r="B995" t="s">
        <v>2625</v>
      </c>
      <c r="C995">
        <v>5697</v>
      </c>
      <c r="D995" t="s">
        <v>2344</v>
      </c>
      <c r="E995" t="s">
        <v>2036</v>
      </c>
      <c r="F995">
        <v>202109</v>
      </c>
      <c r="G995" t="s">
        <v>190</v>
      </c>
      <c r="H995">
        <v>54891</v>
      </c>
      <c r="O995">
        <v>5352</v>
      </c>
      <c r="P995" t="s">
        <v>2625</v>
      </c>
      <c r="Q995">
        <v>5697</v>
      </c>
      <c r="R995" t="s">
        <v>2344</v>
      </c>
      <c r="S995" t="s">
        <v>2036</v>
      </c>
      <c r="T995">
        <v>202205</v>
      </c>
      <c r="U995" t="s">
        <v>191</v>
      </c>
      <c r="V995">
        <v>24090</v>
      </c>
    </row>
    <row r="996" spans="1:22">
      <c r="A996">
        <v>5352</v>
      </c>
      <c r="B996" t="s">
        <v>2625</v>
      </c>
      <c r="C996">
        <v>5697</v>
      </c>
      <c r="D996" t="s">
        <v>2344</v>
      </c>
      <c r="E996" t="s">
        <v>2036</v>
      </c>
      <c r="F996">
        <v>202109</v>
      </c>
      <c r="G996" t="s">
        <v>191</v>
      </c>
      <c r="H996">
        <v>8448</v>
      </c>
      <c r="O996">
        <v>5352</v>
      </c>
      <c r="P996" t="s">
        <v>2625</v>
      </c>
      <c r="Q996">
        <v>5697</v>
      </c>
      <c r="R996" t="s">
        <v>2344</v>
      </c>
      <c r="S996" t="s">
        <v>2036</v>
      </c>
      <c r="T996">
        <v>202205</v>
      </c>
      <c r="U996" t="s">
        <v>178</v>
      </c>
      <c r="V996">
        <v>900</v>
      </c>
    </row>
    <row r="997" spans="1:22">
      <c r="A997">
        <v>5352</v>
      </c>
      <c r="B997" t="s">
        <v>2625</v>
      </c>
      <c r="C997">
        <v>5697</v>
      </c>
      <c r="D997" t="s">
        <v>2344</v>
      </c>
      <c r="E997" t="s">
        <v>2036</v>
      </c>
      <c r="F997">
        <v>202109</v>
      </c>
      <c r="G997" t="s">
        <v>176</v>
      </c>
      <c r="H997">
        <v>0</v>
      </c>
      <c r="O997">
        <v>5352</v>
      </c>
      <c r="P997" t="s">
        <v>2625</v>
      </c>
      <c r="Q997">
        <v>5697</v>
      </c>
      <c r="R997" t="s">
        <v>2344</v>
      </c>
      <c r="S997" t="s">
        <v>2036</v>
      </c>
      <c r="T997">
        <v>202205</v>
      </c>
      <c r="U997" t="s">
        <v>180</v>
      </c>
      <c r="V997">
        <v>850</v>
      </c>
    </row>
    <row r="998" spans="1:22">
      <c r="A998">
        <v>5352</v>
      </c>
      <c r="B998" t="s">
        <v>2625</v>
      </c>
      <c r="C998">
        <v>5697</v>
      </c>
      <c r="D998" t="s">
        <v>2344</v>
      </c>
      <c r="E998" t="s">
        <v>2036</v>
      </c>
      <c r="F998">
        <v>202109</v>
      </c>
      <c r="G998" t="s">
        <v>178</v>
      </c>
      <c r="H998">
        <v>250</v>
      </c>
      <c r="O998">
        <v>5352</v>
      </c>
      <c r="P998" t="s">
        <v>2625</v>
      </c>
      <c r="Q998">
        <v>5697</v>
      </c>
      <c r="R998" t="s">
        <v>2344</v>
      </c>
      <c r="S998" t="s">
        <v>2036</v>
      </c>
      <c r="T998">
        <v>202205</v>
      </c>
      <c r="U998" t="s">
        <v>182</v>
      </c>
      <c r="V998">
        <v>182364</v>
      </c>
    </row>
    <row r="999" spans="1:22">
      <c r="A999">
        <v>5352</v>
      </c>
      <c r="B999" t="s">
        <v>2625</v>
      </c>
      <c r="C999">
        <v>5697</v>
      </c>
      <c r="D999" t="s">
        <v>2344</v>
      </c>
      <c r="E999" t="s">
        <v>2036</v>
      </c>
      <c r="F999">
        <v>202109</v>
      </c>
      <c r="G999" t="s">
        <v>180</v>
      </c>
      <c r="H999">
        <v>250</v>
      </c>
      <c r="O999">
        <v>5352</v>
      </c>
      <c r="P999" t="s">
        <v>2625</v>
      </c>
      <c r="Q999">
        <v>5697</v>
      </c>
      <c r="R999" t="s">
        <v>2344</v>
      </c>
      <c r="S999" t="s">
        <v>2036</v>
      </c>
      <c r="T999">
        <v>202205</v>
      </c>
      <c r="U999" t="s">
        <v>184</v>
      </c>
      <c r="V999">
        <v>24090</v>
      </c>
    </row>
    <row r="1000" spans="1:22">
      <c r="A1000">
        <v>5352</v>
      </c>
      <c r="B1000" t="s">
        <v>2625</v>
      </c>
      <c r="C1000">
        <v>5697</v>
      </c>
      <c r="D1000" t="s">
        <v>2344</v>
      </c>
      <c r="E1000" t="s">
        <v>2036</v>
      </c>
      <c r="F1000">
        <v>202109</v>
      </c>
      <c r="G1000" t="s">
        <v>182</v>
      </c>
      <c r="H1000">
        <v>54891</v>
      </c>
      <c r="O1000">
        <v>5352</v>
      </c>
      <c r="P1000" t="s">
        <v>2625</v>
      </c>
      <c r="Q1000">
        <v>5697</v>
      </c>
      <c r="R1000" t="s">
        <v>2344</v>
      </c>
      <c r="S1000" t="s">
        <v>2036</v>
      </c>
      <c r="T1000">
        <v>202205</v>
      </c>
      <c r="U1000" t="s">
        <v>186</v>
      </c>
      <c r="V1000">
        <v>0</v>
      </c>
    </row>
    <row r="1001" spans="1:22">
      <c r="A1001">
        <v>5352</v>
      </c>
      <c r="B1001" t="s">
        <v>2625</v>
      </c>
      <c r="C1001">
        <v>5697</v>
      </c>
      <c r="D1001" t="s">
        <v>2344</v>
      </c>
      <c r="E1001" t="s">
        <v>2036</v>
      </c>
      <c r="F1001">
        <v>202109</v>
      </c>
      <c r="G1001" t="s">
        <v>184</v>
      </c>
      <c r="H1001">
        <v>8448</v>
      </c>
      <c r="O1001">
        <v>5352</v>
      </c>
      <c r="P1001" t="s">
        <v>2625</v>
      </c>
      <c r="Q1001">
        <v>5697</v>
      </c>
      <c r="R1001" t="s">
        <v>2344</v>
      </c>
      <c r="S1001" t="s">
        <v>2036</v>
      </c>
      <c r="T1001">
        <v>202205</v>
      </c>
      <c r="U1001" t="s">
        <v>190</v>
      </c>
      <c r="V1001">
        <v>203129</v>
      </c>
    </row>
    <row r="1002" spans="1:22">
      <c r="A1002">
        <v>5352</v>
      </c>
      <c r="B1002" t="s">
        <v>2625</v>
      </c>
      <c r="C1002">
        <v>5697</v>
      </c>
      <c r="D1002" t="s">
        <v>2344</v>
      </c>
      <c r="E1002" t="s">
        <v>2036</v>
      </c>
      <c r="F1002">
        <v>202109</v>
      </c>
      <c r="G1002" t="s">
        <v>192</v>
      </c>
      <c r="H1002">
        <v>0</v>
      </c>
      <c r="O1002">
        <v>5352</v>
      </c>
      <c r="P1002" t="s">
        <v>2625</v>
      </c>
      <c r="Q1002">
        <v>5697</v>
      </c>
      <c r="R1002" t="s">
        <v>2344</v>
      </c>
      <c r="S1002" t="s">
        <v>2036</v>
      </c>
      <c r="T1002">
        <v>202205</v>
      </c>
      <c r="U1002" t="s">
        <v>191</v>
      </c>
      <c r="V1002">
        <v>27229</v>
      </c>
    </row>
    <row r="1003" spans="1:22">
      <c r="A1003">
        <v>5352</v>
      </c>
      <c r="B1003" t="s">
        <v>2625</v>
      </c>
      <c r="C1003">
        <v>5697</v>
      </c>
      <c r="D1003" t="s">
        <v>2344</v>
      </c>
      <c r="E1003" t="s">
        <v>2036</v>
      </c>
      <c r="F1003">
        <v>202109</v>
      </c>
      <c r="G1003" t="s">
        <v>2170</v>
      </c>
      <c r="H1003">
        <v>64.239999999999995</v>
      </c>
      <c r="O1003">
        <v>5352</v>
      </c>
      <c r="P1003" t="s">
        <v>2625</v>
      </c>
      <c r="Q1003">
        <v>5697</v>
      </c>
      <c r="R1003" t="s">
        <v>2344</v>
      </c>
      <c r="S1003" t="s">
        <v>2036</v>
      </c>
      <c r="T1003">
        <v>202205</v>
      </c>
      <c r="U1003" t="s">
        <v>178</v>
      </c>
      <c r="V1003">
        <v>700</v>
      </c>
    </row>
    <row r="1004" spans="1:22">
      <c r="A1004">
        <v>5352</v>
      </c>
      <c r="B1004" t="s">
        <v>2625</v>
      </c>
      <c r="C1004">
        <v>5697</v>
      </c>
      <c r="D1004" t="s">
        <v>2344</v>
      </c>
      <c r="E1004" t="s">
        <v>2036</v>
      </c>
      <c r="F1004">
        <v>202109</v>
      </c>
      <c r="G1004" t="s">
        <v>186</v>
      </c>
      <c r="H1004">
        <v>0</v>
      </c>
      <c r="O1004">
        <v>5352</v>
      </c>
      <c r="P1004" t="s">
        <v>2625</v>
      </c>
      <c r="Q1004">
        <v>5697</v>
      </c>
      <c r="R1004" t="s">
        <v>2344</v>
      </c>
      <c r="S1004" t="s">
        <v>2036</v>
      </c>
      <c r="T1004">
        <v>202205</v>
      </c>
      <c r="U1004" t="s">
        <v>180</v>
      </c>
      <c r="V1004">
        <v>600</v>
      </c>
    </row>
    <row r="1005" spans="1:22">
      <c r="A1005">
        <v>5352</v>
      </c>
      <c r="B1005" t="s">
        <v>2625</v>
      </c>
      <c r="C1005">
        <v>5697</v>
      </c>
      <c r="D1005" t="s">
        <v>2344</v>
      </c>
      <c r="E1005" t="s">
        <v>2036</v>
      </c>
      <c r="F1005">
        <v>202109</v>
      </c>
      <c r="G1005" t="s">
        <v>2169</v>
      </c>
      <c r="H1005">
        <v>99.17</v>
      </c>
      <c r="O1005">
        <v>5352</v>
      </c>
      <c r="P1005" t="s">
        <v>2625</v>
      </c>
      <c r="Q1005">
        <v>5697</v>
      </c>
      <c r="R1005" t="s">
        <v>2344</v>
      </c>
      <c r="S1005" t="s">
        <v>2036</v>
      </c>
      <c r="T1005">
        <v>202205</v>
      </c>
      <c r="U1005" t="s">
        <v>182</v>
      </c>
      <c r="V1005">
        <v>203129</v>
      </c>
    </row>
    <row r="1006" spans="1:22">
      <c r="A1006">
        <v>5352</v>
      </c>
      <c r="B1006" t="s">
        <v>2625</v>
      </c>
      <c r="C1006">
        <v>5697</v>
      </c>
      <c r="D1006" t="s">
        <v>2344</v>
      </c>
      <c r="E1006" t="s">
        <v>2036</v>
      </c>
      <c r="F1006">
        <v>202109</v>
      </c>
      <c r="G1006" t="s">
        <v>2166</v>
      </c>
      <c r="H1006">
        <v>12.33</v>
      </c>
      <c r="O1006">
        <v>5352</v>
      </c>
      <c r="P1006" t="s">
        <v>2625</v>
      </c>
      <c r="Q1006">
        <v>5697</v>
      </c>
      <c r="R1006" t="s">
        <v>2344</v>
      </c>
      <c r="S1006" t="s">
        <v>2036</v>
      </c>
      <c r="T1006">
        <v>202205</v>
      </c>
      <c r="U1006" t="s">
        <v>184</v>
      </c>
      <c r="V1006">
        <v>27229</v>
      </c>
    </row>
    <row r="1007" spans="1:22">
      <c r="A1007">
        <v>5352</v>
      </c>
      <c r="B1007" t="s">
        <v>2625</v>
      </c>
      <c r="C1007">
        <v>5697</v>
      </c>
      <c r="D1007" t="s">
        <v>2344</v>
      </c>
      <c r="E1007" t="s">
        <v>2036</v>
      </c>
      <c r="F1007">
        <v>202109</v>
      </c>
      <c r="G1007" t="s">
        <v>2167</v>
      </c>
      <c r="H1007">
        <v>23.94</v>
      </c>
      <c r="O1007">
        <v>5352</v>
      </c>
      <c r="P1007" t="s">
        <v>2625</v>
      </c>
      <c r="Q1007">
        <v>5697</v>
      </c>
      <c r="R1007" t="s">
        <v>2344</v>
      </c>
      <c r="S1007" t="s">
        <v>2036</v>
      </c>
      <c r="T1007">
        <v>202205</v>
      </c>
      <c r="U1007" t="s">
        <v>186</v>
      </c>
      <c r="V1007">
        <v>0</v>
      </c>
    </row>
    <row r="1008" spans="1:22">
      <c r="A1008">
        <v>5352</v>
      </c>
      <c r="B1008" t="s">
        <v>2625</v>
      </c>
      <c r="C1008">
        <v>5697</v>
      </c>
      <c r="D1008" t="s">
        <v>2344</v>
      </c>
      <c r="E1008" t="s">
        <v>2036</v>
      </c>
      <c r="F1008">
        <v>202109</v>
      </c>
      <c r="G1008" t="s">
        <v>2168</v>
      </c>
      <c r="H1008">
        <v>10.17</v>
      </c>
      <c r="O1008">
        <v>5352</v>
      </c>
      <c r="P1008" t="s">
        <v>2625</v>
      </c>
      <c r="Q1008">
        <v>5697</v>
      </c>
      <c r="R1008" t="s">
        <v>2344</v>
      </c>
      <c r="S1008" t="s">
        <v>2036</v>
      </c>
      <c r="T1008">
        <v>202205</v>
      </c>
      <c r="U1008" t="s">
        <v>190</v>
      </c>
      <c r="V1008">
        <v>259781</v>
      </c>
    </row>
    <row r="1009" spans="1:22">
      <c r="A1009">
        <v>5352</v>
      </c>
      <c r="B1009" t="s">
        <v>2625</v>
      </c>
      <c r="C1009">
        <v>5697</v>
      </c>
      <c r="D1009" t="s">
        <v>2344</v>
      </c>
      <c r="E1009" t="s">
        <v>2036</v>
      </c>
      <c r="F1009">
        <v>202109</v>
      </c>
      <c r="G1009" t="s">
        <v>2171</v>
      </c>
      <c r="H1009">
        <v>19922.7</v>
      </c>
      <c r="O1009">
        <v>5352</v>
      </c>
      <c r="P1009" t="s">
        <v>2625</v>
      </c>
      <c r="Q1009">
        <v>5697</v>
      </c>
      <c r="R1009" t="s">
        <v>2344</v>
      </c>
      <c r="S1009" t="s">
        <v>2036</v>
      </c>
      <c r="T1009">
        <v>202205</v>
      </c>
      <c r="U1009" t="s">
        <v>191</v>
      </c>
      <c r="V1009">
        <v>33729</v>
      </c>
    </row>
    <row r="1010" spans="1:22">
      <c r="A1010">
        <v>5352</v>
      </c>
      <c r="B1010" t="s">
        <v>2625</v>
      </c>
      <c r="C1010">
        <v>5697</v>
      </c>
      <c r="D1010" t="s">
        <v>2344</v>
      </c>
      <c r="E1010" t="s">
        <v>2036</v>
      </c>
      <c r="F1010">
        <v>202110</v>
      </c>
      <c r="G1010" t="s">
        <v>190</v>
      </c>
      <c r="H1010">
        <v>137565</v>
      </c>
      <c r="O1010">
        <v>5352</v>
      </c>
      <c r="P1010" t="s">
        <v>2625</v>
      </c>
      <c r="Q1010">
        <v>5697</v>
      </c>
      <c r="R1010" t="s">
        <v>2344</v>
      </c>
      <c r="S1010" t="s">
        <v>2036</v>
      </c>
      <c r="T1010">
        <v>202205</v>
      </c>
      <c r="U1010" t="s">
        <v>178</v>
      </c>
      <c r="V1010">
        <v>1300</v>
      </c>
    </row>
    <row r="1011" spans="1:22">
      <c r="A1011">
        <v>5352</v>
      </c>
      <c r="B1011" t="s">
        <v>2625</v>
      </c>
      <c r="C1011">
        <v>5697</v>
      </c>
      <c r="D1011" t="s">
        <v>2344</v>
      </c>
      <c r="E1011" t="s">
        <v>2036</v>
      </c>
      <c r="F1011">
        <v>202110</v>
      </c>
      <c r="G1011" t="s">
        <v>191</v>
      </c>
      <c r="H1011">
        <v>21138</v>
      </c>
      <c r="O1011">
        <v>5352</v>
      </c>
      <c r="P1011" t="s">
        <v>2625</v>
      </c>
      <c r="Q1011">
        <v>5697</v>
      </c>
      <c r="R1011" t="s">
        <v>2344</v>
      </c>
      <c r="S1011" t="s">
        <v>2036</v>
      </c>
      <c r="T1011">
        <v>202205</v>
      </c>
      <c r="U1011" t="s">
        <v>180</v>
      </c>
      <c r="V1011">
        <v>1350</v>
      </c>
    </row>
    <row r="1012" spans="1:22">
      <c r="A1012">
        <v>5352</v>
      </c>
      <c r="B1012" t="s">
        <v>2625</v>
      </c>
      <c r="C1012">
        <v>5697</v>
      </c>
      <c r="D1012" t="s">
        <v>2344</v>
      </c>
      <c r="E1012" t="s">
        <v>2036</v>
      </c>
      <c r="F1012">
        <v>202110</v>
      </c>
      <c r="G1012" t="s">
        <v>176</v>
      </c>
      <c r="H1012">
        <v>0</v>
      </c>
      <c r="O1012">
        <v>5352</v>
      </c>
      <c r="P1012" t="s">
        <v>2625</v>
      </c>
      <c r="Q1012">
        <v>5697</v>
      </c>
      <c r="R1012" t="s">
        <v>2344</v>
      </c>
      <c r="S1012" t="s">
        <v>2036</v>
      </c>
      <c r="T1012">
        <v>202205</v>
      </c>
      <c r="U1012" t="s">
        <v>182</v>
      </c>
      <c r="V1012">
        <v>259781</v>
      </c>
    </row>
    <row r="1013" spans="1:22">
      <c r="A1013">
        <v>5352</v>
      </c>
      <c r="B1013" t="s">
        <v>2625</v>
      </c>
      <c r="C1013">
        <v>5697</v>
      </c>
      <c r="D1013" t="s">
        <v>2344</v>
      </c>
      <c r="E1013" t="s">
        <v>2036</v>
      </c>
      <c r="F1013">
        <v>202110</v>
      </c>
      <c r="G1013" t="s">
        <v>178</v>
      </c>
      <c r="H1013">
        <v>470</v>
      </c>
      <c r="O1013">
        <v>5352</v>
      </c>
      <c r="P1013" t="s">
        <v>2625</v>
      </c>
      <c r="Q1013">
        <v>5697</v>
      </c>
      <c r="R1013" t="s">
        <v>2344</v>
      </c>
      <c r="S1013" t="s">
        <v>2036</v>
      </c>
      <c r="T1013">
        <v>202205</v>
      </c>
      <c r="U1013" t="s">
        <v>184</v>
      </c>
      <c r="V1013">
        <v>33729</v>
      </c>
    </row>
    <row r="1014" spans="1:22">
      <c r="A1014">
        <v>5352</v>
      </c>
      <c r="B1014" t="s">
        <v>2625</v>
      </c>
      <c r="C1014">
        <v>5697</v>
      </c>
      <c r="D1014" t="s">
        <v>2344</v>
      </c>
      <c r="E1014" t="s">
        <v>2036</v>
      </c>
      <c r="F1014">
        <v>202110</v>
      </c>
      <c r="G1014" t="s">
        <v>180</v>
      </c>
      <c r="H1014">
        <v>530</v>
      </c>
      <c r="O1014">
        <v>5352</v>
      </c>
      <c r="P1014" t="s">
        <v>2625</v>
      </c>
      <c r="Q1014">
        <v>5697</v>
      </c>
      <c r="R1014" t="s">
        <v>2344</v>
      </c>
      <c r="S1014" t="s">
        <v>2036</v>
      </c>
      <c r="T1014">
        <v>202205</v>
      </c>
      <c r="U1014" t="s">
        <v>186</v>
      </c>
      <c r="V1014">
        <v>0</v>
      </c>
    </row>
    <row r="1015" spans="1:22">
      <c r="A1015">
        <v>5352</v>
      </c>
      <c r="B1015" t="s">
        <v>2625</v>
      </c>
      <c r="C1015">
        <v>5697</v>
      </c>
      <c r="D1015" t="s">
        <v>2344</v>
      </c>
      <c r="E1015" t="s">
        <v>2036</v>
      </c>
      <c r="F1015">
        <v>202110</v>
      </c>
      <c r="G1015" t="s">
        <v>182</v>
      </c>
      <c r="H1015">
        <v>137565</v>
      </c>
      <c r="O1015">
        <v>5352</v>
      </c>
      <c r="P1015" t="s">
        <v>2625</v>
      </c>
      <c r="Q1015">
        <v>5697</v>
      </c>
      <c r="R1015" t="s">
        <v>2344</v>
      </c>
      <c r="S1015" t="s">
        <v>2036</v>
      </c>
      <c r="T1015">
        <v>202205</v>
      </c>
      <c r="U1015" t="s">
        <v>190</v>
      </c>
      <c r="V1015">
        <v>103192</v>
      </c>
    </row>
    <row r="1016" spans="1:22">
      <c r="A1016">
        <v>5352</v>
      </c>
      <c r="B1016" t="s">
        <v>2625</v>
      </c>
      <c r="C1016">
        <v>5697</v>
      </c>
      <c r="D1016" t="s">
        <v>2344</v>
      </c>
      <c r="E1016" t="s">
        <v>2036</v>
      </c>
      <c r="F1016">
        <v>202110</v>
      </c>
      <c r="G1016" t="s">
        <v>184</v>
      </c>
      <c r="H1016">
        <v>21138</v>
      </c>
      <c r="O1016">
        <v>5352</v>
      </c>
      <c r="P1016" t="s">
        <v>2625</v>
      </c>
      <c r="Q1016">
        <v>5697</v>
      </c>
      <c r="R1016" t="s">
        <v>2344</v>
      </c>
      <c r="S1016" t="s">
        <v>2036</v>
      </c>
      <c r="T1016">
        <v>202205</v>
      </c>
      <c r="U1016" t="s">
        <v>191</v>
      </c>
      <c r="V1016">
        <v>12035</v>
      </c>
    </row>
    <row r="1017" spans="1:22">
      <c r="A1017">
        <v>5352</v>
      </c>
      <c r="B1017" t="s">
        <v>2625</v>
      </c>
      <c r="C1017">
        <v>5697</v>
      </c>
      <c r="D1017" t="s">
        <v>2344</v>
      </c>
      <c r="E1017" t="s">
        <v>2036</v>
      </c>
      <c r="F1017">
        <v>202110</v>
      </c>
      <c r="G1017" t="s">
        <v>192</v>
      </c>
      <c r="H1017">
        <v>0</v>
      </c>
      <c r="O1017">
        <v>5352</v>
      </c>
      <c r="P1017" t="s">
        <v>2625</v>
      </c>
      <c r="Q1017">
        <v>5697</v>
      </c>
      <c r="R1017" t="s">
        <v>2344</v>
      </c>
      <c r="S1017" t="s">
        <v>2036</v>
      </c>
      <c r="T1017">
        <v>202205</v>
      </c>
      <c r="U1017" t="s">
        <v>178</v>
      </c>
      <c r="V1017">
        <v>320</v>
      </c>
    </row>
    <row r="1018" spans="1:22">
      <c r="A1018">
        <v>5352</v>
      </c>
      <c r="B1018" t="s">
        <v>2625</v>
      </c>
      <c r="C1018">
        <v>5697</v>
      </c>
      <c r="D1018" t="s">
        <v>2344</v>
      </c>
      <c r="E1018" t="s">
        <v>2036</v>
      </c>
      <c r="F1018">
        <v>202110</v>
      </c>
      <c r="G1018" t="s">
        <v>2170</v>
      </c>
      <c r="H1018">
        <v>975.12</v>
      </c>
      <c r="O1018">
        <v>5352</v>
      </c>
      <c r="P1018" t="s">
        <v>2625</v>
      </c>
      <c r="Q1018">
        <v>5697</v>
      </c>
      <c r="R1018" t="s">
        <v>2344</v>
      </c>
      <c r="S1018" t="s">
        <v>2036</v>
      </c>
      <c r="T1018">
        <v>202205</v>
      </c>
      <c r="U1018" t="s">
        <v>180</v>
      </c>
      <c r="V1018">
        <v>320</v>
      </c>
    </row>
    <row r="1019" spans="1:22">
      <c r="A1019">
        <v>5352</v>
      </c>
      <c r="B1019" t="s">
        <v>2625</v>
      </c>
      <c r="C1019">
        <v>5697</v>
      </c>
      <c r="D1019" t="s">
        <v>2344</v>
      </c>
      <c r="E1019" t="s">
        <v>2036</v>
      </c>
      <c r="F1019">
        <v>202110</v>
      </c>
      <c r="G1019" t="s">
        <v>2169</v>
      </c>
      <c r="H1019">
        <v>99.17</v>
      </c>
      <c r="O1019">
        <v>5352</v>
      </c>
      <c r="P1019" t="s">
        <v>2625</v>
      </c>
      <c r="Q1019">
        <v>5697</v>
      </c>
      <c r="R1019" t="s">
        <v>2344</v>
      </c>
      <c r="S1019" t="s">
        <v>2036</v>
      </c>
      <c r="T1019">
        <v>202205</v>
      </c>
      <c r="U1019" t="s">
        <v>182</v>
      </c>
      <c r="V1019">
        <v>103192</v>
      </c>
    </row>
    <row r="1020" spans="1:22">
      <c r="A1020">
        <v>5352</v>
      </c>
      <c r="B1020" t="s">
        <v>2625</v>
      </c>
      <c r="C1020">
        <v>5697</v>
      </c>
      <c r="D1020" t="s">
        <v>2344</v>
      </c>
      <c r="E1020" t="s">
        <v>2036</v>
      </c>
      <c r="F1020">
        <v>202110</v>
      </c>
      <c r="G1020" t="s">
        <v>2166</v>
      </c>
      <c r="H1020">
        <v>12.33</v>
      </c>
      <c r="O1020">
        <v>5352</v>
      </c>
      <c r="P1020" t="s">
        <v>2625</v>
      </c>
      <c r="Q1020">
        <v>5697</v>
      </c>
      <c r="R1020" t="s">
        <v>2344</v>
      </c>
      <c r="S1020" t="s">
        <v>2036</v>
      </c>
      <c r="T1020">
        <v>202205</v>
      </c>
      <c r="U1020" t="s">
        <v>184</v>
      </c>
      <c r="V1020">
        <v>12035</v>
      </c>
    </row>
    <row r="1021" spans="1:22">
      <c r="A1021">
        <v>5352</v>
      </c>
      <c r="B1021" t="s">
        <v>2625</v>
      </c>
      <c r="C1021">
        <v>5697</v>
      </c>
      <c r="D1021" t="s">
        <v>2344</v>
      </c>
      <c r="E1021" t="s">
        <v>2036</v>
      </c>
      <c r="F1021">
        <v>202110</v>
      </c>
      <c r="G1021" t="s">
        <v>2167</v>
      </c>
      <c r="H1021">
        <v>23.94</v>
      </c>
      <c r="O1021">
        <v>5352</v>
      </c>
      <c r="P1021" t="s">
        <v>2625</v>
      </c>
      <c r="Q1021">
        <v>5697</v>
      </c>
      <c r="R1021" t="s">
        <v>2344</v>
      </c>
      <c r="S1021" t="s">
        <v>2036</v>
      </c>
      <c r="T1021">
        <v>202205</v>
      </c>
      <c r="U1021" t="s">
        <v>186</v>
      </c>
      <c r="V1021">
        <v>0</v>
      </c>
    </row>
    <row r="1022" spans="1:22">
      <c r="A1022">
        <v>5352</v>
      </c>
      <c r="B1022" t="s">
        <v>2625</v>
      </c>
      <c r="C1022">
        <v>5697</v>
      </c>
      <c r="D1022" t="s">
        <v>2344</v>
      </c>
      <c r="E1022" t="s">
        <v>2036</v>
      </c>
      <c r="F1022">
        <v>202110</v>
      </c>
      <c r="G1022" t="s">
        <v>2168</v>
      </c>
      <c r="H1022">
        <v>10.17</v>
      </c>
      <c r="O1022">
        <v>5352</v>
      </c>
      <c r="P1022" t="s">
        <v>2625</v>
      </c>
      <c r="Q1022">
        <v>5697</v>
      </c>
      <c r="R1022" t="s">
        <v>2344</v>
      </c>
      <c r="S1022" t="s">
        <v>2036</v>
      </c>
      <c r="T1022">
        <v>202205</v>
      </c>
      <c r="U1022" t="s">
        <v>190</v>
      </c>
      <c r="V1022">
        <v>177895</v>
      </c>
    </row>
    <row r="1023" spans="1:22">
      <c r="A1023">
        <v>5352</v>
      </c>
      <c r="B1023" t="s">
        <v>2625</v>
      </c>
      <c r="C1023">
        <v>5697</v>
      </c>
      <c r="D1023" t="s">
        <v>2344</v>
      </c>
      <c r="E1023" t="s">
        <v>2036</v>
      </c>
      <c r="F1023">
        <v>202110</v>
      </c>
      <c r="G1023" t="s">
        <v>2171</v>
      </c>
      <c r="H1023">
        <v>37218.92</v>
      </c>
      <c r="O1023">
        <v>5352</v>
      </c>
      <c r="P1023" t="s">
        <v>2625</v>
      </c>
      <c r="Q1023">
        <v>5697</v>
      </c>
      <c r="R1023" t="s">
        <v>2344</v>
      </c>
      <c r="S1023" t="s">
        <v>2036</v>
      </c>
      <c r="T1023">
        <v>202205</v>
      </c>
      <c r="U1023" t="s">
        <v>191</v>
      </c>
      <c r="V1023">
        <v>25172</v>
      </c>
    </row>
    <row r="1024" spans="1:22">
      <c r="A1024">
        <v>5352</v>
      </c>
      <c r="B1024" t="s">
        <v>2625</v>
      </c>
      <c r="C1024">
        <v>5697</v>
      </c>
      <c r="D1024" t="s">
        <v>2344</v>
      </c>
      <c r="E1024" t="s">
        <v>2036</v>
      </c>
      <c r="F1024">
        <v>202110</v>
      </c>
      <c r="G1024" t="s">
        <v>190</v>
      </c>
      <c r="H1024">
        <v>325533</v>
      </c>
      <c r="O1024">
        <v>5352</v>
      </c>
      <c r="P1024" t="s">
        <v>2625</v>
      </c>
      <c r="Q1024">
        <v>5697</v>
      </c>
      <c r="R1024" t="s">
        <v>2344</v>
      </c>
      <c r="S1024" t="s">
        <v>2036</v>
      </c>
      <c r="T1024">
        <v>202205</v>
      </c>
      <c r="U1024" t="s">
        <v>178</v>
      </c>
      <c r="V1024">
        <v>810</v>
      </c>
    </row>
    <row r="1025" spans="1:22">
      <c r="A1025">
        <v>5352</v>
      </c>
      <c r="B1025" t="s">
        <v>2625</v>
      </c>
      <c r="C1025">
        <v>5697</v>
      </c>
      <c r="D1025" t="s">
        <v>2344</v>
      </c>
      <c r="E1025" t="s">
        <v>2036</v>
      </c>
      <c r="F1025">
        <v>202110</v>
      </c>
      <c r="G1025" t="s">
        <v>191</v>
      </c>
      <c r="H1025">
        <v>47418</v>
      </c>
      <c r="O1025">
        <v>5352</v>
      </c>
      <c r="P1025" t="s">
        <v>2625</v>
      </c>
      <c r="Q1025">
        <v>5697</v>
      </c>
      <c r="R1025" t="s">
        <v>2344</v>
      </c>
      <c r="S1025" t="s">
        <v>2036</v>
      </c>
      <c r="T1025">
        <v>202205</v>
      </c>
      <c r="U1025" t="s">
        <v>180</v>
      </c>
      <c r="V1025">
        <v>930</v>
      </c>
    </row>
    <row r="1026" spans="1:22">
      <c r="A1026">
        <v>5352</v>
      </c>
      <c r="B1026" t="s">
        <v>2625</v>
      </c>
      <c r="C1026">
        <v>5697</v>
      </c>
      <c r="D1026" t="s">
        <v>2344</v>
      </c>
      <c r="E1026" t="s">
        <v>2036</v>
      </c>
      <c r="F1026">
        <v>202110</v>
      </c>
      <c r="G1026" t="s">
        <v>176</v>
      </c>
      <c r="H1026">
        <v>0</v>
      </c>
      <c r="O1026">
        <v>5352</v>
      </c>
      <c r="P1026" t="s">
        <v>2625</v>
      </c>
      <c r="Q1026">
        <v>5697</v>
      </c>
      <c r="R1026" t="s">
        <v>2344</v>
      </c>
      <c r="S1026" t="s">
        <v>2036</v>
      </c>
      <c r="T1026">
        <v>202205</v>
      </c>
      <c r="U1026" t="s">
        <v>182</v>
      </c>
      <c r="V1026">
        <v>177895</v>
      </c>
    </row>
    <row r="1027" spans="1:22">
      <c r="A1027">
        <v>5352</v>
      </c>
      <c r="B1027" t="s">
        <v>2625</v>
      </c>
      <c r="C1027">
        <v>5697</v>
      </c>
      <c r="D1027" t="s">
        <v>2344</v>
      </c>
      <c r="E1027" t="s">
        <v>2036</v>
      </c>
      <c r="F1027">
        <v>202110</v>
      </c>
      <c r="G1027" t="s">
        <v>178</v>
      </c>
      <c r="H1027">
        <v>890</v>
      </c>
      <c r="O1027">
        <v>5352</v>
      </c>
      <c r="P1027" t="s">
        <v>2625</v>
      </c>
      <c r="Q1027">
        <v>5697</v>
      </c>
      <c r="R1027" t="s">
        <v>2344</v>
      </c>
      <c r="S1027" t="s">
        <v>2036</v>
      </c>
      <c r="T1027">
        <v>202205</v>
      </c>
      <c r="U1027" t="s">
        <v>184</v>
      </c>
      <c r="V1027">
        <v>25172</v>
      </c>
    </row>
    <row r="1028" spans="1:22">
      <c r="A1028">
        <v>5352</v>
      </c>
      <c r="B1028" t="s">
        <v>2625</v>
      </c>
      <c r="C1028">
        <v>5697</v>
      </c>
      <c r="D1028" t="s">
        <v>2344</v>
      </c>
      <c r="E1028" t="s">
        <v>2036</v>
      </c>
      <c r="F1028">
        <v>202110</v>
      </c>
      <c r="G1028" t="s">
        <v>180</v>
      </c>
      <c r="H1028">
        <v>890</v>
      </c>
      <c r="O1028">
        <v>5352</v>
      </c>
      <c r="P1028" t="s">
        <v>2625</v>
      </c>
      <c r="Q1028">
        <v>5697</v>
      </c>
      <c r="R1028" t="s">
        <v>2344</v>
      </c>
      <c r="S1028" t="s">
        <v>2036</v>
      </c>
      <c r="T1028">
        <v>202205</v>
      </c>
      <c r="U1028" t="s">
        <v>186</v>
      </c>
      <c r="V1028">
        <v>0</v>
      </c>
    </row>
    <row r="1029" spans="1:22">
      <c r="A1029">
        <v>5352</v>
      </c>
      <c r="B1029" t="s">
        <v>2625</v>
      </c>
      <c r="C1029">
        <v>5697</v>
      </c>
      <c r="D1029" t="s">
        <v>2344</v>
      </c>
      <c r="E1029" t="s">
        <v>2036</v>
      </c>
      <c r="F1029">
        <v>202110</v>
      </c>
      <c r="G1029" t="s">
        <v>182</v>
      </c>
      <c r="H1029">
        <v>325533</v>
      </c>
      <c r="O1029">
        <v>5352</v>
      </c>
      <c r="P1029" t="s">
        <v>2625</v>
      </c>
      <c r="Q1029">
        <v>5697</v>
      </c>
      <c r="R1029" t="s">
        <v>2344</v>
      </c>
      <c r="S1029" t="s">
        <v>2036</v>
      </c>
      <c r="T1029">
        <v>202205</v>
      </c>
      <c r="U1029" t="s">
        <v>190</v>
      </c>
      <c r="V1029">
        <v>154081</v>
      </c>
    </row>
    <row r="1030" spans="1:22">
      <c r="A1030">
        <v>5352</v>
      </c>
      <c r="B1030" t="s">
        <v>2625</v>
      </c>
      <c r="C1030">
        <v>5697</v>
      </c>
      <c r="D1030" t="s">
        <v>2344</v>
      </c>
      <c r="E1030" t="s">
        <v>2036</v>
      </c>
      <c r="F1030">
        <v>202110</v>
      </c>
      <c r="G1030" t="s">
        <v>184</v>
      </c>
      <c r="H1030">
        <v>47418</v>
      </c>
      <c r="O1030">
        <v>5352</v>
      </c>
      <c r="P1030" t="s">
        <v>2625</v>
      </c>
      <c r="Q1030">
        <v>5697</v>
      </c>
      <c r="R1030" t="s">
        <v>2344</v>
      </c>
      <c r="S1030" t="s">
        <v>2036</v>
      </c>
      <c r="T1030">
        <v>202205</v>
      </c>
      <c r="U1030" t="s">
        <v>191</v>
      </c>
      <c r="V1030">
        <v>17879</v>
      </c>
    </row>
    <row r="1031" spans="1:22">
      <c r="A1031">
        <v>5352</v>
      </c>
      <c r="B1031" t="s">
        <v>2625</v>
      </c>
      <c r="C1031">
        <v>5697</v>
      </c>
      <c r="D1031" t="s">
        <v>2344</v>
      </c>
      <c r="E1031" t="s">
        <v>2036</v>
      </c>
      <c r="F1031">
        <v>202110</v>
      </c>
      <c r="G1031" t="s">
        <v>192</v>
      </c>
      <c r="H1031">
        <v>0</v>
      </c>
      <c r="O1031">
        <v>5352</v>
      </c>
      <c r="P1031" t="s">
        <v>2625</v>
      </c>
      <c r="Q1031">
        <v>5697</v>
      </c>
      <c r="R1031" t="s">
        <v>2344</v>
      </c>
      <c r="S1031" t="s">
        <v>2036</v>
      </c>
      <c r="T1031">
        <v>202205</v>
      </c>
      <c r="U1031" t="s">
        <v>178</v>
      </c>
      <c r="V1031">
        <v>600</v>
      </c>
    </row>
    <row r="1032" spans="1:22">
      <c r="A1032">
        <v>5352</v>
      </c>
      <c r="B1032" t="s">
        <v>2625</v>
      </c>
      <c r="C1032">
        <v>5697</v>
      </c>
      <c r="D1032" t="s">
        <v>2344</v>
      </c>
      <c r="E1032" t="s">
        <v>2036</v>
      </c>
      <c r="F1032">
        <v>202110</v>
      </c>
      <c r="G1032" t="s">
        <v>2170</v>
      </c>
      <c r="H1032">
        <v>2126.9499999999998</v>
      </c>
      <c r="O1032">
        <v>5352</v>
      </c>
      <c r="P1032" t="s">
        <v>2625</v>
      </c>
      <c r="Q1032">
        <v>5697</v>
      </c>
      <c r="R1032" t="s">
        <v>2344</v>
      </c>
      <c r="S1032" t="s">
        <v>2036</v>
      </c>
      <c r="T1032">
        <v>202205</v>
      </c>
      <c r="U1032" t="s">
        <v>180</v>
      </c>
      <c r="V1032">
        <v>600</v>
      </c>
    </row>
    <row r="1033" spans="1:22">
      <c r="A1033">
        <v>5352</v>
      </c>
      <c r="B1033" t="s">
        <v>2625</v>
      </c>
      <c r="C1033">
        <v>5697</v>
      </c>
      <c r="D1033" t="s">
        <v>2344</v>
      </c>
      <c r="E1033" t="s">
        <v>2036</v>
      </c>
      <c r="F1033">
        <v>202110</v>
      </c>
      <c r="G1033" t="s">
        <v>186</v>
      </c>
      <c r="H1033">
        <v>0</v>
      </c>
      <c r="O1033">
        <v>5352</v>
      </c>
      <c r="P1033" t="s">
        <v>2625</v>
      </c>
      <c r="Q1033">
        <v>5697</v>
      </c>
      <c r="R1033" t="s">
        <v>2344</v>
      </c>
      <c r="S1033" t="s">
        <v>2036</v>
      </c>
      <c r="T1033">
        <v>202205</v>
      </c>
      <c r="U1033" t="s">
        <v>182</v>
      </c>
      <c r="V1033">
        <v>154081</v>
      </c>
    </row>
    <row r="1034" spans="1:22">
      <c r="A1034">
        <v>5352</v>
      </c>
      <c r="B1034" t="s">
        <v>2625</v>
      </c>
      <c r="C1034">
        <v>5697</v>
      </c>
      <c r="D1034" t="s">
        <v>2344</v>
      </c>
      <c r="E1034" t="s">
        <v>2036</v>
      </c>
      <c r="F1034">
        <v>202110</v>
      </c>
      <c r="G1034" t="s">
        <v>2169</v>
      </c>
      <c r="H1034">
        <v>99.17</v>
      </c>
      <c r="O1034">
        <v>5352</v>
      </c>
      <c r="P1034" t="s">
        <v>2625</v>
      </c>
      <c r="Q1034">
        <v>5697</v>
      </c>
      <c r="R1034" t="s">
        <v>2344</v>
      </c>
      <c r="S1034" t="s">
        <v>2036</v>
      </c>
      <c r="T1034">
        <v>202205</v>
      </c>
      <c r="U1034" t="s">
        <v>184</v>
      </c>
      <c r="V1034">
        <v>17879</v>
      </c>
    </row>
    <row r="1035" spans="1:22">
      <c r="A1035">
        <v>5352</v>
      </c>
      <c r="B1035" t="s">
        <v>2625</v>
      </c>
      <c r="C1035">
        <v>5697</v>
      </c>
      <c r="D1035" t="s">
        <v>2344</v>
      </c>
      <c r="E1035" t="s">
        <v>2036</v>
      </c>
      <c r="F1035">
        <v>202110</v>
      </c>
      <c r="G1035" t="s">
        <v>2166</v>
      </c>
      <c r="H1035">
        <v>12.33</v>
      </c>
      <c r="O1035">
        <v>5352</v>
      </c>
      <c r="P1035" t="s">
        <v>2625</v>
      </c>
      <c r="Q1035">
        <v>5697</v>
      </c>
      <c r="R1035" t="s">
        <v>2344</v>
      </c>
      <c r="S1035" t="s">
        <v>2036</v>
      </c>
      <c r="T1035">
        <v>202205</v>
      </c>
      <c r="U1035" t="s">
        <v>186</v>
      </c>
      <c r="V1035">
        <v>0</v>
      </c>
    </row>
    <row r="1036" spans="1:22">
      <c r="A1036">
        <v>5352</v>
      </c>
      <c r="B1036" t="s">
        <v>2625</v>
      </c>
      <c r="C1036">
        <v>5697</v>
      </c>
      <c r="D1036" t="s">
        <v>2344</v>
      </c>
      <c r="E1036" t="s">
        <v>2036</v>
      </c>
      <c r="F1036">
        <v>202110</v>
      </c>
      <c r="G1036" t="s">
        <v>2167</v>
      </c>
      <c r="H1036">
        <v>23.94</v>
      </c>
      <c r="O1036">
        <v>5352</v>
      </c>
      <c r="P1036" t="s">
        <v>2625</v>
      </c>
      <c r="Q1036">
        <v>5697</v>
      </c>
      <c r="R1036" t="s">
        <v>2344</v>
      </c>
      <c r="S1036" t="s">
        <v>2036</v>
      </c>
      <c r="T1036">
        <v>202205</v>
      </c>
      <c r="U1036" t="s">
        <v>190</v>
      </c>
      <c r="V1036">
        <v>150016</v>
      </c>
    </row>
    <row r="1037" spans="1:22">
      <c r="A1037">
        <v>5352</v>
      </c>
      <c r="B1037" t="s">
        <v>2625</v>
      </c>
      <c r="C1037">
        <v>5697</v>
      </c>
      <c r="D1037" t="s">
        <v>2344</v>
      </c>
      <c r="E1037" t="s">
        <v>2036</v>
      </c>
      <c r="F1037">
        <v>202110</v>
      </c>
      <c r="G1037" t="s">
        <v>2168</v>
      </c>
      <c r="H1037">
        <v>10.17</v>
      </c>
      <c r="O1037">
        <v>5352</v>
      </c>
      <c r="P1037" t="s">
        <v>2625</v>
      </c>
      <c r="Q1037">
        <v>5697</v>
      </c>
      <c r="R1037" t="s">
        <v>2344</v>
      </c>
      <c r="S1037" t="s">
        <v>2036</v>
      </c>
      <c r="T1037">
        <v>202205</v>
      </c>
      <c r="U1037" t="s">
        <v>191</v>
      </c>
      <c r="V1037">
        <v>19126</v>
      </c>
    </row>
    <row r="1038" spans="1:22">
      <c r="A1038">
        <v>5352</v>
      </c>
      <c r="B1038" t="s">
        <v>2625</v>
      </c>
      <c r="C1038">
        <v>5697</v>
      </c>
      <c r="D1038" t="s">
        <v>2344</v>
      </c>
      <c r="E1038" t="s">
        <v>2036</v>
      </c>
      <c r="F1038">
        <v>202110</v>
      </c>
      <c r="G1038" t="s">
        <v>2171</v>
      </c>
      <c r="H1038">
        <v>58502.53</v>
      </c>
      <c r="O1038">
        <v>5352</v>
      </c>
      <c r="P1038" t="s">
        <v>2625</v>
      </c>
      <c r="Q1038">
        <v>5697</v>
      </c>
      <c r="R1038" t="s">
        <v>2344</v>
      </c>
      <c r="S1038" t="s">
        <v>2036</v>
      </c>
      <c r="T1038">
        <v>202205</v>
      </c>
      <c r="U1038" t="s">
        <v>178</v>
      </c>
      <c r="V1038">
        <v>480</v>
      </c>
    </row>
    <row r="1039" spans="1:22">
      <c r="A1039">
        <v>5352</v>
      </c>
      <c r="B1039" t="s">
        <v>2625</v>
      </c>
      <c r="C1039">
        <v>5697</v>
      </c>
      <c r="D1039" t="s">
        <v>2344</v>
      </c>
      <c r="E1039" t="s">
        <v>2036</v>
      </c>
      <c r="F1039">
        <v>202110</v>
      </c>
      <c r="G1039" t="s">
        <v>190</v>
      </c>
      <c r="H1039">
        <v>623401</v>
      </c>
      <c r="O1039">
        <v>5352</v>
      </c>
      <c r="P1039" t="s">
        <v>2625</v>
      </c>
      <c r="Q1039">
        <v>5697</v>
      </c>
      <c r="R1039" t="s">
        <v>2344</v>
      </c>
      <c r="S1039" t="s">
        <v>2036</v>
      </c>
      <c r="T1039">
        <v>202205</v>
      </c>
      <c r="U1039" t="s">
        <v>180</v>
      </c>
      <c r="V1039">
        <v>550</v>
      </c>
    </row>
    <row r="1040" spans="1:22">
      <c r="A1040">
        <v>5352</v>
      </c>
      <c r="B1040" t="s">
        <v>2625</v>
      </c>
      <c r="C1040">
        <v>5697</v>
      </c>
      <c r="D1040" t="s">
        <v>2344</v>
      </c>
      <c r="E1040" t="s">
        <v>2036</v>
      </c>
      <c r="F1040">
        <v>202110</v>
      </c>
      <c r="G1040" t="s">
        <v>191</v>
      </c>
      <c r="H1040">
        <v>46691</v>
      </c>
      <c r="O1040">
        <v>5352</v>
      </c>
      <c r="P1040" t="s">
        <v>2625</v>
      </c>
      <c r="Q1040">
        <v>5697</v>
      </c>
      <c r="R1040" t="s">
        <v>2344</v>
      </c>
      <c r="S1040" t="s">
        <v>2036</v>
      </c>
      <c r="T1040">
        <v>202205</v>
      </c>
      <c r="U1040" t="s">
        <v>182</v>
      </c>
      <c r="V1040">
        <v>150016</v>
      </c>
    </row>
    <row r="1041" spans="1:22">
      <c r="A1041">
        <v>5352</v>
      </c>
      <c r="B1041" t="s">
        <v>2625</v>
      </c>
      <c r="C1041">
        <v>5697</v>
      </c>
      <c r="D1041" t="s">
        <v>2344</v>
      </c>
      <c r="E1041" t="s">
        <v>2036</v>
      </c>
      <c r="F1041">
        <v>202110</v>
      </c>
      <c r="G1041" t="s">
        <v>176</v>
      </c>
      <c r="H1041">
        <v>0</v>
      </c>
      <c r="O1041">
        <v>5352</v>
      </c>
      <c r="P1041" t="s">
        <v>2625</v>
      </c>
      <c r="Q1041">
        <v>5697</v>
      </c>
      <c r="R1041" t="s">
        <v>2344</v>
      </c>
      <c r="S1041" t="s">
        <v>2036</v>
      </c>
      <c r="T1041">
        <v>202205</v>
      </c>
      <c r="U1041" t="s">
        <v>184</v>
      </c>
      <c r="V1041">
        <v>19162</v>
      </c>
    </row>
    <row r="1042" spans="1:22">
      <c r="A1042">
        <v>5352</v>
      </c>
      <c r="B1042" t="s">
        <v>2625</v>
      </c>
      <c r="C1042">
        <v>5697</v>
      </c>
      <c r="D1042" t="s">
        <v>2344</v>
      </c>
      <c r="E1042" t="s">
        <v>2036</v>
      </c>
      <c r="F1042">
        <v>202110</v>
      </c>
      <c r="G1042" t="s">
        <v>178</v>
      </c>
      <c r="H1042">
        <v>1360</v>
      </c>
      <c r="O1042">
        <v>5352</v>
      </c>
      <c r="P1042" t="s">
        <v>2625</v>
      </c>
      <c r="Q1042">
        <v>5697</v>
      </c>
      <c r="R1042" t="s">
        <v>2344</v>
      </c>
      <c r="S1042" t="s">
        <v>2036</v>
      </c>
      <c r="T1042">
        <v>202205</v>
      </c>
      <c r="U1042" t="s">
        <v>186</v>
      </c>
      <c r="V1042">
        <v>0</v>
      </c>
    </row>
    <row r="1043" spans="1:22">
      <c r="A1043">
        <v>5352</v>
      </c>
      <c r="B1043" t="s">
        <v>2625</v>
      </c>
      <c r="C1043">
        <v>5697</v>
      </c>
      <c r="D1043" t="s">
        <v>2344</v>
      </c>
      <c r="E1043" t="s">
        <v>2036</v>
      </c>
      <c r="F1043">
        <v>202110</v>
      </c>
      <c r="G1043" t="s">
        <v>180</v>
      </c>
      <c r="H1043">
        <v>1250</v>
      </c>
      <c r="O1043">
        <v>5352</v>
      </c>
      <c r="P1043" t="s">
        <v>2625</v>
      </c>
      <c r="Q1043">
        <v>5697</v>
      </c>
      <c r="R1043" t="s">
        <v>2344</v>
      </c>
      <c r="S1043" t="s">
        <v>2036</v>
      </c>
      <c r="T1043">
        <v>202205</v>
      </c>
      <c r="U1043" t="s">
        <v>190</v>
      </c>
      <c r="V1043">
        <v>55580</v>
      </c>
    </row>
    <row r="1044" spans="1:22">
      <c r="A1044">
        <v>5352</v>
      </c>
      <c r="B1044" t="s">
        <v>2625</v>
      </c>
      <c r="C1044">
        <v>5697</v>
      </c>
      <c r="D1044" t="s">
        <v>2344</v>
      </c>
      <c r="E1044" t="s">
        <v>2036</v>
      </c>
      <c r="F1044">
        <v>202110</v>
      </c>
      <c r="G1044" t="s">
        <v>182</v>
      </c>
      <c r="H1044">
        <v>623401</v>
      </c>
      <c r="O1044">
        <v>5352</v>
      </c>
      <c r="P1044" t="s">
        <v>2625</v>
      </c>
      <c r="Q1044">
        <v>5697</v>
      </c>
      <c r="R1044" t="s">
        <v>2344</v>
      </c>
      <c r="S1044" t="s">
        <v>2036</v>
      </c>
      <c r="T1044">
        <v>202205</v>
      </c>
      <c r="U1044" t="s">
        <v>191</v>
      </c>
      <c r="V1044">
        <v>7657</v>
      </c>
    </row>
    <row r="1045" spans="1:22">
      <c r="A1045">
        <v>5352</v>
      </c>
      <c r="B1045" t="s">
        <v>2625</v>
      </c>
      <c r="C1045">
        <v>5697</v>
      </c>
      <c r="D1045" t="s">
        <v>2344</v>
      </c>
      <c r="E1045" t="s">
        <v>2036</v>
      </c>
      <c r="F1045">
        <v>202110</v>
      </c>
      <c r="G1045" t="s">
        <v>184</v>
      </c>
      <c r="H1045">
        <v>46691</v>
      </c>
      <c r="O1045">
        <v>5352</v>
      </c>
      <c r="P1045" t="s">
        <v>2625</v>
      </c>
      <c r="Q1045">
        <v>5697</v>
      </c>
      <c r="R1045" t="s">
        <v>2344</v>
      </c>
      <c r="S1045" t="s">
        <v>2036</v>
      </c>
      <c r="T1045">
        <v>202205</v>
      </c>
      <c r="U1045" t="s">
        <v>178</v>
      </c>
      <c r="V1045">
        <v>250</v>
      </c>
    </row>
    <row r="1046" spans="1:22">
      <c r="A1046">
        <v>5352</v>
      </c>
      <c r="B1046" t="s">
        <v>2625</v>
      </c>
      <c r="C1046">
        <v>5697</v>
      </c>
      <c r="D1046" t="s">
        <v>2344</v>
      </c>
      <c r="E1046" t="s">
        <v>2036</v>
      </c>
      <c r="F1046">
        <v>202110</v>
      </c>
      <c r="G1046" t="s">
        <v>192</v>
      </c>
      <c r="H1046">
        <v>0</v>
      </c>
      <c r="O1046">
        <v>5352</v>
      </c>
      <c r="P1046" t="s">
        <v>2625</v>
      </c>
      <c r="Q1046">
        <v>5697</v>
      </c>
      <c r="R1046" t="s">
        <v>2344</v>
      </c>
      <c r="S1046" t="s">
        <v>2036</v>
      </c>
      <c r="T1046">
        <v>202205</v>
      </c>
      <c r="U1046" t="s">
        <v>180</v>
      </c>
      <c r="V1046">
        <v>250</v>
      </c>
    </row>
    <row r="1047" spans="1:22">
      <c r="A1047">
        <v>5352</v>
      </c>
      <c r="B1047" t="s">
        <v>2625</v>
      </c>
      <c r="C1047">
        <v>5697</v>
      </c>
      <c r="D1047" t="s">
        <v>2344</v>
      </c>
      <c r="E1047" t="s">
        <v>2036</v>
      </c>
      <c r="F1047">
        <v>202110</v>
      </c>
      <c r="G1047" t="s">
        <v>2170</v>
      </c>
      <c r="H1047">
        <v>3276.59</v>
      </c>
      <c r="O1047">
        <v>5352</v>
      </c>
      <c r="P1047" t="s">
        <v>2625</v>
      </c>
      <c r="Q1047">
        <v>5697</v>
      </c>
      <c r="R1047" t="s">
        <v>2344</v>
      </c>
      <c r="S1047" t="s">
        <v>2036</v>
      </c>
      <c r="T1047">
        <v>202205</v>
      </c>
      <c r="U1047" t="s">
        <v>182</v>
      </c>
      <c r="V1047">
        <v>55580</v>
      </c>
    </row>
    <row r="1048" spans="1:22">
      <c r="A1048">
        <v>5352</v>
      </c>
      <c r="B1048" t="s">
        <v>2625</v>
      </c>
      <c r="C1048">
        <v>5697</v>
      </c>
      <c r="D1048" t="s">
        <v>2344</v>
      </c>
      <c r="E1048" t="s">
        <v>2036</v>
      </c>
      <c r="F1048">
        <v>202110</v>
      </c>
      <c r="G1048" t="s">
        <v>186</v>
      </c>
      <c r="H1048">
        <v>0</v>
      </c>
      <c r="O1048">
        <v>5352</v>
      </c>
      <c r="P1048" t="s">
        <v>2625</v>
      </c>
      <c r="Q1048">
        <v>5697</v>
      </c>
      <c r="R1048" t="s">
        <v>2344</v>
      </c>
      <c r="S1048" t="s">
        <v>2036</v>
      </c>
      <c r="T1048">
        <v>202205</v>
      </c>
      <c r="U1048" t="s">
        <v>184</v>
      </c>
      <c r="V1048">
        <v>7657</v>
      </c>
    </row>
    <row r="1049" spans="1:22">
      <c r="A1049">
        <v>5352</v>
      </c>
      <c r="B1049" t="s">
        <v>2625</v>
      </c>
      <c r="C1049">
        <v>5697</v>
      </c>
      <c r="D1049" t="s">
        <v>2344</v>
      </c>
      <c r="E1049" t="s">
        <v>2036</v>
      </c>
      <c r="F1049">
        <v>202110</v>
      </c>
      <c r="G1049" t="s">
        <v>2169</v>
      </c>
      <c r="H1049">
        <v>99.17</v>
      </c>
      <c r="O1049">
        <v>5352</v>
      </c>
      <c r="P1049" t="s">
        <v>2625</v>
      </c>
      <c r="Q1049">
        <v>5697</v>
      </c>
      <c r="R1049" t="s">
        <v>2344</v>
      </c>
      <c r="S1049" t="s">
        <v>2036</v>
      </c>
      <c r="T1049">
        <v>202205</v>
      </c>
      <c r="U1049" t="s">
        <v>186</v>
      </c>
      <c r="V1049">
        <v>0</v>
      </c>
    </row>
    <row r="1050" spans="1:22">
      <c r="A1050">
        <v>5352</v>
      </c>
      <c r="B1050" t="s">
        <v>2625</v>
      </c>
      <c r="C1050">
        <v>5697</v>
      </c>
      <c r="D1050" t="s">
        <v>2344</v>
      </c>
      <c r="E1050" t="s">
        <v>2036</v>
      </c>
      <c r="F1050">
        <v>202110</v>
      </c>
      <c r="G1050" t="s">
        <v>2166</v>
      </c>
      <c r="H1050">
        <v>12.33</v>
      </c>
      <c r="O1050">
        <v>5352</v>
      </c>
      <c r="P1050" t="s">
        <v>2625</v>
      </c>
      <c r="Q1050">
        <v>5697</v>
      </c>
      <c r="R1050" t="s">
        <v>2344</v>
      </c>
      <c r="S1050" t="s">
        <v>2036</v>
      </c>
      <c r="T1050">
        <v>202205</v>
      </c>
      <c r="U1050" t="s">
        <v>190</v>
      </c>
      <c r="V1050">
        <v>235451</v>
      </c>
    </row>
    <row r="1051" spans="1:22">
      <c r="A1051">
        <v>5352</v>
      </c>
      <c r="B1051" t="s">
        <v>2625</v>
      </c>
      <c r="C1051">
        <v>5697</v>
      </c>
      <c r="D1051" t="s">
        <v>2344</v>
      </c>
      <c r="E1051" t="s">
        <v>2036</v>
      </c>
      <c r="F1051">
        <v>202110</v>
      </c>
      <c r="G1051" t="s">
        <v>2167</v>
      </c>
      <c r="H1051">
        <v>23.94</v>
      </c>
      <c r="O1051">
        <v>5352</v>
      </c>
      <c r="P1051" t="s">
        <v>2625</v>
      </c>
      <c r="Q1051">
        <v>5697</v>
      </c>
      <c r="R1051" t="s">
        <v>2344</v>
      </c>
      <c r="S1051" t="s">
        <v>2036</v>
      </c>
      <c r="T1051">
        <v>202205</v>
      </c>
      <c r="U1051" t="s">
        <v>191</v>
      </c>
      <c r="V1051">
        <v>30455</v>
      </c>
    </row>
    <row r="1052" spans="1:22">
      <c r="A1052">
        <v>5352</v>
      </c>
      <c r="B1052" t="s">
        <v>2625</v>
      </c>
      <c r="C1052">
        <v>5697</v>
      </c>
      <c r="D1052" t="s">
        <v>2344</v>
      </c>
      <c r="E1052" t="s">
        <v>2036</v>
      </c>
      <c r="F1052">
        <v>202110</v>
      </c>
      <c r="G1052" t="s">
        <v>2168</v>
      </c>
      <c r="H1052">
        <v>10.17</v>
      </c>
      <c r="O1052">
        <v>5352</v>
      </c>
      <c r="P1052" t="s">
        <v>2625</v>
      </c>
      <c r="Q1052">
        <v>5697</v>
      </c>
      <c r="R1052" t="s">
        <v>2344</v>
      </c>
      <c r="S1052" t="s">
        <v>2036</v>
      </c>
      <c r="T1052">
        <v>202205</v>
      </c>
      <c r="U1052" t="s">
        <v>178</v>
      </c>
      <c r="V1052">
        <v>970</v>
      </c>
    </row>
    <row r="1053" spans="1:22">
      <c r="A1053">
        <v>5352</v>
      </c>
      <c r="B1053" t="s">
        <v>2625</v>
      </c>
      <c r="C1053">
        <v>5697</v>
      </c>
      <c r="D1053" t="s">
        <v>2344</v>
      </c>
      <c r="E1053" t="s">
        <v>2036</v>
      </c>
      <c r="F1053">
        <v>202110</v>
      </c>
      <c r="G1053" t="s">
        <v>2171</v>
      </c>
      <c r="H1053">
        <v>125060.68</v>
      </c>
      <c r="O1053">
        <v>5352</v>
      </c>
      <c r="P1053" t="s">
        <v>2625</v>
      </c>
      <c r="Q1053">
        <v>5697</v>
      </c>
      <c r="R1053" t="s">
        <v>2344</v>
      </c>
      <c r="S1053" t="s">
        <v>2036</v>
      </c>
      <c r="T1053">
        <v>202205</v>
      </c>
      <c r="U1053" t="s">
        <v>180</v>
      </c>
      <c r="V1053">
        <v>970</v>
      </c>
    </row>
    <row r="1054" spans="1:22">
      <c r="A1054">
        <v>5352</v>
      </c>
      <c r="B1054" t="s">
        <v>2625</v>
      </c>
      <c r="C1054">
        <v>5697</v>
      </c>
      <c r="D1054" t="s">
        <v>2344</v>
      </c>
      <c r="E1054" t="s">
        <v>2036</v>
      </c>
      <c r="F1054">
        <v>202110</v>
      </c>
      <c r="G1054" t="s">
        <v>190</v>
      </c>
      <c r="H1054">
        <v>757733</v>
      </c>
      <c r="O1054">
        <v>5352</v>
      </c>
      <c r="P1054" t="s">
        <v>2625</v>
      </c>
      <c r="Q1054">
        <v>5697</v>
      </c>
      <c r="R1054" t="s">
        <v>2344</v>
      </c>
      <c r="S1054" t="s">
        <v>2036</v>
      </c>
      <c r="T1054">
        <v>202205</v>
      </c>
      <c r="U1054" t="s">
        <v>182</v>
      </c>
      <c r="V1054">
        <v>235451</v>
      </c>
    </row>
    <row r="1055" spans="1:22">
      <c r="A1055">
        <v>5352</v>
      </c>
      <c r="B1055" t="s">
        <v>2625</v>
      </c>
      <c r="C1055">
        <v>5697</v>
      </c>
      <c r="D1055" t="s">
        <v>2344</v>
      </c>
      <c r="E1055" t="s">
        <v>2036</v>
      </c>
      <c r="F1055">
        <v>202110</v>
      </c>
      <c r="G1055" t="s">
        <v>191</v>
      </c>
      <c r="H1055">
        <v>125715</v>
      </c>
      <c r="O1055">
        <v>5352</v>
      </c>
      <c r="P1055" t="s">
        <v>2625</v>
      </c>
      <c r="Q1055">
        <v>5697</v>
      </c>
      <c r="R1055" t="s">
        <v>2344</v>
      </c>
      <c r="S1055" t="s">
        <v>2036</v>
      </c>
      <c r="T1055">
        <v>202205</v>
      </c>
      <c r="U1055" t="s">
        <v>184</v>
      </c>
      <c r="V1055">
        <v>30455</v>
      </c>
    </row>
    <row r="1056" spans="1:22">
      <c r="A1056">
        <v>5352</v>
      </c>
      <c r="B1056" t="s">
        <v>2625</v>
      </c>
      <c r="C1056">
        <v>5697</v>
      </c>
      <c r="D1056" t="s">
        <v>2344</v>
      </c>
      <c r="E1056" t="s">
        <v>2036</v>
      </c>
      <c r="F1056">
        <v>202110</v>
      </c>
      <c r="G1056" t="s">
        <v>176</v>
      </c>
      <c r="H1056">
        <v>0</v>
      </c>
      <c r="O1056">
        <v>5352</v>
      </c>
      <c r="P1056" t="s">
        <v>2625</v>
      </c>
      <c r="Q1056">
        <v>5697</v>
      </c>
      <c r="R1056" t="s">
        <v>2344</v>
      </c>
      <c r="S1056" t="s">
        <v>2036</v>
      </c>
      <c r="T1056">
        <v>202205</v>
      </c>
      <c r="U1056" t="s">
        <v>186</v>
      </c>
      <c r="V1056">
        <v>0</v>
      </c>
    </row>
    <row r="1057" spans="1:22">
      <c r="A1057">
        <v>5352</v>
      </c>
      <c r="B1057" t="s">
        <v>2625</v>
      </c>
      <c r="C1057">
        <v>5697</v>
      </c>
      <c r="D1057" t="s">
        <v>2344</v>
      </c>
      <c r="E1057" t="s">
        <v>2036</v>
      </c>
      <c r="F1057">
        <v>202110</v>
      </c>
      <c r="G1057" t="s">
        <v>178</v>
      </c>
      <c r="H1057">
        <v>2400</v>
      </c>
      <c r="O1057">
        <v>5352</v>
      </c>
      <c r="P1057" t="s">
        <v>2625</v>
      </c>
      <c r="Q1057">
        <v>5697</v>
      </c>
      <c r="R1057" t="s">
        <v>2344</v>
      </c>
      <c r="S1057" t="s">
        <v>2036</v>
      </c>
      <c r="T1057">
        <v>202205</v>
      </c>
      <c r="U1057" t="s">
        <v>190</v>
      </c>
      <c r="V1057">
        <v>129306</v>
      </c>
    </row>
    <row r="1058" spans="1:22">
      <c r="A1058">
        <v>5352</v>
      </c>
      <c r="B1058" t="s">
        <v>2625</v>
      </c>
      <c r="C1058">
        <v>5697</v>
      </c>
      <c r="D1058" t="s">
        <v>2344</v>
      </c>
      <c r="E1058" t="s">
        <v>2036</v>
      </c>
      <c r="F1058">
        <v>202110</v>
      </c>
      <c r="G1058" t="s">
        <v>180</v>
      </c>
      <c r="H1058">
        <v>2400</v>
      </c>
      <c r="O1058">
        <v>5352</v>
      </c>
      <c r="P1058" t="s">
        <v>2625</v>
      </c>
      <c r="Q1058">
        <v>5697</v>
      </c>
      <c r="R1058" t="s">
        <v>2344</v>
      </c>
      <c r="S1058" t="s">
        <v>2036</v>
      </c>
      <c r="T1058">
        <v>202205</v>
      </c>
      <c r="U1058" t="s">
        <v>191</v>
      </c>
      <c r="V1058">
        <v>15459</v>
      </c>
    </row>
    <row r="1059" spans="1:22">
      <c r="A1059">
        <v>5352</v>
      </c>
      <c r="B1059" t="s">
        <v>2625</v>
      </c>
      <c r="C1059">
        <v>5697</v>
      </c>
      <c r="D1059" t="s">
        <v>2344</v>
      </c>
      <c r="E1059" t="s">
        <v>2036</v>
      </c>
      <c r="F1059">
        <v>202110</v>
      </c>
      <c r="G1059" t="s">
        <v>182</v>
      </c>
      <c r="H1059">
        <v>842857</v>
      </c>
      <c r="O1059">
        <v>5352</v>
      </c>
      <c r="P1059" t="s">
        <v>2625</v>
      </c>
      <c r="Q1059">
        <v>5697</v>
      </c>
      <c r="R1059" t="s">
        <v>2344</v>
      </c>
      <c r="S1059" t="s">
        <v>2036</v>
      </c>
      <c r="T1059">
        <v>202205</v>
      </c>
      <c r="U1059" t="s">
        <v>178</v>
      </c>
      <c r="V1059">
        <v>450</v>
      </c>
    </row>
    <row r="1060" spans="1:22">
      <c r="A1060">
        <v>5352</v>
      </c>
      <c r="B1060" t="s">
        <v>2625</v>
      </c>
      <c r="C1060">
        <v>5697</v>
      </c>
      <c r="D1060" t="s">
        <v>2344</v>
      </c>
      <c r="E1060" t="s">
        <v>2036</v>
      </c>
      <c r="F1060">
        <v>202110</v>
      </c>
      <c r="G1060" t="s">
        <v>184</v>
      </c>
      <c r="H1060">
        <v>125715</v>
      </c>
      <c r="O1060">
        <v>5352</v>
      </c>
      <c r="P1060" t="s">
        <v>2625</v>
      </c>
      <c r="Q1060">
        <v>5697</v>
      </c>
      <c r="R1060" t="s">
        <v>2344</v>
      </c>
      <c r="S1060" t="s">
        <v>2036</v>
      </c>
      <c r="T1060">
        <v>202205</v>
      </c>
      <c r="U1060" t="s">
        <v>180</v>
      </c>
      <c r="V1060">
        <v>450</v>
      </c>
    </row>
    <row r="1061" spans="1:22">
      <c r="A1061">
        <v>5352</v>
      </c>
      <c r="B1061" t="s">
        <v>2625</v>
      </c>
      <c r="C1061">
        <v>5697</v>
      </c>
      <c r="D1061" t="s">
        <v>2344</v>
      </c>
      <c r="E1061" t="s">
        <v>2036</v>
      </c>
      <c r="F1061">
        <v>202110</v>
      </c>
      <c r="G1061" t="s">
        <v>192</v>
      </c>
      <c r="H1061">
        <v>0</v>
      </c>
      <c r="O1061">
        <v>5352</v>
      </c>
      <c r="P1061" t="s">
        <v>2625</v>
      </c>
      <c r="Q1061">
        <v>5697</v>
      </c>
      <c r="R1061" t="s">
        <v>2344</v>
      </c>
      <c r="S1061" t="s">
        <v>2036</v>
      </c>
      <c r="T1061">
        <v>202205</v>
      </c>
      <c r="U1061" t="s">
        <v>182</v>
      </c>
      <c r="V1061">
        <v>129306</v>
      </c>
    </row>
    <row r="1062" spans="1:22">
      <c r="A1062">
        <v>5352</v>
      </c>
      <c r="B1062" t="s">
        <v>2625</v>
      </c>
      <c r="C1062">
        <v>5697</v>
      </c>
      <c r="D1062" t="s">
        <v>2344</v>
      </c>
      <c r="E1062" t="s">
        <v>2036</v>
      </c>
      <c r="F1062">
        <v>202110</v>
      </c>
      <c r="G1062" t="s">
        <v>2170</v>
      </c>
      <c r="H1062">
        <v>5027.09</v>
      </c>
      <c r="O1062">
        <v>5352</v>
      </c>
      <c r="P1062" t="s">
        <v>2625</v>
      </c>
      <c r="Q1062">
        <v>5697</v>
      </c>
      <c r="R1062" t="s">
        <v>2344</v>
      </c>
      <c r="S1062" t="s">
        <v>2036</v>
      </c>
      <c r="T1062">
        <v>202205</v>
      </c>
      <c r="U1062" t="s">
        <v>184</v>
      </c>
      <c r="V1062">
        <v>15459</v>
      </c>
    </row>
    <row r="1063" spans="1:22">
      <c r="A1063">
        <v>5352</v>
      </c>
      <c r="B1063" t="s">
        <v>2625</v>
      </c>
      <c r="C1063">
        <v>5697</v>
      </c>
      <c r="D1063" t="s">
        <v>2344</v>
      </c>
      <c r="E1063" t="s">
        <v>2036</v>
      </c>
      <c r="F1063">
        <v>202110</v>
      </c>
      <c r="G1063" t="s">
        <v>186</v>
      </c>
      <c r="H1063">
        <v>85124</v>
      </c>
      <c r="O1063">
        <v>5352</v>
      </c>
      <c r="P1063" t="s">
        <v>2625</v>
      </c>
      <c r="Q1063">
        <v>5697</v>
      </c>
      <c r="R1063" t="s">
        <v>2344</v>
      </c>
      <c r="S1063" t="s">
        <v>2036</v>
      </c>
      <c r="T1063">
        <v>202205</v>
      </c>
      <c r="U1063" t="s">
        <v>186</v>
      </c>
      <c r="V1063">
        <v>0</v>
      </c>
    </row>
    <row r="1064" spans="1:22">
      <c r="A1064">
        <v>5352</v>
      </c>
      <c r="B1064" t="s">
        <v>2625</v>
      </c>
      <c r="C1064">
        <v>5697</v>
      </c>
      <c r="D1064" t="s">
        <v>2344</v>
      </c>
      <c r="E1064" t="s">
        <v>2036</v>
      </c>
      <c r="F1064">
        <v>202110</v>
      </c>
      <c r="G1064" t="s">
        <v>2169</v>
      </c>
      <c r="H1064">
        <v>99.17</v>
      </c>
      <c r="O1064">
        <v>5352</v>
      </c>
      <c r="P1064" t="s">
        <v>2625</v>
      </c>
      <c r="Q1064">
        <v>5697</v>
      </c>
      <c r="R1064" t="s">
        <v>2344</v>
      </c>
      <c r="S1064" t="s">
        <v>2036</v>
      </c>
      <c r="T1064">
        <v>202205</v>
      </c>
      <c r="U1064" t="s">
        <v>190</v>
      </c>
      <c r="V1064">
        <v>272341</v>
      </c>
    </row>
    <row r="1065" spans="1:22">
      <c r="A1065">
        <v>5352</v>
      </c>
      <c r="B1065" t="s">
        <v>2625</v>
      </c>
      <c r="C1065">
        <v>5697</v>
      </c>
      <c r="D1065" t="s">
        <v>2344</v>
      </c>
      <c r="E1065" t="s">
        <v>2036</v>
      </c>
      <c r="F1065">
        <v>202110</v>
      </c>
      <c r="G1065" t="s">
        <v>2166</v>
      </c>
      <c r="H1065">
        <v>12.33</v>
      </c>
      <c r="O1065">
        <v>5352</v>
      </c>
      <c r="P1065" t="s">
        <v>2625</v>
      </c>
      <c r="Q1065">
        <v>5697</v>
      </c>
      <c r="R1065" t="s">
        <v>2344</v>
      </c>
      <c r="S1065" t="s">
        <v>2036</v>
      </c>
      <c r="T1065">
        <v>202205</v>
      </c>
      <c r="U1065" t="s">
        <v>191</v>
      </c>
      <c r="V1065">
        <v>32396</v>
      </c>
    </row>
    <row r="1066" spans="1:22">
      <c r="A1066">
        <v>5352</v>
      </c>
      <c r="B1066" t="s">
        <v>2625</v>
      </c>
      <c r="C1066">
        <v>5697</v>
      </c>
      <c r="D1066" t="s">
        <v>2344</v>
      </c>
      <c r="E1066" t="s">
        <v>2036</v>
      </c>
      <c r="F1066">
        <v>202110</v>
      </c>
      <c r="G1066" t="s">
        <v>2167</v>
      </c>
      <c r="H1066">
        <v>23.94</v>
      </c>
      <c r="O1066">
        <v>5352</v>
      </c>
      <c r="P1066" t="s">
        <v>2625</v>
      </c>
      <c r="Q1066">
        <v>5697</v>
      </c>
      <c r="R1066" t="s">
        <v>2344</v>
      </c>
      <c r="S1066" t="s">
        <v>2036</v>
      </c>
      <c r="T1066">
        <v>202205</v>
      </c>
      <c r="U1066" t="s">
        <v>178</v>
      </c>
      <c r="V1066">
        <v>843</v>
      </c>
    </row>
    <row r="1067" spans="1:22">
      <c r="A1067">
        <v>5352</v>
      </c>
      <c r="B1067" t="s">
        <v>2625</v>
      </c>
      <c r="C1067">
        <v>5697</v>
      </c>
      <c r="D1067" t="s">
        <v>2344</v>
      </c>
      <c r="E1067" t="s">
        <v>2036</v>
      </c>
      <c r="F1067">
        <v>202110</v>
      </c>
      <c r="G1067" t="s">
        <v>2168</v>
      </c>
      <c r="H1067">
        <v>10.17</v>
      </c>
      <c r="O1067">
        <v>5352</v>
      </c>
      <c r="P1067" t="s">
        <v>2625</v>
      </c>
      <c r="Q1067">
        <v>5697</v>
      </c>
      <c r="R1067" t="s">
        <v>2344</v>
      </c>
      <c r="S1067" t="s">
        <v>2036</v>
      </c>
      <c r="T1067">
        <v>202205</v>
      </c>
      <c r="U1067" t="s">
        <v>180</v>
      </c>
      <c r="V1067">
        <v>820</v>
      </c>
    </row>
    <row r="1068" spans="1:22">
      <c r="A1068">
        <v>5352</v>
      </c>
      <c r="B1068" t="s">
        <v>2625</v>
      </c>
      <c r="C1068">
        <v>5697</v>
      </c>
      <c r="D1068" t="s">
        <v>2344</v>
      </c>
      <c r="E1068" t="s">
        <v>2036</v>
      </c>
      <c r="F1068">
        <v>202110</v>
      </c>
      <c r="G1068" t="s">
        <v>2171</v>
      </c>
      <c r="H1068">
        <v>191873.32</v>
      </c>
      <c r="O1068">
        <v>5352</v>
      </c>
      <c r="P1068" t="s">
        <v>2625</v>
      </c>
      <c r="Q1068">
        <v>5697</v>
      </c>
      <c r="R1068" t="s">
        <v>2344</v>
      </c>
      <c r="S1068" t="s">
        <v>2036</v>
      </c>
      <c r="T1068">
        <v>202205</v>
      </c>
      <c r="U1068" t="s">
        <v>182</v>
      </c>
      <c r="V1068">
        <v>272341</v>
      </c>
    </row>
    <row r="1069" spans="1:22">
      <c r="A1069">
        <v>5352</v>
      </c>
      <c r="B1069" t="s">
        <v>2625</v>
      </c>
      <c r="C1069">
        <v>5697</v>
      </c>
      <c r="D1069" t="s">
        <v>2344</v>
      </c>
      <c r="E1069" t="s">
        <v>2036</v>
      </c>
      <c r="F1069">
        <v>202110</v>
      </c>
      <c r="G1069" t="s">
        <v>190</v>
      </c>
      <c r="H1069">
        <v>486955</v>
      </c>
      <c r="O1069">
        <v>5352</v>
      </c>
      <c r="P1069" t="s">
        <v>2625</v>
      </c>
      <c r="Q1069">
        <v>5697</v>
      </c>
      <c r="R1069" t="s">
        <v>2344</v>
      </c>
      <c r="S1069" t="s">
        <v>2036</v>
      </c>
      <c r="T1069">
        <v>202205</v>
      </c>
      <c r="U1069" t="s">
        <v>184</v>
      </c>
      <c r="V1069">
        <v>32396</v>
      </c>
    </row>
    <row r="1070" spans="1:22">
      <c r="A1070">
        <v>5352</v>
      </c>
      <c r="B1070" t="s">
        <v>2625</v>
      </c>
      <c r="C1070">
        <v>5697</v>
      </c>
      <c r="D1070" t="s">
        <v>2344</v>
      </c>
      <c r="E1070" t="s">
        <v>2036</v>
      </c>
      <c r="F1070">
        <v>202110</v>
      </c>
      <c r="G1070" t="s">
        <v>191</v>
      </c>
      <c r="H1070">
        <v>70427</v>
      </c>
      <c r="O1070">
        <v>5352</v>
      </c>
      <c r="P1070" t="s">
        <v>2625</v>
      </c>
      <c r="Q1070">
        <v>5697</v>
      </c>
      <c r="R1070" t="s">
        <v>2344</v>
      </c>
      <c r="S1070" t="s">
        <v>2036</v>
      </c>
      <c r="T1070">
        <v>202205</v>
      </c>
      <c r="U1070" t="s">
        <v>186</v>
      </c>
      <c r="V1070">
        <v>0</v>
      </c>
    </row>
    <row r="1071" spans="1:22">
      <c r="A1071">
        <v>5352</v>
      </c>
      <c r="B1071" t="s">
        <v>2625</v>
      </c>
      <c r="C1071">
        <v>5697</v>
      </c>
      <c r="D1071" t="s">
        <v>2344</v>
      </c>
      <c r="E1071" t="s">
        <v>2036</v>
      </c>
      <c r="F1071">
        <v>202110</v>
      </c>
      <c r="G1071" t="s">
        <v>176</v>
      </c>
      <c r="H1071">
        <v>0</v>
      </c>
      <c r="O1071">
        <v>5352</v>
      </c>
      <c r="P1071" t="s">
        <v>2625</v>
      </c>
      <c r="Q1071">
        <v>5697</v>
      </c>
      <c r="R1071" t="s">
        <v>2344</v>
      </c>
      <c r="S1071" t="s">
        <v>2036</v>
      </c>
      <c r="T1071">
        <v>202206</v>
      </c>
      <c r="U1071" t="s">
        <v>190</v>
      </c>
      <c r="V1071">
        <v>487822</v>
      </c>
    </row>
    <row r="1072" spans="1:22">
      <c r="A1072">
        <v>5352</v>
      </c>
      <c r="B1072" t="s">
        <v>2625</v>
      </c>
      <c r="C1072">
        <v>5697</v>
      </c>
      <c r="D1072" t="s">
        <v>2344</v>
      </c>
      <c r="E1072" t="s">
        <v>2036</v>
      </c>
      <c r="F1072">
        <v>202110</v>
      </c>
      <c r="G1072" t="s">
        <v>178</v>
      </c>
      <c r="H1072">
        <v>1284</v>
      </c>
      <c r="O1072">
        <v>5352</v>
      </c>
      <c r="P1072" t="s">
        <v>2625</v>
      </c>
      <c r="Q1072">
        <v>5697</v>
      </c>
      <c r="R1072" t="s">
        <v>2344</v>
      </c>
      <c r="S1072" t="s">
        <v>2036</v>
      </c>
      <c r="T1072">
        <v>202206</v>
      </c>
      <c r="U1072" t="s">
        <v>191</v>
      </c>
      <c r="V1072">
        <v>72625</v>
      </c>
    </row>
    <row r="1073" spans="1:22">
      <c r="A1073">
        <v>5352</v>
      </c>
      <c r="B1073" t="s">
        <v>2625</v>
      </c>
      <c r="C1073">
        <v>5697</v>
      </c>
      <c r="D1073" t="s">
        <v>2344</v>
      </c>
      <c r="E1073" t="s">
        <v>2036</v>
      </c>
      <c r="F1073">
        <v>202110</v>
      </c>
      <c r="G1073" t="s">
        <v>180</v>
      </c>
      <c r="H1073">
        <v>1332</v>
      </c>
      <c r="O1073">
        <v>5352</v>
      </c>
      <c r="P1073" t="s">
        <v>2625</v>
      </c>
      <c r="Q1073">
        <v>5697</v>
      </c>
      <c r="R1073" t="s">
        <v>2344</v>
      </c>
      <c r="S1073" t="s">
        <v>2036</v>
      </c>
      <c r="T1073">
        <v>202206</v>
      </c>
      <c r="U1073" t="s">
        <v>178</v>
      </c>
      <c r="V1073">
        <v>1670</v>
      </c>
    </row>
    <row r="1074" spans="1:22">
      <c r="A1074">
        <v>5352</v>
      </c>
      <c r="B1074" t="s">
        <v>2625</v>
      </c>
      <c r="C1074">
        <v>5697</v>
      </c>
      <c r="D1074" t="s">
        <v>2344</v>
      </c>
      <c r="E1074" t="s">
        <v>2036</v>
      </c>
      <c r="F1074">
        <v>202110</v>
      </c>
      <c r="G1074" t="s">
        <v>182</v>
      </c>
      <c r="H1074">
        <v>486955</v>
      </c>
      <c r="O1074">
        <v>5352</v>
      </c>
      <c r="P1074" t="s">
        <v>2625</v>
      </c>
      <c r="Q1074">
        <v>5697</v>
      </c>
      <c r="R1074" t="s">
        <v>2344</v>
      </c>
      <c r="S1074" t="s">
        <v>2036</v>
      </c>
      <c r="T1074">
        <v>202206</v>
      </c>
      <c r="U1074" t="s">
        <v>180</v>
      </c>
      <c r="V1074">
        <v>1670</v>
      </c>
    </row>
    <row r="1075" spans="1:22">
      <c r="A1075">
        <v>5352</v>
      </c>
      <c r="B1075" t="s">
        <v>2625</v>
      </c>
      <c r="C1075">
        <v>5697</v>
      </c>
      <c r="D1075" t="s">
        <v>2344</v>
      </c>
      <c r="E1075" t="s">
        <v>2036</v>
      </c>
      <c r="F1075">
        <v>202110</v>
      </c>
      <c r="G1075" t="s">
        <v>184</v>
      </c>
      <c r="H1075">
        <v>70427</v>
      </c>
      <c r="O1075">
        <v>5352</v>
      </c>
      <c r="P1075" t="s">
        <v>2625</v>
      </c>
      <c r="Q1075">
        <v>5697</v>
      </c>
      <c r="R1075" t="s">
        <v>2344</v>
      </c>
      <c r="S1075" t="s">
        <v>2036</v>
      </c>
      <c r="T1075">
        <v>202206</v>
      </c>
      <c r="U1075" t="s">
        <v>182</v>
      </c>
      <c r="V1075">
        <v>487822</v>
      </c>
    </row>
    <row r="1076" spans="1:22">
      <c r="A1076">
        <v>5352</v>
      </c>
      <c r="B1076" t="s">
        <v>2625</v>
      </c>
      <c r="C1076">
        <v>5697</v>
      </c>
      <c r="D1076" t="s">
        <v>2344</v>
      </c>
      <c r="E1076" t="s">
        <v>2036</v>
      </c>
      <c r="F1076">
        <v>202110</v>
      </c>
      <c r="G1076" t="s">
        <v>192</v>
      </c>
      <c r="H1076">
        <v>0</v>
      </c>
      <c r="O1076">
        <v>5352</v>
      </c>
      <c r="P1076" t="s">
        <v>2625</v>
      </c>
      <c r="Q1076">
        <v>5697</v>
      </c>
      <c r="R1076" t="s">
        <v>2344</v>
      </c>
      <c r="S1076" t="s">
        <v>2036</v>
      </c>
      <c r="T1076">
        <v>202206</v>
      </c>
      <c r="U1076" t="s">
        <v>184</v>
      </c>
      <c r="V1076">
        <v>72625</v>
      </c>
    </row>
    <row r="1077" spans="1:22">
      <c r="A1077">
        <v>5352</v>
      </c>
      <c r="B1077" t="s">
        <v>2625</v>
      </c>
      <c r="C1077">
        <v>5697</v>
      </c>
      <c r="D1077" t="s">
        <v>2344</v>
      </c>
      <c r="E1077" t="s">
        <v>2036</v>
      </c>
      <c r="F1077">
        <v>202110</v>
      </c>
      <c r="G1077" t="s">
        <v>2170</v>
      </c>
      <c r="H1077">
        <v>3133.28</v>
      </c>
      <c r="O1077">
        <v>5352</v>
      </c>
      <c r="P1077" t="s">
        <v>2625</v>
      </c>
      <c r="Q1077">
        <v>5697</v>
      </c>
      <c r="R1077" t="s">
        <v>2344</v>
      </c>
      <c r="S1077" t="s">
        <v>2036</v>
      </c>
      <c r="T1077">
        <v>202206</v>
      </c>
      <c r="U1077" t="s">
        <v>186</v>
      </c>
      <c r="V1077">
        <v>0</v>
      </c>
    </row>
    <row r="1078" spans="1:22">
      <c r="A1078">
        <v>5352</v>
      </c>
      <c r="B1078" t="s">
        <v>2625</v>
      </c>
      <c r="C1078">
        <v>5697</v>
      </c>
      <c r="D1078" t="s">
        <v>2344</v>
      </c>
      <c r="E1078" t="s">
        <v>2036</v>
      </c>
      <c r="F1078">
        <v>202110</v>
      </c>
      <c r="G1078" t="s">
        <v>186</v>
      </c>
      <c r="H1078">
        <v>0</v>
      </c>
      <c r="O1078">
        <v>5352</v>
      </c>
      <c r="P1078" t="s">
        <v>2625</v>
      </c>
      <c r="Q1078">
        <v>5697</v>
      </c>
      <c r="R1078" t="s">
        <v>2344</v>
      </c>
      <c r="S1078" t="s">
        <v>2036</v>
      </c>
      <c r="T1078">
        <v>202206</v>
      </c>
      <c r="U1078" t="s">
        <v>190</v>
      </c>
      <c r="V1078">
        <v>661892</v>
      </c>
    </row>
    <row r="1079" spans="1:22">
      <c r="A1079">
        <v>5352</v>
      </c>
      <c r="B1079" t="s">
        <v>2625</v>
      </c>
      <c r="C1079">
        <v>5697</v>
      </c>
      <c r="D1079" t="s">
        <v>2344</v>
      </c>
      <c r="E1079" t="s">
        <v>2036</v>
      </c>
      <c r="F1079">
        <v>202110</v>
      </c>
      <c r="G1079" t="s">
        <v>2169</v>
      </c>
      <c r="H1079">
        <v>99.17</v>
      </c>
      <c r="O1079">
        <v>5352</v>
      </c>
      <c r="P1079" t="s">
        <v>2625</v>
      </c>
      <c r="Q1079">
        <v>5697</v>
      </c>
      <c r="R1079" t="s">
        <v>2344</v>
      </c>
      <c r="S1079" t="s">
        <v>2036</v>
      </c>
      <c r="T1079">
        <v>202206</v>
      </c>
      <c r="U1079" t="s">
        <v>191</v>
      </c>
      <c r="V1079">
        <v>36743</v>
      </c>
    </row>
    <row r="1080" spans="1:22">
      <c r="A1080">
        <v>5352</v>
      </c>
      <c r="B1080" t="s">
        <v>2625</v>
      </c>
      <c r="C1080">
        <v>5697</v>
      </c>
      <c r="D1080" t="s">
        <v>2344</v>
      </c>
      <c r="E1080" t="s">
        <v>2036</v>
      </c>
      <c r="F1080">
        <v>202110</v>
      </c>
      <c r="G1080" t="s">
        <v>2166</v>
      </c>
      <c r="H1080">
        <v>12.33</v>
      </c>
      <c r="O1080">
        <v>5352</v>
      </c>
      <c r="P1080" t="s">
        <v>2625</v>
      </c>
      <c r="Q1080">
        <v>5697</v>
      </c>
      <c r="R1080" t="s">
        <v>2344</v>
      </c>
      <c r="S1080" t="s">
        <v>2036</v>
      </c>
      <c r="T1080">
        <v>202206</v>
      </c>
      <c r="U1080" t="s">
        <v>178</v>
      </c>
      <c r="V1080">
        <v>1450</v>
      </c>
    </row>
    <row r="1081" spans="1:22">
      <c r="A1081">
        <v>5352</v>
      </c>
      <c r="B1081" t="s">
        <v>2625</v>
      </c>
      <c r="C1081">
        <v>5697</v>
      </c>
      <c r="D1081" t="s">
        <v>2344</v>
      </c>
      <c r="E1081" t="s">
        <v>2036</v>
      </c>
      <c r="F1081">
        <v>202110</v>
      </c>
      <c r="G1081" t="s">
        <v>2167</v>
      </c>
      <c r="H1081">
        <v>23.94</v>
      </c>
      <c r="O1081">
        <v>5352</v>
      </c>
      <c r="P1081" t="s">
        <v>2625</v>
      </c>
      <c r="Q1081">
        <v>5697</v>
      </c>
      <c r="R1081" t="s">
        <v>2344</v>
      </c>
      <c r="S1081" t="s">
        <v>2036</v>
      </c>
      <c r="T1081">
        <v>202206</v>
      </c>
      <c r="U1081" t="s">
        <v>180</v>
      </c>
      <c r="V1081">
        <v>1450</v>
      </c>
    </row>
    <row r="1082" spans="1:22">
      <c r="A1082">
        <v>5352</v>
      </c>
      <c r="B1082" t="s">
        <v>2625</v>
      </c>
      <c r="C1082">
        <v>5697</v>
      </c>
      <c r="D1082" t="s">
        <v>2344</v>
      </c>
      <c r="E1082" t="s">
        <v>2036</v>
      </c>
      <c r="F1082">
        <v>202110</v>
      </c>
      <c r="G1082" t="s">
        <v>2168</v>
      </c>
      <c r="H1082">
        <v>10.17</v>
      </c>
      <c r="O1082">
        <v>5352</v>
      </c>
      <c r="P1082" t="s">
        <v>2625</v>
      </c>
      <c r="Q1082">
        <v>5697</v>
      </c>
      <c r="R1082" t="s">
        <v>2344</v>
      </c>
      <c r="S1082" t="s">
        <v>2036</v>
      </c>
      <c r="T1082">
        <v>202206</v>
      </c>
      <c r="U1082" t="s">
        <v>182</v>
      </c>
      <c r="V1082">
        <v>661892</v>
      </c>
    </row>
    <row r="1083" spans="1:22">
      <c r="A1083">
        <v>5352</v>
      </c>
      <c r="B1083" t="s">
        <v>2625</v>
      </c>
      <c r="C1083">
        <v>5697</v>
      </c>
      <c r="D1083" t="s">
        <v>2344</v>
      </c>
      <c r="E1083" t="s">
        <v>2036</v>
      </c>
      <c r="F1083">
        <v>202110</v>
      </c>
      <c r="G1083" t="s">
        <v>2171</v>
      </c>
      <c r="H1083">
        <v>119591.56</v>
      </c>
      <c r="O1083">
        <v>5352</v>
      </c>
      <c r="P1083" t="s">
        <v>2625</v>
      </c>
      <c r="Q1083">
        <v>5697</v>
      </c>
      <c r="R1083" t="s">
        <v>2344</v>
      </c>
      <c r="S1083" t="s">
        <v>2036</v>
      </c>
      <c r="T1083">
        <v>202206</v>
      </c>
      <c r="U1083" t="s">
        <v>184</v>
      </c>
      <c r="V1083">
        <v>36743</v>
      </c>
    </row>
    <row r="1084" spans="1:22">
      <c r="A1084">
        <v>5352</v>
      </c>
      <c r="B1084" t="s">
        <v>2625</v>
      </c>
      <c r="C1084">
        <v>5697</v>
      </c>
      <c r="D1084" t="s">
        <v>2344</v>
      </c>
      <c r="E1084" t="s">
        <v>2036</v>
      </c>
      <c r="F1084">
        <v>202110</v>
      </c>
      <c r="G1084" t="s">
        <v>190</v>
      </c>
      <c r="H1084">
        <v>85061</v>
      </c>
      <c r="O1084">
        <v>5352</v>
      </c>
      <c r="P1084" t="s">
        <v>2625</v>
      </c>
      <c r="Q1084">
        <v>5697</v>
      </c>
      <c r="R1084" t="s">
        <v>2344</v>
      </c>
      <c r="S1084" t="s">
        <v>2036</v>
      </c>
      <c r="T1084">
        <v>202206</v>
      </c>
      <c r="U1084" t="s">
        <v>186</v>
      </c>
      <c r="V1084">
        <v>0</v>
      </c>
    </row>
    <row r="1085" spans="1:22">
      <c r="A1085">
        <v>5352</v>
      </c>
      <c r="B1085" t="s">
        <v>2625</v>
      </c>
      <c r="C1085">
        <v>5697</v>
      </c>
      <c r="D1085" t="s">
        <v>2344</v>
      </c>
      <c r="E1085" t="s">
        <v>2036</v>
      </c>
      <c r="F1085">
        <v>202110</v>
      </c>
      <c r="G1085" t="s">
        <v>191</v>
      </c>
      <c r="H1085">
        <v>13460</v>
      </c>
      <c r="O1085">
        <v>5352</v>
      </c>
      <c r="P1085" t="s">
        <v>2625</v>
      </c>
      <c r="Q1085">
        <v>5697</v>
      </c>
      <c r="R1085" t="s">
        <v>2344</v>
      </c>
      <c r="S1085" t="s">
        <v>2036</v>
      </c>
      <c r="T1085">
        <v>202206</v>
      </c>
      <c r="U1085" t="s">
        <v>190</v>
      </c>
      <c r="V1085">
        <v>802781</v>
      </c>
    </row>
    <row r="1086" spans="1:22">
      <c r="A1086">
        <v>5352</v>
      </c>
      <c r="B1086" t="s">
        <v>2625</v>
      </c>
      <c r="C1086">
        <v>5697</v>
      </c>
      <c r="D1086" t="s">
        <v>2344</v>
      </c>
      <c r="E1086" t="s">
        <v>2036</v>
      </c>
      <c r="F1086">
        <v>202110</v>
      </c>
      <c r="G1086" t="s">
        <v>176</v>
      </c>
      <c r="H1086">
        <v>0</v>
      </c>
      <c r="O1086">
        <v>5352</v>
      </c>
      <c r="P1086" t="s">
        <v>2625</v>
      </c>
      <c r="Q1086">
        <v>5697</v>
      </c>
      <c r="R1086" t="s">
        <v>2344</v>
      </c>
      <c r="S1086" t="s">
        <v>2036</v>
      </c>
      <c r="T1086">
        <v>202206</v>
      </c>
      <c r="U1086" t="s">
        <v>191</v>
      </c>
      <c r="V1086">
        <v>132576</v>
      </c>
    </row>
    <row r="1087" spans="1:22">
      <c r="A1087">
        <v>5352</v>
      </c>
      <c r="B1087" t="s">
        <v>2625</v>
      </c>
      <c r="C1087">
        <v>5697</v>
      </c>
      <c r="D1087" t="s">
        <v>2344</v>
      </c>
      <c r="E1087" t="s">
        <v>2036</v>
      </c>
      <c r="F1087">
        <v>202110</v>
      </c>
      <c r="G1087" t="s">
        <v>178</v>
      </c>
      <c r="H1087">
        <v>350</v>
      </c>
      <c r="O1087">
        <v>5352</v>
      </c>
      <c r="P1087" t="s">
        <v>2625</v>
      </c>
      <c r="Q1087">
        <v>5697</v>
      </c>
      <c r="R1087" t="s">
        <v>2344</v>
      </c>
      <c r="S1087" t="s">
        <v>2036</v>
      </c>
      <c r="T1087">
        <v>202206</v>
      </c>
      <c r="U1087" t="s">
        <v>178</v>
      </c>
      <c r="V1087">
        <v>2750</v>
      </c>
    </row>
    <row r="1088" spans="1:22">
      <c r="A1088">
        <v>5352</v>
      </c>
      <c r="B1088" t="s">
        <v>2625</v>
      </c>
      <c r="C1088">
        <v>5697</v>
      </c>
      <c r="D1088" t="s">
        <v>2344</v>
      </c>
      <c r="E1088" t="s">
        <v>2036</v>
      </c>
      <c r="F1088">
        <v>202110</v>
      </c>
      <c r="G1088" t="s">
        <v>180</v>
      </c>
      <c r="H1088">
        <v>350</v>
      </c>
      <c r="O1088">
        <v>5352</v>
      </c>
      <c r="P1088" t="s">
        <v>2625</v>
      </c>
      <c r="Q1088">
        <v>5697</v>
      </c>
      <c r="R1088" t="s">
        <v>2344</v>
      </c>
      <c r="S1088" t="s">
        <v>2036</v>
      </c>
      <c r="T1088">
        <v>202206</v>
      </c>
      <c r="U1088" t="s">
        <v>180</v>
      </c>
      <c r="V1088">
        <v>2750</v>
      </c>
    </row>
    <row r="1089" spans="1:22">
      <c r="A1089">
        <v>5352</v>
      </c>
      <c r="B1089" t="s">
        <v>2625</v>
      </c>
      <c r="C1089">
        <v>5697</v>
      </c>
      <c r="D1089" t="s">
        <v>2344</v>
      </c>
      <c r="E1089" t="s">
        <v>2036</v>
      </c>
      <c r="F1089">
        <v>202110</v>
      </c>
      <c r="G1089" t="s">
        <v>182</v>
      </c>
      <c r="H1089">
        <v>85061</v>
      </c>
      <c r="O1089">
        <v>5352</v>
      </c>
      <c r="P1089" t="s">
        <v>2625</v>
      </c>
      <c r="Q1089">
        <v>5697</v>
      </c>
      <c r="R1089" t="s">
        <v>2344</v>
      </c>
      <c r="S1089" t="s">
        <v>2036</v>
      </c>
      <c r="T1089">
        <v>202206</v>
      </c>
      <c r="U1089" t="s">
        <v>182</v>
      </c>
      <c r="V1089">
        <v>874968</v>
      </c>
    </row>
    <row r="1090" spans="1:22">
      <c r="A1090">
        <v>5352</v>
      </c>
      <c r="B1090" t="s">
        <v>2625</v>
      </c>
      <c r="C1090">
        <v>5697</v>
      </c>
      <c r="D1090" t="s">
        <v>2344</v>
      </c>
      <c r="E1090" t="s">
        <v>2036</v>
      </c>
      <c r="F1090">
        <v>202110</v>
      </c>
      <c r="G1090" t="s">
        <v>184</v>
      </c>
      <c r="H1090">
        <v>13460</v>
      </c>
      <c r="O1090">
        <v>5352</v>
      </c>
      <c r="P1090" t="s">
        <v>2625</v>
      </c>
      <c r="Q1090">
        <v>5697</v>
      </c>
      <c r="R1090" t="s">
        <v>2344</v>
      </c>
      <c r="S1090" t="s">
        <v>2036</v>
      </c>
      <c r="T1090">
        <v>202206</v>
      </c>
      <c r="U1090" t="s">
        <v>184</v>
      </c>
      <c r="V1090">
        <v>132576</v>
      </c>
    </row>
    <row r="1091" spans="1:22">
      <c r="A1091">
        <v>5352</v>
      </c>
      <c r="B1091" t="s">
        <v>2625</v>
      </c>
      <c r="C1091">
        <v>5697</v>
      </c>
      <c r="D1091" t="s">
        <v>2344</v>
      </c>
      <c r="E1091" t="s">
        <v>2036</v>
      </c>
      <c r="F1091">
        <v>202110</v>
      </c>
      <c r="G1091" t="s">
        <v>192</v>
      </c>
      <c r="H1091">
        <v>0</v>
      </c>
      <c r="O1091">
        <v>5352</v>
      </c>
      <c r="P1091" t="s">
        <v>2625</v>
      </c>
      <c r="Q1091">
        <v>5697</v>
      </c>
      <c r="R1091" t="s">
        <v>2344</v>
      </c>
      <c r="S1091" t="s">
        <v>2036</v>
      </c>
      <c r="T1091">
        <v>202206</v>
      </c>
      <c r="U1091" t="s">
        <v>186</v>
      </c>
      <c r="V1091">
        <v>72187</v>
      </c>
    </row>
    <row r="1092" spans="1:22">
      <c r="A1092">
        <v>5352</v>
      </c>
      <c r="B1092" t="s">
        <v>2625</v>
      </c>
      <c r="C1092">
        <v>5697</v>
      </c>
      <c r="D1092" t="s">
        <v>2344</v>
      </c>
      <c r="E1092" t="s">
        <v>2036</v>
      </c>
      <c r="F1092">
        <v>202110</v>
      </c>
      <c r="G1092" t="s">
        <v>2170</v>
      </c>
      <c r="H1092">
        <v>638.1</v>
      </c>
      <c r="O1092">
        <v>5352</v>
      </c>
      <c r="P1092" t="s">
        <v>2625</v>
      </c>
      <c r="Q1092">
        <v>5697</v>
      </c>
      <c r="R1092" t="s">
        <v>2344</v>
      </c>
      <c r="S1092" t="s">
        <v>2036</v>
      </c>
      <c r="T1092">
        <v>202206</v>
      </c>
      <c r="U1092" t="s">
        <v>190</v>
      </c>
      <c r="V1092">
        <v>129662</v>
      </c>
    </row>
    <row r="1093" spans="1:22">
      <c r="A1093">
        <v>5352</v>
      </c>
      <c r="B1093" t="s">
        <v>2625</v>
      </c>
      <c r="C1093">
        <v>5697</v>
      </c>
      <c r="D1093" t="s">
        <v>2344</v>
      </c>
      <c r="E1093" t="s">
        <v>2036</v>
      </c>
      <c r="F1093">
        <v>202110</v>
      </c>
      <c r="G1093" t="s">
        <v>186</v>
      </c>
      <c r="H1093">
        <v>0</v>
      </c>
      <c r="O1093">
        <v>5352</v>
      </c>
      <c r="P1093" t="s">
        <v>2625</v>
      </c>
      <c r="Q1093">
        <v>5697</v>
      </c>
      <c r="R1093" t="s">
        <v>2344</v>
      </c>
      <c r="S1093" t="s">
        <v>2036</v>
      </c>
      <c r="T1093">
        <v>202206</v>
      </c>
      <c r="U1093" t="s">
        <v>191</v>
      </c>
      <c r="V1093">
        <v>17372</v>
      </c>
    </row>
    <row r="1094" spans="1:22">
      <c r="A1094">
        <v>5352</v>
      </c>
      <c r="B1094" t="s">
        <v>2625</v>
      </c>
      <c r="C1094">
        <v>5697</v>
      </c>
      <c r="D1094" t="s">
        <v>2344</v>
      </c>
      <c r="E1094" t="s">
        <v>2036</v>
      </c>
      <c r="F1094">
        <v>202110</v>
      </c>
      <c r="G1094" t="s">
        <v>2169</v>
      </c>
      <c r="H1094">
        <v>99.17</v>
      </c>
      <c r="O1094">
        <v>5352</v>
      </c>
      <c r="P1094" t="s">
        <v>2625</v>
      </c>
      <c r="Q1094">
        <v>5697</v>
      </c>
      <c r="R1094" t="s">
        <v>2344</v>
      </c>
      <c r="S1094" t="s">
        <v>2036</v>
      </c>
      <c r="T1094">
        <v>202206</v>
      </c>
      <c r="U1094" t="s">
        <v>178</v>
      </c>
      <c r="V1094">
        <v>450</v>
      </c>
    </row>
    <row r="1095" spans="1:22">
      <c r="A1095">
        <v>5352</v>
      </c>
      <c r="B1095" t="s">
        <v>2625</v>
      </c>
      <c r="C1095">
        <v>5697</v>
      </c>
      <c r="D1095" t="s">
        <v>2344</v>
      </c>
      <c r="E1095" t="s">
        <v>2036</v>
      </c>
      <c r="F1095">
        <v>202110</v>
      </c>
      <c r="G1095" t="s">
        <v>2166</v>
      </c>
      <c r="H1095">
        <v>12.33</v>
      </c>
      <c r="O1095">
        <v>5352</v>
      </c>
      <c r="P1095" t="s">
        <v>2625</v>
      </c>
      <c r="Q1095">
        <v>5697</v>
      </c>
      <c r="R1095" t="s">
        <v>2344</v>
      </c>
      <c r="S1095" t="s">
        <v>2036</v>
      </c>
      <c r="T1095">
        <v>202206</v>
      </c>
      <c r="U1095" t="s">
        <v>180</v>
      </c>
      <c r="V1095">
        <v>450</v>
      </c>
    </row>
    <row r="1096" spans="1:22">
      <c r="A1096">
        <v>5352</v>
      </c>
      <c r="B1096" t="s">
        <v>2625</v>
      </c>
      <c r="C1096">
        <v>5697</v>
      </c>
      <c r="D1096" t="s">
        <v>2344</v>
      </c>
      <c r="E1096" t="s">
        <v>2036</v>
      </c>
      <c r="F1096">
        <v>202110</v>
      </c>
      <c r="G1096" t="s">
        <v>2167</v>
      </c>
      <c r="H1096">
        <v>23.94</v>
      </c>
      <c r="O1096">
        <v>5352</v>
      </c>
      <c r="P1096" t="s">
        <v>2625</v>
      </c>
      <c r="Q1096">
        <v>5697</v>
      </c>
      <c r="R1096" t="s">
        <v>2344</v>
      </c>
      <c r="S1096" t="s">
        <v>2036</v>
      </c>
      <c r="T1096">
        <v>202206</v>
      </c>
      <c r="U1096" t="s">
        <v>182</v>
      </c>
      <c r="V1096">
        <v>129662</v>
      </c>
    </row>
    <row r="1097" spans="1:22">
      <c r="A1097">
        <v>5352</v>
      </c>
      <c r="B1097" t="s">
        <v>2625</v>
      </c>
      <c r="C1097">
        <v>5697</v>
      </c>
      <c r="D1097" t="s">
        <v>2344</v>
      </c>
      <c r="E1097" t="s">
        <v>2036</v>
      </c>
      <c r="F1097">
        <v>202110</v>
      </c>
      <c r="G1097" t="s">
        <v>2168</v>
      </c>
      <c r="H1097">
        <v>10.17</v>
      </c>
      <c r="O1097">
        <v>5352</v>
      </c>
      <c r="P1097" t="s">
        <v>2625</v>
      </c>
      <c r="Q1097">
        <v>5697</v>
      </c>
      <c r="R1097" t="s">
        <v>2344</v>
      </c>
      <c r="S1097" t="s">
        <v>2036</v>
      </c>
      <c r="T1097">
        <v>202206</v>
      </c>
      <c r="U1097" t="s">
        <v>184</v>
      </c>
      <c r="V1097">
        <v>17372</v>
      </c>
    </row>
    <row r="1098" spans="1:22">
      <c r="A1098">
        <v>5352</v>
      </c>
      <c r="B1098" t="s">
        <v>2625</v>
      </c>
      <c r="C1098">
        <v>5697</v>
      </c>
      <c r="D1098" t="s">
        <v>2344</v>
      </c>
      <c r="E1098" t="s">
        <v>2036</v>
      </c>
      <c r="F1098">
        <v>202110</v>
      </c>
      <c r="G1098" t="s">
        <v>2171</v>
      </c>
      <c r="H1098">
        <v>24355.23</v>
      </c>
      <c r="O1098">
        <v>5352</v>
      </c>
      <c r="P1098" t="s">
        <v>2625</v>
      </c>
      <c r="Q1098">
        <v>5697</v>
      </c>
      <c r="R1098" t="s">
        <v>2344</v>
      </c>
      <c r="S1098" t="s">
        <v>2036</v>
      </c>
      <c r="T1098">
        <v>202206</v>
      </c>
      <c r="U1098" t="s">
        <v>186</v>
      </c>
      <c r="V1098">
        <v>0</v>
      </c>
    </row>
    <row r="1099" spans="1:22">
      <c r="A1099">
        <v>5352</v>
      </c>
      <c r="B1099" t="s">
        <v>2625</v>
      </c>
      <c r="C1099">
        <v>5697</v>
      </c>
      <c r="D1099" t="s">
        <v>2344</v>
      </c>
      <c r="E1099" t="s">
        <v>2036</v>
      </c>
      <c r="F1099">
        <v>202110</v>
      </c>
      <c r="G1099" t="s">
        <v>190</v>
      </c>
      <c r="H1099">
        <v>170801</v>
      </c>
      <c r="O1099">
        <v>5352</v>
      </c>
      <c r="P1099" t="s">
        <v>2625</v>
      </c>
      <c r="Q1099">
        <v>5697</v>
      </c>
      <c r="R1099" t="s">
        <v>2344</v>
      </c>
      <c r="S1099" t="s">
        <v>2036</v>
      </c>
      <c r="T1099">
        <v>202206</v>
      </c>
      <c r="U1099" t="s">
        <v>190</v>
      </c>
      <c r="V1099">
        <v>196821</v>
      </c>
    </row>
    <row r="1100" spans="1:22">
      <c r="A1100">
        <v>5352</v>
      </c>
      <c r="B1100" t="s">
        <v>2625</v>
      </c>
      <c r="C1100">
        <v>5697</v>
      </c>
      <c r="D1100" t="s">
        <v>2344</v>
      </c>
      <c r="E1100" t="s">
        <v>2036</v>
      </c>
      <c r="F1100">
        <v>202110</v>
      </c>
      <c r="G1100" t="s">
        <v>191</v>
      </c>
      <c r="H1100">
        <v>26028</v>
      </c>
      <c r="O1100">
        <v>5352</v>
      </c>
      <c r="P1100" t="s">
        <v>2625</v>
      </c>
      <c r="Q1100">
        <v>5697</v>
      </c>
      <c r="R1100" t="s">
        <v>2344</v>
      </c>
      <c r="S1100" t="s">
        <v>2036</v>
      </c>
      <c r="T1100">
        <v>202206</v>
      </c>
      <c r="U1100" t="s">
        <v>191</v>
      </c>
      <c r="V1100">
        <v>30289</v>
      </c>
    </row>
    <row r="1101" spans="1:22">
      <c r="A1101">
        <v>5352</v>
      </c>
      <c r="B1101" t="s">
        <v>2625</v>
      </c>
      <c r="C1101">
        <v>5697</v>
      </c>
      <c r="D1101" t="s">
        <v>2344</v>
      </c>
      <c r="E1101" t="s">
        <v>2036</v>
      </c>
      <c r="F1101">
        <v>202110</v>
      </c>
      <c r="G1101" t="s">
        <v>176</v>
      </c>
      <c r="H1101">
        <v>0</v>
      </c>
      <c r="O1101">
        <v>5352</v>
      </c>
      <c r="P1101" t="s">
        <v>2625</v>
      </c>
      <c r="Q1101">
        <v>5697</v>
      </c>
      <c r="R1101" t="s">
        <v>2344</v>
      </c>
      <c r="S1101" t="s">
        <v>2036</v>
      </c>
      <c r="T1101">
        <v>202206</v>
      </c>
      <c r="U1101" t="s">
        <v>178</v>
      </c>
      <c r="V1101">
        <v>700</v>
      </c>
    </row>
    <row r="1102" spans="1:22">
      <c r="A1102">
        <v>5352</v>
      </c>
      <c r="B1102" t="s">
        <v>2625</v>
      </c>
      <c r="C1102">
        <v>5697</v>
      </c>
      <c r="D1102" t="s">
        <v>2344</v>
      </c>
      <c r="E1102" t="s">
        <v>2036</v>
      </c>
      <c r="F1102">
        <v>202110</v>
      </c>
      <c r="G1102" t="s">
        <v>178</v>
      </c>
      <c r="H1102">
        <v>579</v>
      </c>
      <c r="O1102">
        <v>5352</v>
      </c>
      <c r="P1102" t="s">
        <v>2625</v>
      </c>
      <c r="Q1102">
        <v>5697</v>
      </c>
      <c r="R1102" t="s">
        <v>2344</v>
      </c>
      <c r="S1102" t="s">
        <v>2036</v>
      </c>
      <c r="T1102">
        <v>202206</v>
      </c>
      <c r="U1102" t="s">
        <v>180</v>
      </c>
      <c r="V1102">
        <v>629</v>
      </c>
    </row>
    <row r="1103" spans="1:22">
      <c r="A1103">
        <v>5352</v>
      </c>
      <c r="B1103" t="s">
        <v>2625</v>
      </c>
      <c r="C1103">
        <v>5697</v>
      </c>
      <c r="D1103" t="s">
        <v>2344</v>
      </c>
      <c r="E1103" t="s">
        <v>2036</v>
      </c>
      <c r="F1103">
        <v>202110</v>
      </c>
      <c r="G1103" t="s">
        <v>180</v>
      </c>
      <c r="H1103">
        <v>560</v>
      </c>
      <c r="O1103">
        <v>5352</v>
      </c>
      <c r="P1103" t="s">
        <v>2625</v>
      </c>
      <c r="Q1103">
        <v>5697</v>
      </c>
      <c r="R1103" t="s">
        <v>2344</v>
      </c>
      <c r="S1103" t="s">
        <v>2036</v>
      </c>
      <c r="T1103">
        <v>202206</v>
      </c>
      <c r="U1103" t="s">
        <v>182</v>
      </c>
      <c r="V1103">
        <v>196821</v>
      </c>
    </row>
    <row r="1104" spans="1:22">
      <c r="A1104">
        <v>5352</v>
      </c>
      <c r="B1104" t="s">
        <v>2625</v>
      </c>
      <c r="C1104">
        <v>5697</v>
      </c>
      <c r="D1104" t="s">
        <v>2344</v>
      </c>
      <c r="E1104" t="s">
        <v>2036</v>
      </c>
      <c r="F1104">
        <v>202110</v>
      </c>
      <c r="G1104" t="s">
        <v>182</v>
      </c>
      <c r="H1104">
        <v>170801</v>
      </c>
      <c r="O1104">
        <v>5352</v>
      </c>
      <c r="P1104" t="s">
        <v>2625</v>
      </c>
      <c r="Q1104">
        <v>5697</v>
      </c>
      <c r="R1104" t="s">
        <v>2344</v>
      </c>
      <c r="S1104" t="s">
        <v>2036</v>
      </c>
      <c r="T1104">
        <v>202206</v>
      </c>
      <c r="U1104" t="s">
        <v>184</v>
      </c>
      <c r="V1104">
        <v>30289</v>
      </c>
    </row>
    <row r="1105" spans="1:22">
      <c r="A1105">
        <v>5352</v>
      </c>
      <c r="B1105" t="s">
        <v>2625</v>
      </c>
      <c r="C1105">
        <v>5697</v>
      </c>
      <c r="D1105" t="s">
        <v>2344</v>
      </c>
      <c r="E1105" t="s">
        <v>2036</v>
      </c>
      <c r="F1105">
        <v>202110</v>
      </c>
      <c r="G1105" t="s">
        <v>184</v>
      </c>
      <c r="H1105">
        <v>26028</v>
      </c>
      <c r="O1105">
        <v>5352</v>
      </c>
      <c r="P1105" t="s">
        <v>2625</v>
      </c>
      <c r="Q1105">
        <v>5697</v>
      </c>
      <c r="R1105" t="s">
        <v>2344</v>
      </c>
      <c r="S1105" t="s">
        <v>2036</v>
      </c>
      <c r="T1105">
        <v>202206</v>
      </c>
      <c r="U1105" t="s">
        <v>186</v>
      </c>
      <c r="V1105">
        <v>0</v>
      </c>
    </row>
    <row r="1106" spans="1:22">
      <c r="A1106">
        <v>5352</v>
      </c>
      <c r="B1106" t="s">
        <v>2625</v>
      </c>
      <c r="C1106">
        <v>5697</v>
      </c>
      <c r="D1106" t="s">
        <v>2344</v>
      </c>
      <c r="E1106" t="s">
        <v>2036</v>
      </c>
      <c r="F1106">
        <v>202110</v>
      </c>
      <c r="G1106" t="s">
        <v>192</v>
      </c>
      <c r="H1106">
        <v>0</v>
      </c>
      <c r="O1106">
        <v>5352</v>
      </c>
      <c r="P1106" t="s">
        <v>2625</v>
      </c>
      <c r="Q1106">
        <v>5697</v>
      </c>
      <c r="R1106" t="s">
        <v>2344</v>
      </c>
      <c r="S1106" t="s">
        <v>2036</v>
      </c>
      <c r="T1106">
        <v>202206</v>
      </c>
      <c r="U1106" t="s">
        <v>190</v>
      </c>
      <c r="V1106">
        <v>253421</v>
      </c>
    </row>
    <row r="1107" spans="1:22">
      <c r="A1107">
        <v>5352</v>
      </c>
      <c r="B1107" t="s">
        <v>2625</v>
      </c>
      <c r="C1107">
        <v>5697</v>
      </c>
      <c r="D1107" t="s">
        <v>2344</v>
      </c>
      <c r="E1107" t="s">
        <v>2036</v>
      </c>
      <c r="F1107">
        <v>202110</v>
      </c>
      <c r="G1107" t="s">
        <v>2170</v>
      </c>
      <c r="H1107">
        <v>1145.54</v>
      </c>
      <c r="O1107">
        <v>5352</v>
      </c>
      <c r="P1107" t="s">
        <v>2625</v>
      </c>
      <c r="Q1107">
        <v>5697</v>
      </c>
      <c r="R1107" t="s">
        <v>2344</v>
      </c>
      <c r="S1107" t="s">
        <v>2036</v>
      </c>
      <c r="T1107">
        <v>202206</v>
      </c>
      <c r="U1107" t="s">
        <v>191</v>
      </c>
      <c r="V1107">
        <v>37033</v>
      </c>
    </row>
    <row r="1108" spans="1:22">
      <c r="A1108">
        <v>5352</v>
      </c>
      <c r="B1108" t="s">
        <v>2625</v>
      </c>
      <c r="C1108">
        <v>5697</v>
      </c>
      <c r="D1108" t="s">
        <v>2344</v>
      </c>
      <c r="E1108" t="s">
        <v>2036</v>
      </c>
      <c r="F1108">
        <v>202110</v>
      </c>
      <c r="G1108" t="s">
        <v>186</v>
      </c>
      <c r="H1108">
        <v>0</v>
      </c>
      <c r="O1108">
        <v>5352</v>
      </c>
      <c r="P1108" t="s">
        <v>2625</v>
      </c>
      <c r="Q1108">
        <v>5697</v>
      </c>
      <c r="R1108" t="s">
        <v>2344</v>
      </c>
      <c r="S1108" t="s">
        <v>2036</v>
      </c>
      <c r="T1108">
        <v>202206</v>
      </c>
      <c r="U1108" t="s">
        <v>178</v>
      </c>
      <c r="V1108">
        <v>970</v>
      </c>
    </row>
    <row r="1109" spans="1:22">
      <c r="A1109">
        <v>5352</v>
      </c>
      <c r="B1109" t="s">
        <v>2625</v>
      </c>
      <c r="C1109">
        <v>5697</v>
      </c>
      <c r="D1109" t="s">
        <v>2344</v>
      </c>
      <c r="E1109" t="s">
        <v>2036</v>
      </c>
      <c r="F1109">
        <v>202110</v>
      </c>
      <c r="G1109" t="s">
        <v>2169</v>
      </c>
      <c r="H1109">
        <v>99.17</v>
      </c>
      <c r="O1109">
        <v>5352</v>
      </c>
      <c r="P1109" t="s">
        <v>2625</v>
      </c>
      <c r="Q1109">
        <v>5697</v>
      </c>
      <c r="R1109" t="s">
        <v>2344</v>
      </c>
      <c r="S1109" t="s">
        <v>2036</v>
      </c>
      <c r="T1109">
        <v>202206</v>
      </c>
      <c r="U1109" t="s">
        <v>180</v>
      </c>
      <c r="V1109">
        <v>970</v>
      </c>
    </row>
    <row r="1110" spans="1:22">
      <c r="A1110">
        <v>5352</v>
      </c>
      <c r="B1110" t="s">
        <v>2625</v>
      </c>
      <c r="C1110">
        <v>5697</v>
      </c>
      <c r="D1110" t="s">
        <v>2344</v>
      </c>
      <c r="E1110" t="s">
        <v>2036</v>
      </c>
      <c r="F1110">
        <v>202110</v>
      </c>
      <c r="G1110" t="s">
        <v>2166</v>
      </c>
      <c r="H1110">
        <v>12.33</v>
      </c>
      <c r="O1110">
        <v>5352</v>
      </c>
      <c r="P1110" t="s">
        <v>2625</v>
      </c>
      <c r="Q1110">
        <v>5697</v>
      </c>
      <c r="R1110" t="s">
        <v>2344</v>
      </c>
      <c r="S1110" t="s">
        <v>2036</v>
      </c>
      <c r="T1110">
        <v>202206</v>
      </c>
      <c r="U1110" t="s">
        <v>182</v>
      </c>
      <c r="V1110">
        <v>253421</v>
      </c>
    </row>
    <row r="1111" spans="1:22">
      <c r="A1111">
        <v>5352</v>
      </c>
      <c r="B1111" t="s">
        <v>2625</v>
      </c>
      <c r="C1111">
        <v>5697</v>
      </c>
      <c r="D1111" t="s">
        <v>2344</v>
      </c>
      <c r="E1111" t="s">
        <v>2036</v>
      </c>
      <c r="F1111">
        <v>202110</v>
      </c>
      <c r="G1111" t="s">
        <v>2167</v>
      </c>
      <c r="H1111">
        <v>23.94</v>
      </c>
      <c r="O1111">
        <v>5352</v>
      </c>
      <c r="P1111" t="s">
        <v>2625</v>
      </c>
      <c r="Q1111">
        <v>5697</v>
      </c>
      <c r="R1111" t="s">
        <v>2344</v>
      </c>
      <c r="S1111" t="s">
        <v>2036</v>
      </c>
      <c r="T1111">
        <v>202206</v>
      </c>
      <c r="U1111" t="s">
        <v>184</v>
      </c>
      <c r="V1111">
        <v>37033</v>
      </c>
    </row>
    <row r="1112" spans="1:22">
      <c r="A1112">
        <v>5352</v>
      </c>
      <c r="B1112" t="s">
        <v>2625</v>
      </c>
      <c r="C1112">
        <v>5697</v>
      </c>
      <c r="D1112" t="s">
        <v>2344</v>
      </c>
      <c r="E1112" t="s">
        <v>2036</v>
      </c>
      <c r="F1112">
        <v>202110</v>
      </c>
      <c r="G1112" t="s">
        <v>2168</v>
      </c>
      <c r="H1112">
        <v>10.17</v>
      </c>
      <c r="O1112">
        <v>5352</v>
      </c>
      <c r="P1112" t="s">
        <v>2625</v>
      </c>
      <c r="Q1112">
        <v>5697</v>
      </c>
      <c r="R1112" t="s">
        <v>2344</v>
      </c>
      <c r="S1112" t="s">
        <v>2036</v>
      </c>
      <c r="T1112">
        <v>202206</v>
      </c>
      <c r="U1112" t="s">
        <v>186</v>
      </c>
      <c r="V1112">
        <v>0</v>
      </c>
    </row>
    <row r="1113" spans="1:22">
      <c r="A1113">
        <v>5352</v>
      </c>
      <c r="B1113" t="s">
        <v>2625</v>
      </c>
      <c r="C1113">
        <v>5697</v>
      </c>
      <c r="D1113" t="s">
        <v>2344</v>
      </c>
      <c r="E1113" t="s">
        <v>2036</v>
      </c>
      <c r="F1113">
        <v>202110</v>
      </c>
      <c r="G1113" t="s">
        <v>2171</v>
      </c>
      <c r="H1113">
        <v>41308.910000000003</v>
      </c>
      <c r="O1113">
        <v>5352</v>
      </c>
      <c r="P1113" t="s">
        <v>2625</v>
      </c>
      <c r="Q1113">
        <v>5697</v>
      </c>
      <c r="R1113" t="s">
        <v>2344</v>
      </c>
      <c r="S1113" t="s">
        <v>2036</v>
      </c>
      <c r="T1113">
        <v>202206</v>
      </c>
      <c r="U1113" t="s">
        <v>190</v>
      </c>
      <c r="V1113">
        <v>84409</v>
      </c>
    </row>
    <row r="1114" spans="1:22">
      <c r="A1114">
        <v>5352</v>
      </c>
      <c r="B1114" t="s">
        <v>2625</v>
      </c>
      <c r="C1114">
        <v>5697</v>
      </c>
      <c r="D1114" t="s">
        <v>2344</v>
      </c>
      <c r="E1114" t="s">
        <v>2036</v>
      </c>
      <c r="F1114">
        <v>202110</v>
      </c>
      <c r="G1114" t="s">
        <v>190</v>
      </c>
      <c r="H1114">
        <v>26758</v>
      </c>
      <c r="O1114">
        <v>5352</v>
      </c>
      <c r="P1114" t="s">
        <v>2625</v>
      </c>
      <c r="Q1114">
        <v>5697</v>
      </c>
      <c r="R1114" t="s">
        <v>2344</v>
      </c>
      <c r="S1114" t="s">
        <v>2036</v>
      </c>
      <c r="T1114">
        <v>202206</v>
      </c>
      <c r="U1114" t="s">
        <v>191</v>
      </c>
      <c r="V1114">
        <v>13114</v>
      </c>
    </row>
    <row r="1115" spans="1:22">
      <c r="A1115">
        <v>5352</v>
      </c>
      <c r="B1115" t="s">
        <v>2625</v>
      </c>
      <c r="C1115">
        <v>5697</v>
      </c>
      <c r="D1115" t="s">
        <v>2344</v>
      </c>
      <c r="E1115" t="s">
        <v>2036</v>
      </c>
      <c r="F1115">
        <v>202110</v>
      </c>
      <c r="G1115" t="s">
        <v>191</v>
      </c>
      <c r="H1115">
        <v>4335</v>
      </c>
      <c r="O1115">
        <v>5352</v>
      </c>
      <c r="P1115" t="s">
        <v>2625</v>
      </c>
      <c r="Q1115">
        <v>5697</v>
      </c>
      <c r="R1115" t="s">
        <v>2344</v>
      </c>
      <c r="S1115" t="s">
        <v>2036</v>
      </c>
      <c r="T1115">
        <v>202206</v>
      </c>
      <c r="U1115" t="s">
        <v>178</v>
      </c>
      <c r="V1115">
        <v>510</v>
      </c>
    </row>
    <row r="1116" spans="1:22">
      <c r="A1116">
        <v>5352</v>
      </c>
      <c r="B1116" t="s">
        <v>2625</v>
      </c>
      <c r="C1116">
        <v>5697</v>
      </c>
      <c r="D1116" t="s">
        <v>2344</v>
      </c>
      <c r="E1116" t="s">
        <v>2036</v>
      </c>
      <c r="F1116">
        <v>202110</v>
      </c>
      <c r="G1116" t="s">
        <v>176</v>
      </c>
      <c r="H1116">
        <v>0</v>
      </c>
      <c r="O1116">
        <v>5352</v>
      </c>
      <c r="P1116" t="s">
        <v>2625</v>
      </c>
      <c r="Q1116">
        <v>5697</v>
      </c>
      <c r="R1116" t="s">
        <v>2344</v>
      </c>
      <c r="S1116" t="s">
        <v>2036</v>
      </c>
      <c r="T1116">
        <v>202206</v>
      </c>
      <c r="U1116" t="s">
        <v>180</v>
      </c>
      <c r="V1116">
        <v>570</v>
      </c>
    </row>
    <row r="1117" spans="1:22">
      <c r="A1117">
        <v>5352</v>
      </c>
      <c r="B1117" t="s">
        <v>2625</v>
      </c>
      <c r="C1117">
        <v>5697</v>
      </c>
      <c r="D1117" t="s">
        <v>2344</v>
      </c>
      <c r="E1117" t="s">
        <v>2036</v>
      </c>
      <c r="F1117">
        <v>202110</v>
      </c>
      <c r="G1117" t="s">
        <v>178</v>
      </c>
      <c r="H1117">
        <v>100</v>
      </c>
      <c r="O1117">
        <v>5352</v>
      </c>
      <c r="P1117" t="s">
        <v>2625</v>
      </c>
      <c r="Q1117">
        <v>5697</v>
      </c>
      <c r="R1117" t="s">
        <v>2344</v>
      </c>
      <c r="S1117" t="s">
        <v>2036</v>
      </c>
      <c r="T1117">
        <v>202206</v>
      </c>
      <c r="U1117" t="s">
        <v>182</v>
      </c>
      <c r="V1117">
        <v>84409</v>
      </c>
    </row>
    <row r="1118" spans="1:22">
      <c r="A1118">
        <v>5352</v>
      </c>
      <c r="B1118" t="s">
        <v>2625</v>
      </c>
      <c r="C1118">
        <v>5697</v>
      </c>
      <c r="D1118" t="s">
        <v>2344</v>
      </c>
      <c r="E1118" t="s">
        <v>2036</v>
      </c>
      <c r="F1118">
        <v>202110</v>
      </c>
      <c r="G1118" t="s">
        <v>180</v>
      </c>
      <c r="H1118">
        <v>112</v>
      </c>
      <c r="O1118">
        <v>5352</v>
      </c>
      <c r="P1118" t="s">
        <v>2625</v>
      </c>
      <c r="Q1118">
        <v>5697</v>
      </c>
      <c r="R1118" t="s">
        <v>2344</v>
      </c>
      <c r="S1118" t="s">
        <v>2036</v>
      </c>
      <c r="T1118">
        <v>202206</v>
      </c>
      <c r="U1118" t="s">
        <v>184</v>
      </c>
      <c r="V1118">
        <v>13114</v>
      </c>
    </row>
    <row r="1119" spans="1:22">
      <c r="A1119">
        <v>5352</v>
      </c>
      <c r="B1119" t="s">
        <v>2625</v>
      </c>
      <c r="C1119">
        <v>5697</v>
      </c>
      <c r="D1119" t="s">
        <v>2344</v>
      </c>
      <c r="E1119" t="s">
        <v>2036</v>
      </c>
      <c r="F1119">
        <v>202110</v>
      </c>
      <c r="G1119" t="s">
        <v>182</v>
      </c>
      <c r="H1119">
        <v>26758</v>
      </c>
      <c r="O1119">
        <v>5352</v>
      </c>
      <c r="P1119" t="s">
        <v>2625</v>
      </c>
      <c r="Q1119">
        <v>5697</v>
      </c>
      <c r="R1119" t="s">
        <v>2344</v>
      </c>
      <c r="S1119" t="s">
        <v>2036</v>
      </c>
      <c r="T1119">
        <v>202206</v>
      </c>
      <c r="U1119" t="s">
        <v>186</v>
      </c>
      <c r="V1119">
        <v>0</v>
      </c>
    </row>
    <row r="1120" spans="1:22">
      <c r="A1120">
        <v>5352</v>
      </c>
      <c r="B1120" t="s">
        <v>2625</v>
      </c>
      <c r="C1120">
        <v>5697</v>
      </c>
      <c r="D1120" t="s">
        <v>2344</v>
      </c>
      <c r="E1120" t="s">
        <v>2036</v>
      </c>
      <c r="F1120">
        <v>202110</v>
      </c>
      <c r="G1120" t="s">
        <v>184</v>
      </c>
      <c r="H1120">
        <v>4335</v>
      </c>
      <c r="O1120">
        <v>5352</v>
      </c>
      <c r="P1120" t="s">
        <v>2625</v>
      </c>
      <c r="Q1120">
        <v>5697</v>
      </c>
      <c r="R1120" t="s">
        <v>2344</v>
      </c>
      <c r="S1120" t="s">
        <v>2036</v>
      </c>
      <c r="T1120">
        <v>202206</v>
      </c>
      <c r="U1120" t="s">
        <v>190</v>
      </c>
      <c r="V1120">
        <v>142939</v>
      </c>
    </row>
    <row r="1121" spans="1:22">
      <c r="A1121">
        <v>5352</v>
      </c>
      <c r="B1121" t="s">
        <v>2625</v>
      </c>
      <c r="C1121">
        <v>5697</v>
      </c>
      <c r="D1121" t="s">
        <v>2344</v>
      </c>
      <c r="E1121" t="s">
        <v>2036</v>
      </c>
      <c r="F1121">
        <v>202110</v>
      </c>
      <c r="G1121" t="s">
        <v>192</v>
      </c>
      <c r="H1121">
        <v>0</v>
      </c>
      <c r="O1121">
        <v>5352</v>
      </c>
      <c r="P1121" t="s">
        <v>2625</v>
      </c>
      <c r="Q1121">
        <v>5697</v>
      </c>
      <c r="R1121" t="s">
        <v>2344</v>
      </c>
      <c r="S1121" t="s">
        <v>2036</v>
      </c>
      <c r="T1121">
        <v>202206</v>
      </c>
      <c r="U1121" t="s">
        <v>191</v>
      </c>
      <c r="V1121">
        <v>22083</v>
      </c>
    </row>
    <row r="1122" spans="1:22">
      <c r="A1122">
        <v>5352</v>
      </c>
      <c r="B1122" t="s">
        <v>2625</v>
      </c>
      <c r="C1122">
        <v>5697</v>
      </c>
      <c r="D1122" t="s">
        <v>2344</v>
      </c>
      <c r="E1122" t="s">
        <v>2036</v>
      </c>
      <c r="F1122">
        <v>202110</v>
      </c>
      <c r="G1122" t="s">
        <v>2170</v>
      </c>
      <c r="H1122">
        <v>265.92</v>
      </c>
      <c r="O1122">
        <v>5352</v>
      </c>
      <c r="P1122" t="s">
        <v>2625</v>
      </c>
      <c r="Q1122">
        <v>5697</v>
      </c>
      <c r="R1122" t="s">
        <v>2344</v>
      </c>
      <c r="S1122" t="s">
        <v>2036</v>
      </c>
      <c r="T1122">
        <v>202206</v>
      </c>
      <c r="U1122" t="s">
        <v>178</v>
      </c>
      <c r="V1122">
        <v>480</v>
      </c>
    </row>
    <row r="1123" spans="1:22">
      <c r="A1123">
        <v>5352</v>
      </c>
      <c r="B1123" t="s">
        <v>2625</v>
      </c>
      <c r="C1123">
        <v>5697</v>
      </c>
      <c r="D1123" t="s">
        <v>2344</v>
      </c>
      <c r="E1123" t="s">
        <v>2036</v>
      </c>
      <c r="F1123">
        <v>202110</v>
      </c>
      <c r="G1123" t="s">
        <v>186</v>
      </c>
      <c r="H1123">
        <v>0</v>
      </c>
      <c r="O1123">
        <v>5352</v>
      </c>
      <c r="P1123" t="s">
        <v>2625</v>
      </c>
      <c r="Q1123">
        <v>5697</v>
      </c>
      <c r="R1123" t="s">
        <v>2344</v>
      </c>
      <c r="S1123" t="s">
        <v>2036</v>
      </c>
      <c r="T1123">
        <v>202206</v>
      </c>
      <c r="U1123" t="s">
        <v>180</v>
      </c>
      <c r="V1123">
        <v>550</v>
      </c>
    </row>
    <row r="1124" spans="1:22">
      <c r="A1124">
        <v>5352</v>
      </c>
      <c r="B1124" t="s">
        <v>2625</v>
      </c>
      <c r="C1124">
        <v>5697</v>
      </c>
      <c r="D1124" t="s">
        <v>2344</v>
      </c>
      <c r="E1124" t="s">
        <v>2036</v>
      </c>
      <c r="F1124">
        <v>202110</v>
      </c>
      <c r="G1124" t="s">
        <v>2169</v>
      </c>
      <c r="H1124">
        <v>99.17</v>
      </c>
      <c r="O1124">
        <v>5352</v>
      </c>
      <c r="P1124" t="s">
        <v>2625</v>
      </c>
      <c r="Q1124">
        <v>5697</v>
      </c>
      <c r="R1124" t="s">
        <v>2344</v>
      </c>
      <c r="S1124" t="s">
        <v>2036</v>
      </c>
      <c r="T1124">
        <v>202206</v>
      </c>
      <c r="U1124" t="s">
        <v>182</v>
      </c>
      <c r="V1124">
        <v>142939</v>
      </c>
    </row>
    <row r="1125" spans="1:22">
      <c r="A1125">
        <v>5352</v>
      </c>
      <c r="B1125" t="s">
        <v>2625</v>
      </c>
      <c r="C1125">
        <v>5697</v>
      </c>
      <c r="D1125" t="s">
        <v>2344</v>
      </c>
      <c r="E1125" t="s">
        <v>2036</v>
      </c>
      <c r="F1125">
        <v>202110</v>
      </c>
      <c r="G1125" t="s">
        <v>2166</v>
      </c>
      <c r="H1125">
        <v>12.33</v>
      </c>
      <c r="O1125">
        <v>5352</v>
      </c>
      <c r="P1125" t="s">
        <v>2625</v>
      </c>
      <c r="Q1125">
        <v>5697</v>
      </c>
      <c r="R1125" t="s">
        <v>2344</v>
      </c>
      <c r="S1125" t="s">
        <v>2036</v>
      </c>
      <c r="T1125">
        <v>202206</v>
      </c>
      <c r="U1125" t="s">
        <v>184</v>
      </c>
      <c r="V1125">
        <v>22083</v>
      </c>
    </row>
    <row r="1126" spans="1:22">
      <c r="A1126">
        <v>5352</v>
      </c>
      <c r="B1126" t="s">
        <v>2625</v>
      </c>
      <c r="C1126">
        <v>5697</v>
      </c>
      <c r="D1126" t="s">
        <v>2344</v>
      </c>
      <c r="E1126" t="s">
        <v>2036</v>
      </c>
      <c r="F1126">
        <v>202110</v>
      </c>
      <c r="G1126" t="s">
        <v>2167</v>
      </c>
      <c r="H1126">
        <v>23.94</v>
      </c>
      <c r="O1126">
        <v>5352</v>
      </c>
      <c r="P1126" t="s">
        <v>2625</v>
      </c>
      <c r="Q1126">
        <v>5697</v>
      </c>
      <c r="R1126" t="s">
        <v>2344</v>
      </c>
      <c r="S1126" t="s">
        <v>2036</v>
      </c>
      <c r="T1126">
        <v>202206</v>
      </c>
      <c r="U1126" t="s">
        <v>186</v>
      </c>
      <c r="V1126">
        <v>0</v>
      </c>
    </row>
    <row r="1127" spans="1:22">
      <c r="A1127">
        <v>5352</v>
      </c>
      <c r="B1127" t="s">
        <v>2625</v>
      </c>
      <c r="C1127">
        <v>5697</v>
      </c>
      <c r="D1127" t="s">
        <v>2344</v>
      </c>
      <c r="E1127" t="s">
        <v>2036</v>
      </c>
      <c r="F1127">
        <v>202110</v>
      </c>
      <c r="G1127" t="s">
        <v>2168</v>
      </c>
      <c r="H1127">
        <v>10.17</v>
      </c>
      <c r="O1127">
        <v>5352</v>
      </c>
      <c r="P1127" t="s">
        <v>2625</v>
      </c>
      <c r="Q1127">
        <v>5697</v>
      </c>
      <c r="R1127" t="s">
        <v>2344</v>
      </c>
      <c r="S1127" t="s">
        <v>2036</v>
      </c>
      <c r="T1127">
        <v>202206</v>
      </c>
      <c r="U1127" t="s">
        <v>190</v>
      </c>
      <c r="V1127">
        <v>178496</v>
      </c>
    </row>
    <row r="1128" spans="1:22">
      <c r="A1128">
        <v>5352</v>
      </c>
      <c r="B1128" t="s">
        <v>2625</v>
      </c>
      <c r="C1128">
        <v>5697</v>
      </c>
      <c r="D1128" t="s">
        <v>2344</v>
      </c>
      <c r="E1128" t="s">
        <v>2036</v>
      </c>
      <c r="F1128">
        <v>202110</v>
      </c>
      <c r="G1128" t="s">
        <v>2171</v>
      </c>
      <c r="H1128">
        <v>10149.49</v>
      </c>
      <c r="O1128">
        <v>5352</v>
      </c>
      <c r="P1128" t="s">
        <v>2625</v>
      </c>
      <c r="Q1128">
        <v>5697</v>
      </c>
      <c r="R1128" t="s">
        <v>2344</v>
      </c>
      <c r="S1128" t="s">
        <v>2036</v>
      </c>
      <c r="T1128">
        <v>202206</v>
      </c>
      <c r="U1128" t="s">
        <v>191</v>
      </c>
      <c r="V1128">
        <v>28769</v>
      </c>
    </row>
    <row r="1129" spans="1:22">
      <c r="A1129">
        <v>5352</v>
      </c>
      <c r="B1129" t="s">
        <v>2625</v>
      </c>
      <c r="C1129">
        <v>5697</v>
      </c>
      <c r="D1129" t="s">
        <v>2344</v>
      </c>
      <c r="E1129" t="s">
        <v>2036</v>
      </c>
      <c r="F1129">
        <v>202110</v>
      </c>
      <c r="G1129" t="s">
        <v>190</v>
      </c>
      <c r="H1129">
        <v>154390</v>
      </c>
      <c r="O1129">
        <v>5352</v>
      </c>
      <c r="P1129" t="s">
        <v>2625</v>
      </c>
      <c r="Q1129">
        <v>5697</v>
      </c>
      <c r="R1129" t="s">
        <v>2344</v>
      </c>
      <c r="S1129" t="s">
        <v>2036</v>
      </c>
      <c r="T1129">
        <v>202206</v>
      </c>
      <c r="U1129" t="s">
        <v>178</v>
      </c>
      <c r="V1129">
        <v>1300</v>
      </c>
    </row>
    <row r="1130" spans="1:22">
      <c r="A1130">
        <v>5352</v>
      </c>
      <c r="B1130" t="s">
        <v>2625</v>
      </c>
      <c r="C1130">
        <v>5697</v>
      </c>
      <c r="D1130" t="s">
        <v>2344</v>
      </c>
      <c r="E1130" t="s">
        <v>2036</v>
      </c>
      <c r="F1130">
        <v>202110</v>
      </c>
      <c r="G1130" t="s">
        <v>191</v>
      </c>
      <c r="H1130">
        <v>22183</v>
      </c>
      <c r="O1130">
        <v>5352</v>
      </c>
      <c r="P1130" t="s">
        <v>2625</v>
      </c>
      <c r="Q1130">
        <v>5697</v>
      </c>
      <c r="R1130" t="s">
        <v>2344</v>
      </c>
      <c r="S1130" t="s">
        <v>2036</v>
      </c>
      <c r="T1130">
        <v>202206</v>
      </c>
      <c r="U1130" t="s">
        <v>180</v>
      </c>
      <c r="V1130">
        <v>1350</v>
      </c>
    </row>
    <row r="1131" spans="1:22">
      <c r="A1131">
        <v>5352</v>
      </c>
      <c r="B1131" t="s">
        <v>2625</v>
      </c>
      <c r="C1131">
        <v>5697</v>
      </c>
      <c r="D1131" t="s">
        <v>2344</v>
      </c>
      <c r="E1131" t="s">
        <v>2036</v>
      </c>
      <c r="F1131">
        <v>202110</v>
      </c>
      <c r="G1131" t="s">
        <v>176</v>
      </c>
      <c r="H1131">
        <v>0</v>
      </c>
      <c r="O1131">
        <v>5352</v>
      </c>
      <c r="P1131" t="s">
        <v>2625</v>
      </c>
      <c r="Q1131">
        <v>5697</v>
      </c>
      <c r="R1131" t="s">
        <v>2344</v>
      </c>
      <c r="S1131" t="s">
        <v>2036</v>
      </c>
      <c r="T1131">
        <v>202206</v>
      </c>
      <c r="U1131" t="s">
        <v>182</v>
      </c>
      <c r="V1131">
        <v>178496</v>
      </c>
    </row>
    <row r="1132" spans="1:22">
      <c r="A1132">
        <v>5352</v>
      </c>
      <c r="B1132" t="s">
        <v>2625</v>
      </c>
      <c r="C1132">
        <v>5697</v>
      </c>
      <c r="D1132" t="s">
        <v>2344</v>
      </c>
      <c r="E1132" t="s">
        <v>2036</v>
      </c>
      <c r="F1132">
        <v>202110</v>
      </c>
      <c r="G1132" t="s">
        <v>178</v>
      </c>
      <c r="H1132">
        <v>580</v>
      </c>
      <c r="O1132">
        <v>5352</v>
      </c>
      <c r="P1132" t="s">
        <v>2625</v>
      </c>
      <c r="Q1132">
        <v>5697</v>
      </c>
      <c r="R1132" t="s">
        <v>2344</v>
      </c>
      <c r="S1132" t="s">
        <v>2036</v>
      </c>
      <c r="T1132">
        <v>202206</v>
      </c>
      <c r="U1132" t="s">
        <v>184</v>
      </c>
      <c r="V1132">
        <v>28769</v>
      </c>
    </row>
    <row r="1133" spans="1:22">
      <c r="A1133">
        <v>5352</v>
      </c>
      <c r="B1133" t="s">
        <v>2625</v>
      </c>
      <c r="C1133">
        <v>5697</v>
      </c>
      <c r="D1133" t="s">
        <v>2344</v>
      </c>
      <c r="E1133" t="s">
        <v>2036</v>
      </c>
      <c r="F1133">
        <v>202110</v>
      </c>
      <c r="G1133" t="s">
        <v>180</v>
      </c>
      <c r="H1133">
        <v>580</v>
      </c>
      <c r="O1133">
        <v>5352</v>
      </c>
      <c r="P1133" t="s">
        <v>2625</v>
      </c>
      <c r="Q1133">
        <v>5697</v>
      </c>
      <c r="R1133" t="s">
        <v>2344</v>
      </c>
      <c r="S1133" t="s">
        <v>2036</v>
      </c>
      <c r="T1133">
        <v>202206</v>
      </c>
      <c r="U1133" t="s">
        <v>186</v>
      </c>
      <c r="V1133">
        <v>0</v>
      </c>
    </row>
    <row r="1134" spans="1:22">
      <c r="A1134">
        <v>5352</v>
      </c>
      <c r="B1134" t="s">
        <v>2625</v>
      </c>
      <c r="C1134">
        <v>5697</v>
      </c>
      <c r="D1134" t="s">
        <v>2344</v>
      </c>
      <c r="E1134" t="s">
        <v>2036</v>
      </c>
      <c r="F1134">
        <v>202110</v>
      </c>
      <c r="G1134" t="s">
        <v>182</v>
      </c>
      <c r="H1134">
        <v>154390</v>
      </c>
      <c r="O1134">
        <v>5352</v>
      </c>
      <c r="P1134" t="s">
        <v>2625</v>
      </c>
      <c r="Q1134">
        <v>5697</v>
      </c>
      <c r="R1134" t="s">
        <v>2344</v>
      </c>
      <c r="S1134" t="s">
        <v>2036</v>
      </c>
      <c r="T1134">
        <v>202206</v>
      </c>
      <c r="U1134" t="s">
        <v>190</v>
      </c>
      <c r="V1134">
        <v>269089</v>
      </c>
    </row>
    <row r="1135" spans="1:22">
      <c r="A1135">
        <v>5352</v>
      </c>
      <c r="B1135" t="s">
        <v>2625</v>
      </c>
      <c r="C1135">
        <v>5697</v>
      </c>
      <c r="D1135" t="s">
        <v>2344</v>
      </c>
      <c r="E1135" t="s">
        <v>2036</v>
      </c>
      <c r="F1135">
        <v>202110</v>
      </c>
      <c r="G1135" t="s">
        <v>184</v>
      </c>
      <c r="H1135">
        <v>22183</v>
      </c>
      <c r="O1135">
        <v>5352</v>
      </c>
      <c r="P1135" t="s">
        <v>2625</v>
      </c>
      <c r="Q1135">
        <v>5697</v>
      </c>
      <c r="R1135" t="s">
        <v>2344</v>
      </c>
      <c r="S1135" t="s">
        <v>2036</v>
      </c>
      <c r="T1135">
        <v>202206</v>
      </c>
      <c r="U1135" t="s">
        <v>191</v>
      </c>
      <c r="V1135">
        <v>35429</v>
      </c>
    </row>
    <row r="1136" spans="1:22">
      <c r="A1136">
        <v>5352</v>
      </c>
      <c r="B1136" t="s">
        <v>2625</v>
      </c>
      <c r="C1136">
        <v>5697</v>
      </c>
      <c r="D1136" t="s">
        <v>2344</v>
      </c>
      <c r="E1136" t="s">
        <v>2036</v>
      </c>
      <c r="F1136">
        <v>202110</v>
      </c>
      <c r="G1136" t="s">
        <v>192</v>
      </c>
      <c r="H1136">
        <v>0</v>
      </c>
      <c r="O1136">
        <v>5352</v>
      </c>
      <c r="P1136" t="s">
        <v>2625</v>
      </c>
      <c r="Q1136">
        <v>5697</v>
      </c>
      <c r="R1136" t="s">
        <v>2344</v>
      </c>
      <c r="S1136" t="s">
        <v>2036</v>
      </c>
      <c r="T1136">
        <v>202206</v>
      </c>
      <c r="U1136" t="s">
        <v>178</v>
      </c>
      <c r="V1136">
        <v>820</v>
      </c>
    </row>
    <row r="1137" spans="1:22">
      <c r="A1137">
        <v>5352</v>
      </c>
      <c r="B1137" t="s">
        <v>2625</v>
      </c>
      <c r="C1137">
        <v>5697</v>
      </c>
      <c r="D1137" t="s">
        <v>2344</v>
      </c>
      <c r="E1137" t="s">
        <v>2036</v>
      </c>
      <c r="F1137">
        <v>202110</v>
      </c>
      <c r="G1137" t="s">
        <v>2170</v>
      </c>
      <c r="H1137">
        <v>1097.6300000000001</v>
      </c>
      <c r="O1137">
        <v>5352</v>
      </c>
      <c r="P1137" t="s">
        <v>2625</v>
      </c>
      <c r="Q1137">
        <v>5697</v>
      </c>
      <c r="R1137" t="s">
        <v>2344</v>
      </c>
      <c r="S1137" t="s">
        <v>2036</v>
      </c>
      <c r="T1137">
        <v>202206</v>
      </c>
      <c r="U1137" t="s">
        <v>180</v>
      </c>
      <c r="V1137">
        <v>820</v>
      </c>
    </row>
    <row r="1138" spans="1:22">
      <c r="A1138">
        <v>5352</v>
      </c>
      <c r="B1138" t="s">
        <v>2625</v>
      </c>
      <c r="C1138">
        <v>5697</v>
      </c>
      <c r="D1138" t="s">
        <v>2344</v>
      </c>
      <c r="E1138" t="s">
        <v>2036</v>
      </c>
      <c r="F1138">
        <v>202110</v>
      </c>
      <c r="G1138" t="s">
        <v>186</v>
      </c>
      <c r="H1138">
        <v>0</v>
      </c>
      <c r="O1138">
        <v>5352</v>
      </c>
      <c r="P1138" t="s">
        <v>2625</v>
      </c>
      <c r="Q1138">
        <v>5697</v>
      </c>
      <c r="R1138" t="s">
        <v>2344</v>
      </c>
      <c r="S1138" t="s">
        <v>2036</v>
      </c>
      <c r="T1138">
        <v>202206</v>
      </c>
      <c r="U1138" t="s">
        <v>182</v>
      </c>
      <c r="V1138">
        <v>269089</v>
      </c>
    </row>
    <row r="1139" spans="1:22">
      <c r="A1139">
        <v>5352</v>
      </c>
      <c r="B1139" t="s">
        <v>2625</v>
      </c>
      <c r="C1139">
        <v>5697</v>
      </c>
      <c r="D1139" t="s">
        <v>2344</v>
      </c>
      <c r="E1139" t="s">
        <v>2036</v>
      </c>
      <c r="F1139">
        <v>202110</v>
      </c>
      <c r="G1139" t="s">
        <v>2169</v>
      </c>
      <c r="H1139">
        <v>99.17</v>
      </c>
      <c r="O1139">
        <v>5352</v>
      </c>
      <c r="P1139" t="s">
        <v>2625</v>
      </c>
      <c r="Q1139">
        <v>5697</v>
      </c>
      <c r="R1139" t="s">
        <v>2344</v>
      </c>
      <c r="S1139" t="s">
        <v>2036</v>
      </c>
      <c r="T1139">
        <v>202206</v>
      </c>
      <c r="U1139" t="s">
        <v>184</v>
      </c>
      <c r="V1139">
        <v>35429</v>
      </c>
    </row>
    <row r="1140" spans="1:22">
      <c r="A1140">
        <v>5352</v>
      </c>
      <c r="B1140" t="s">
        <v>2625</v>
      </c>
      <c r="C1140">
        <v>5697</v>
      </c>
      <c r="D1140" t="s">
        <v>2344</v>
      </c>
      <c r="E1140" t="s">
        <v>2036</v>
      </c>
      <c r="F1140">
        <v>202110</v>
      </c>
      <c r="G1140" t="s">
        <v>2166</v>
      </c>
      <c r="H1140">
        <v>12.33</v>
      </c>
      <c r="O1140">
        <v>5352</v>
      </c>
      <c r="P1140" t="s">
        <v>2625</v>
      </c>
      <c r="Q1140">
        <v>5697</v>
      </c>
      <c r="R1140" t="s">
        <v>2344</v>
      </c>
      <c r="S1140" t="s">
        <v>2036</v>
      </c>
      <c r="T1140">
        <v>202206</v>
      </c>
      <c r="U1140" t="s">
        <v>186</v>
      </c>
      <c r="V1140">
        <v>0</v>
      </c>
    </row>
    <row r="1141" spans="1:22">
      <c r="A1141">
        <v>5352</v>
      </c>
      <c r="B1141" t="s">
        <v>2625</v>
      </c>
      <c r="C1141">
        <v>5697</v>
      </c>
      <c r="D1141" t="s">
        <v>2344</v>
      </c>
      <c r="E1141" t="s">
        <v>2036</v>
      </c>
      <c r="F1141">
        <v>202110</v>
      </c>
      <c r="G1141" t="s">
        <v>2167</v>
      </c>
      <c r="H1141">
        <v>23.94</v>
      </c>
      <c r="O1141">
        <v>5352</v>
      </c>
      <c r="P1141" t="s">
        <v>2625</v>
      </c>
      <c r="Q1141">
        <v>5697</v>
      </c>
      <c r="R1141" t="s">
        <v>2344</v>
      </c>
      <c r="S1141" t="s">
        <v>2036</v>
      </c>
      <c r="T1141">
        <v>202206</v>
      </c>
      <c r="U1141" t="s">
        <v>190</v>
      </c>
      <c r="V1141">
        <v>180734</v>
      </c>
    </row>
    <row r="1142" spans="1:22">
      <c r="A1142">
        <v>5352</v>
      </c>
      <c r="B1142" t="s">
        <v>2625</v>
      </c>
      <c r="C1142">
        <v>5697</v>
      </c>
      <c r="D1142" t="s">
        <v>2344</v>
      </c>
      <c r="E1142" t="s">
        <v>2036</v>
      </c>
      <c r="F1142">
        <v>202110</v>
      </c>
      <c r="G1142" t="s">
        <v>2168</v>
      </c>
      <c r="H1142">
        <v>10.17</v>
      </c>
      <c r="O1142">
        <v>5352</v>
      </c>
      <c r="P1142" t="s">
        <v>2625</v>
      </c>
      <c r="Q1142">
        <v>5697</v>
      </c>
      <c r="R1142" t="s">
        <v>2344</v>
      </c>
      <c r="S1142" t="s">
        <v>2036</v>
      </c>
      <c r="T1142">
        <v>202206</v>
      </c>
      <c r="U1142" t="s">
        <v>191</v>
      </c>
      <c r="V1142">
        <v>28111</v>
      </c>
    </row>
    <row r="1143" spans="1:22">
      <c r="A1143">
        <v>5352</v>
      </c>
      <c r="B1143" t="s">
        <v>2625</v>
      </c>
      <c r="C1143">
        <v>5697</v>
      </c>
      <c r="D1143" t="s">
        <v>2344</v>
      </c>
      <c r="E1143" t="s">
        <v>2036</v>
      </c>
      <c r="F1143">
        <v>202110</v>
      </c>
      <c r="G1143" t="s">
        <v>2171</v>
      </c>
      <c r="H1143">
        <v>41894.51</v>
      </c>
      <c r="O1143">
        <v>5352</v>
      </c>
      <c r="P1143" t="s">
        <v>2625</v>
      </c>
      <c r="Q1143">
        <v>5697</v>
      </c>
      <c r="R1143" t="s">
        <v>2344</v>
      </c>
      <c r="S1143" t="s">
        <v>2036</v>
      </c>
      <c r="T1143">
        <v>202206</v>
      </c>
      <c r="U1143" t="s">
        <v>178</v>
      </c>
      <c r="V1143">
        <v>810</v>
      </c>
    </row>
    <row r="1144" spans="1:22">
      <c r="A1144">
        <v>5352</v>
      </c>
      <c r="B1144" t="s">
        <v>2625</v>
      </c>
      <c r="C1144">
        <v>5697</v>
      </c>
      <c r="D1144" t="s">
        <v>2344</v>
      </c>
      <c r="E1144" t="s">
        <v>2036</v>
      </c>
      <c r="F1144">
        <v>202110</v>
      </c>
      <c r="G1144" t="s">
        <v>190</v>
      </c>
      <c r="H1144">
        <v>178858</v>
      </c>
      <c r="O1144">
        <v>5352</v>
      </c>
      <c r="P1144" t="s">
        <v>2625</v>
      </c>
      <c r="Q1144">
        <v>5697</v>
      </c>
      <c r="R1144" t="s">
        <v>2344</v>
      </c>
      <c r="S1144" t="s">
        <v>2036</v>
      </c>
      <c r="T1144">
        <v>202206</v>
      </c>
      <c r="U1144" t="s">
        <v>180</v>
      </c>
      <c r="V1144">
        <v>930</v>
      </c>
    </row>
    <row r="1145" spans="1:22">
      <c r="A1145">
        <v>5352</v>
      </c>
      <c r="B1145" t="s">
        <v>2625</v>
      </c>
      <c r="C1145">
        <v>5697</v>
      </c>
      <c r="D1145" t="s">
        <v>2344</v>
      </c>
      <c r="E1145" t="s">
        <v>2036</v>
      </c>
      <c r="F1145">
        <v>202110</v>
      </c>
      <c r="G1145" t="s">
        <v>191</v>
      </c>
      <c r="H1145">
        <v>27159</v>
      </c>
      <c r="O1145">
        <v>5352</v>
      </c>
      <c r="P1145" t="s">
        <v>2625</v>
      </c>
      <c r="Q1145">
        <v>5697</v>
      </c>
      <c r="R1145" t="s">
        <v>2344</v>
      </c>
      <c r="S1145" t="s">
        <v>2036</v>
      </c>
      <c r="T1145">
        <v>202206</v>
      </c>
      <c r="U1145" t="s">
        <v>182</v>
      </c>
      <c r="V1145">
        <v>180734</v>
      </c>
    </row>
    <row r="1146" spans="1:22">
      <c r="A1146">
        <v>5352</v>
      </c>
      <c r="B1146" t="s">
        <v>2625</v>
      </c>
      <c r="C1146">
        <v>5697</v>
      </c>
      <c r="D1146" t="s">
        <v>2344</v>
      </c>
      <c r="E1146" t="s">
        <v>2036</v>
      </c>
      <c r="F1146">
        <v>202110</v>
      </c>
      <c r="G1146" t="s">
        <v>176</v>
      </c>
      <c r="H1146">
        <v>0</v>
      </c>
      <c r="O1146">
        <v>5352</v>
      </c>
      <c r="P1146" t="s">
        <v>2625</v>
      </c>
      <c r="Q1146">
        <v>5697</v>
      </c>
      <c r="R1146" t="s">
        <v>2344</v>
      </c>
      <c r="S1146" t="s">
        <v>2036</v>
      </c>
      <c r="T1146">
        <v>202206</v>
      </c>
      <c r="U1146" t="s">
        <v>184</v>
      </c>
      <c r="V1146">
        <v>28111</v>
      </c>
    </row>
    <row r="1147" spans="1:22">
      <c r="A1147">
        <v>5352</v>
      </c>
      <c r="B1147" t="s">
        <v>2625</v>
      </c>
      <c r="C1147">
        <v>5697</v>
      </c>
      <c r="D1147" t="s">
        <v>2344</v>
      </c>
      <c r="E1147" t="s">
        <v>2036</v>
      </c>
      <c r="F1147">
        <v>202110</v>
      </c>
      <c r="G1147" t="s">
        <v>178</v>
      </c>
      <c r="H1147">
        <v>735</v>
      </c>
      <c r="O1147">
        <v>5352</v>
      </c>
      <c r="P1147" t="s">
        <v>2625</v>
      </c>
      <c r="Q1147">
        <v>5697</v>
      </c>
      <c r="R1147" t="s">
        <v>2344</v>
      </c>
      <c r="S1147" t="s">
        <v>2036</v>
      </c>
      <c r="T1147">
        <v>202206</v>
      </c>
      <c r="U1147" t="s">
        <v>186</v>
      </c>
      <c r="V1147">
        <v>0</v>
      </c>
    </row>
    <row r="1148" spans="1:22">
      <c r="A1148">
        <v>5352</v>
      </c>
      <c r="B1148" t="s">
        <v>2625</v>
      </c>
      <c r="C1148">
        <v>5697</v>
      </c>
      <c r="D1148" t="s">
        <v>2344</v>
      </c>
      <c r="E1148" t="s">
        <v>2036</v>
      </c>
      <c r="F1148">
        <v>202110</v>
      </c>
      <c r="G1148" t="s">
        <v>180</v>
      </c>
      <c r="H1148">
        <v>650</v>
      </c>
      <c r="O1148">
        <v>5352</v>
      </c>
      <c r="P1148" t="s">
        <v>2625</v>
      </c>
      <c r="Q1148">
        <v>5697</v>
      </c>
      <c r="R1148" t="s">
        <v>2344</v>
      </c>
      <c r="S1148" t="s">
        <v>2036</v>
      </c>
      <c r="T1148">
        <v>202206</v>
      </c>
      <c r="U1148" t="s">
        <v>190</v>
      </c>
      <c r="V1148">
        <v>56845</v>
      </c>
    </row>
    <row r="1149" spans="1:22">
      <c r="A1149">
        <v>5352</v>
      </c>
      <c r="B1149" t="s">
        <v>2625</v>
      </c>
      <c r="C1149">
        <v>5697</v>
      </c>
      <c r="D1149" t="s">
        <v>2344</v>
      </c>
      <c r="E1149" t="s">
        <v>2036</v>
      </c>
      <c r="F1149">
        <v>202110</v>
      </c>
      <c r="G1149" t="s">
        <v>182</v>
      </c>
      <c r="H1149">
        <v>178858</v>
      </c>
      <c r="O1149">
        <v>5352</v>
      </c>
      <c r="P1149" t="s">
        <v>2625</v>
      </c>
      <c r="Q1149">
        <v>5697</v>
      </c>
      <c r="R1149" t="s">
        <v>2344</v>
      </c>
      <c r="S1149" t="s">
        <v>2036</v>
      </c>
      <c r="T1149">
        <v>202206</v>
      </c>
      <c r="U1149" t="s">
        <v>191</v>
      </c>
      <c r="V1149">
        <v>8341</v>
      </c>
    </row>
    <row r="1150" spans="1:22">
      <c r="A1150">
        <v>5352</v>
      </c>
      <c r="B1150" t="s">
        <v>2625</v>
      </c>
      <c r="C1150">
        <v>5697</v>
      </c>
      <c r="D1150" t="s">
        <v>2344</v>
      </c>
      <c r="E1150" t="s">
        <v>2036</v>
      </c>
      <c r="F1150">
        <v>202110</v>
      </c>
      <c r="G1150" t="s">
        <v>184</v>
      </c>
      <c r="H1150">
        <v>27159</v>
      </c>
      <c r="O1150">
        <v>5352</v>
      </c>
      <c r="P1150" t="s">
        <v>2625</v>
      </c>
      <c r="Q1150">
        <v>5697</v>
      </c>
      <c r="R1150" t="s">
        <v>2344</v>
      </c>
      <c r="S1150" t="s">
        <v>2036</v>
      </c>
      <c r="T1150">
        <v>202206</v>
      </c>
      <c r="U1150" t="s">
        <v>178</v>
      </c>
      <c r="V1150">
        <v>250</v>
      </c>
    </row>
    <row r="1151" spans="1:22">
      <c r="A1151">
        <v>5352</v>
      </c>
      <c r="B1151" t="s">
        <v>2625</v>
      </c>
      <c r="C1151">
        <v>5697</v>
      </c>
      <c r="D1151" t="s">
        <v>2344</v>
      </c>
      <c r="E1151" t="s">
        <v>2036</v>
      </c>
      <c r="F1151">
        <v>202110</v>
      </c>
      <c r="G1151" t="s">
        <v>192</v>
      </c>
      <c r="H1151">
        <v>0</v>
      </c>
      <c r="O1151">
        <v>5352</v>
      </c>
      <c r="P1151" t="s">
        <v>2625</v>
      </c>
      <c r="Q1151">
        <v>5697</v>
      </c>
      <c r="R1151" t="s">
        <v>2344</v>
      </c>
      <c r="S1151" t="s">
        <v>2036</v>
      </c>
      <c r="T1151">
        <v>202206</v>
      </c>
      <c r="U1151" t="s">
        <v>180</v>
      </c>
      <c r="V1151">
        <v>250</v>
      </c>
    </row>
    <row r="1152" spans="1:22">
      <c r="A1152">
        <v>5352</v>
      </c>
      <c r="B1152" t="s">
        <v>2625</v>
      </c>
      <c r="C1152">
        <v>5697</v>
      </c>
      <c r="D1152" t="s">
        <v>2344</v>
      </c>
      <c r="E1152" t="s">
        <v>2036</v>
      </c>
      <c r="F1152">
        <v>202110</v>
      </c>
      <c r="G1152" t="s">
        <v>2170</v>
      </c>
      <c r="H1152">
        <v>1282.82</v>
      </c>
      <c r="O1152">
        <v>5352</v>
      </c>
      <c r="P1152" t="s">
        <v>2625</v>
      </c>
      <c r="Q1152">
        <v>5697</v>
      </c>
      <c r="R1152" t="s">
        <v>2344</v>
      </c>
      <c r="S1152" t="s">
        <v>2036</v>
      </c>
      <c r="T1152">
        <v>202206</v>
      </c>
      <c r="U1152" t="s">
        <v>182</v>
      </c>
      <c r="V1152">
        <v>56845</v>
      </c>
    </row>
    <row r="1153" spans="1:22">
      <c r="A1153">
        <v>5352</v>
      </c>
      <c r="B1153" t="s">
        <v>2625</v>
      </c>
      <c r="C1153">
        <v>5697</v>
      </c>
      <c r="D1153" t="s">
        <v>2344</v>
      </c>
      <c r="E1153" t="s">
        <v>2036</v>
      </c>
      <c r="F1153">
        <v>202110</v>
      </c>
      <c r="G1153" t="s">
        <v>186</v>
      </c>
      <c r="H1153">
        <v>0</v>
      </c>
      <c r="O1153">
        <v>5352</v>
      </c>
      <c r="P1153" t="s">
        <v>2625</v>
      </c>
      <c r="Q1153">
        <v>5697</v>
      </c>
      <c r="R1153" t="s">
        <v>2344</v>
      </c>
      <c r="S1153" t="s">
        <v>2036</v>
      </c>
      <c r="T1153">
        <v>202206</v>
      </c>
      <c r="U1153" t="s">
        <v>184</v>
      </c>
      <c r="V1153">
        <v>8341</v>
      </c>
    </row>
    <row r="1154" spans="1:22">
      <c r="A1154">
        <v>5352</v>
      </c>
      <c r="B1154" t="s">
        <v>2625</v>
      </c>
      <c r="C1154">
        <v>5697</v>
      </c>
      <c r="D1154" t="s">
        <v>2344</v>
      </c>
      <c r="E1154" t="s">
        <v>2036</v>
      </c>
      <c r="F1154">
        <v>202110</v>
      </c>
      <c r="G1154" t="s">
        <v>2169</v>
      </c>
      <c r="H1154">
        <v>99.17</v>
      </c>
      <c r="O1154">
        <v>5352</v>
      </c>
      <c r="P1154" t="s">
        <v>2625</v>
      </c>
      <c r="Q1154">
        <v>5697</v>
      </c>
      <c r="R1154" t="s">
        <v>2344</v>
      </c>
      <c r="S1154" t="s">
        <v>2036</v>
      </c>
      <c r="T1154">
        <v>202206</v>
      </c>
      <c r="U1154" t="s">
        <v>186</v>
      </c>
      <c r="V1154">
        <v>0</v>
      </c>
    </row>
    <row r="1155" spans="1:22">
      <c r="A1155">
        <v>5352</v>
      </c>
      <c r="B1155" t="s">
        <v>2625</v>
      </c>
      <c r="C1155">
        <v>5697</v>
      </c>
      <c r="D1155" t="s">
        <v>2344</v>
      </c>
      <c r="E1155" t="s">
        <v>2036</v>
      </c>
      <c r="F1155">
        <v>202110</v>
      </c>
      <c r="G1155" t="s">
        <v>2166</v>
      </c>
      <c r="H1155">
        <v>12.33</v>
      </c>
      <c r="O1155">
        <v>5352</v>
      </c>
      <c r="P1155" t="s">
        <v>2625</v>
      </c>
      <c r="Q1155">
        <v>5697</v>
      </c>
      <c r="R1155" t="s">
        <v>2344</v>
      </c>
      <c r="S1155" t="s">
        <v>2036</v>
      </c>
      <c r="T1155">
        <v>202206</v>
      </c>
      <c r="U1155" t="s">
        <v>190</v>
      </c>
      <c r="V1155">
        <v>11416</v>
      </c>
    </row>
    <row r="1156" spans="1:22">
      <c r="A1156">
        <v>5352</v>
      </c>
      <c r="B1156" t="s">
        <v>2625</v>
      </c>
      <c r="C1156">
        <v>5697</v>
      </c>
      <c r="D1156" t="s">
        <v>2344</v>
      </c>
      <c r="E1156" t="s">
        <v>2036</v>
      </c>
      <c r="F1156">
        <v>202110</v>
      </c>
      <c r="G1156" t="s">
        <v>2167</v>
      </c>
      <c r="H1156">
        <v>23.94</v>
      </c>
      <c r="O1156">
        <v>5352</v>
      </c>
      <c r="P1156" t="s">
        <v>2625</v>
      </c>
      <c r="Q1156">
        <v>5697</v>
      </c>
      <c r="R1156" t="s">
        <v>2344</v>
      </c>
      <c r="S1156" t="s">
        <v>2036</v>
      </c>
      <c r="T1156">
        <v>202206</v>
      </c>
      <c r="U1156" t="s">
        <v>191</v>
      </c>
      <c r="V1156">
        <v>1832</v>
      </c>
    </row>
    <row r="1157" spans="1:22">
      <c r="A1157">
        <v>5352</v>
      </c>
      <c r="B1157" t="s">
        <v>2625</v>
      </c>
      <c r="C1157">
        <v>5697</v>
      </c>
      <c r="D1157" t="s">
        <v>2344</v>
      </c>
      <c r="E1157" t="s">
        <v>2036</v>
      </c>
      <c r="F1157">
        <v>202110</v>
      </c>
      <c r="G1157" t="s">
        <v>2168</v>
      </c>
      <c r="H1157">
        <v>10.17</v>
      </c>
      <c r="O1157">
        <v>5352</v>
      </c>
      <c r="P1157" t="s">
        <v>2625</v>
      </c>
      <c r="Q1157">
        <v>5697</v>
      </c>
      <c r="R1157" t="s">
        <v>2344</v>
      </c>
      <c r="S1157" t="s">
        <v>2036</v>
      </c>
      <c r="T1157">
        <v>202206</v>
      </c>
      <c r="U1157" t="s">
        <v>178</v>
      </c>
      <c r="V1157">
        <v>120</v>
      </c>
    </row>
    <row r="1158" spans="1:22">
      <c r="A1158">
        <v>5352</v>
      </c>
      <c r="B1158" t="s">
        <v>2625</v>
      </c>
      <c r="C1158">
        <v>5697</v>
      </c>
      <c r="D1158" t="s">
        <v>2344</v>
      </c>
      <c r="E1158" t="s">
        <v>2036</v>
      </c>
      <c r="F1158">
        <v>202110</v>
      </c>
      <c r="G1158" t="s">
        <v>2171</v>
      </c>
      <c r="H1158">
        <v>48963.17</v>
      </c>
      <c r="O1158">
        <v>5352</v>
      </c>
      <c r="P1158" t="s">
        <v>2625</v>
      </c>
      <c r="Q1158">
        <v>5697</v>
      </c>
      <c r="R1158" t="s">
        <v>2344</v>
      </c>
      <c r="S1158" t="s">
        <v>2036</v>
      </c>
      <c r="T1158">
        <v>202206</v>
      </c>
      <c r="U1158" t="s">
        <v>180</v>
      </c>
      <c r="V1158">
        <v>120</v>
      </c>
    </row>
    <row r="1159" spans="1:22">
      <c r="A1159">
        <v>5352</v>
      </c>
      <c r="B1159" t="s">
        <v>2625</v>
      </c>
      <c r="C1159">
        <v>5697</v>
      </c>
      <c r="D1159" t="s">
        <v>2344</v>
      </c>
      <c r="E1159" t="s">
        <v>2036</v>
      </c>
      <c r="F1159">
        <v>202110</v>
      </c>
      <c r="G1159" t="s">
        <v>190</v>
      </c>
      <c r="H1159">
        <v>96603</v>
      </c>
      <c r="O1159">
        <v>5352</v>
      </c>
      <c r="P1159" t="s">
        <v>2625</v>
      </c>
      <c r="Q1159">
        <v>5697</v>
      </c>
      <c r="R1159" t="s">
        <v>2344</v>
      </c>
      <c r="S1159" t="s">
        <v>2036</v>
      </c>
      <c r="T1159">
        <v>202206</v>
      </c>
      <c r="U1159" t="s">
        <v>182</v>
      </c>
      <c r="V1159">
        <v>11416</v>
      </c>
    </row>
    <row r="1160" spans="1:22">
      <c r="A1160">
        <v>5352</v>
      </c>
      <c r="B1160" t="s">
        <v>2625</v>
      </c>
      <c r="C1160">
        <v>5697</v>
      </c>
      <c r="D1160" t="s">
        <v>2344</v>
      </c>
      <c r="E1160" t="s">
        <v>2036</v>
      </c>
      <c r="F1160">
        <v>202110</v>
      </c>
      <c r="G1160" t="s">
        <v>191</v>
      </c>
      <c r="H1160">
        <v>13589</v>
      </c>
      <c r="O1160">
        <v>5352</v>
      </c>
      <c r="P1160" t="s">
        <v>2625</v>
      </c>
      <c r="Q1160">
        <v>5697</v>
      </c>
      <c r="R1160" t="s">
        <v>2344</v>
      </c>
      <c r="S1160" t="s">
        <v>2036</v>
      </c>
      <c r="T1160">
        <v>202206</v>
      </c>
      <c r="U1160" t="s">
        <v>184</v>
      </c>
      <c r="V1160">
        <v>1832</v>
      </c>
    </row>
    <row r="1161" spans="1:22">
      <c r="A1161">
        <v>5352</v>
      </c>
      <c r="B1161" t="s">
        <v>2625</v>
      </c>
      <c r="C1161">
        <v>5697</v>
      </c>
      <c r="D1161" t="s">
        <v>2344</v>
      </c>
      <c r="E1161" t="s">
        <v>2036</v>
      </c>
      <c r="F1161">
        <v>202110</v>
      </c>
      <c r="G1161" t="s">
        <v>176</v>
      </c>
      <c r="H1161">
        <v>0</v>
      </c>
      <c r="O1161">
        <v>5352</v>
      </c>
      <c r="P1161" t="s">
        <v>2625</v>
      </c>
      <c r="Q1161">
        <v>5697</v>
      </c>
      <c r="R1161" t="s">
        <v>2344</v>
      </c>
      <c r="S1161" t="s">
        <v>2036</v>
      </c>
      <c r="T1161">
        <v>202206</v>
      </c>
      <c r="U1161" t="s">
        <v>186</v>
      </c>
      <c r="V1161">
        <v>0</v>
      </c>
    </row>
    <row r="1162" spans="1:22">
      <c r="A1162">
        <v>5352</v>
      </c>
      <c r="B1162" t="s">
        <v>2625</v>
      </c>
      <c r="C1162">
        <v>5697</v>
      </c>
      <c r="D1162" t="s">
        <v>2344</v>
      </c>
      <c r="E1162" t="s">
        <v>2036</v>
      </c>
      <c r="F1162">
        <v>202110</v>
      </c>
      <c r="G1162" t="s">
        <v>178</v>
      </c>
      <c r="H1162">
        <v>320</v>
      </c>
      <c r="O1162">
        <v>5352</v>
      </c>
      <c r="P1162" t="s">
        <v>2625</v>
      </c>
      <c r="Q1162">
        <v>5697</v>
      </c>
      <c r="R1162" t="s">
        <v>2344</v>
      </c>
      <c r="S1162" t="s">
        <v>2036</v>
      </c>
      <c r="T1162">
        <v>202206</v>
      </c>
      <c r="U1162" t="s">
        <v>190</v>
      </c>
      <c r="V1162">
        <v>183607</v>
      </c>
    </row>
    <row r="1163" spans="1:22">
      <c r="A1163">
        <v>5352</v>
      </c>
      <c r="B1163" t="s">
        <v>2625</v>
      </c>
      <c r="C1163">
        <v>5697</v>
      </c>
      <c r="D1163" t="s">
        <v>2344</v>
      </c>
      <c r="E1163" t="s">
        <v>2036</v>
      </c>
      <c r="F1163">
        <v>202110</v>
      </c>
      <c r="G1163" t="s">
        <v>180</v>
      </c>
      <c r="H1163">
        <v>320</v>
      </c>
      <c r="O1163">
        <v>5352</v>
      </c>
      <c r="P1163" t="s">
        <v>2625</v>
      </c>
      <c r="Q1163">
        <v>5697</v>
      </c>
      <c r="R1163" t="s">
        <v>2344</v>
      </c>
      <c r="S1163" t="s">
        <v>2036</v>
      </c>
      <c r="T1163">
        <v>202206</v>
      </c>
      <c r="U1163" t="s">
        <v>191</v>
      </c>
      <c r="V1163">
        <v>27620</v>
      </c>
    </row>
    <row r="1164" spans="1:22">
      <c r="A1164">
        <v>5352</v>
      </c>
      <c r="B1164" t="s">
        <v>2625</v>
      </c>
      <c r="C1164">
        <v>5697</v>
      </c>
      <c r="D1164" t="s">
        <v>2344</v>
      </c>
      <c r="E1164" t="s">
        <v>2036</v>
      </c>
      <c r="F1164">
        <v>202110</v>
      </c>
      <c r="G1164" t="s">
        <v>182</v>
      </c>
      <c r="H1164">
        <v>96603</v>
      </c>
      <c r="O1164">
        <v>5352</v>
      </c>
      <c r="P1164" t="s">
        <v>2625</v>
      </c>
      <c r="Q1164">
        <v>5697</v>
      </c>
      <c r="R1164" t="s">
        <v>2344</v>
      </c>
      <c r="S1164" t="s">
        <v>2036</v>
      </c>
      <c r="T1164">
        <v>202206</v>
      </c>
      <c r="U1164" t="s">
        <v>178</v>
      </c>
      <c r="V1164">
        <v>900</v>
      </c>
    </row>
    <row r="1165" spans="1:22">
      <c r="A1165">
        <v>5352</v>
      </c>
      <c r="B1165" t="s">
        <v>2625</v>
      </c>
      <c r="C1165">
        <v>5697</v>
      </c>
      <c r="D1165" t="s">
        <v>2344</v>
      </c>
      <c r="E1165" t="s">
        <v>2036</v>
      </c>
      <c r="F1165">
        <v>202110</v>
      </c>
      <c r="G1165" t="s">
        <v>184</v>
      </c>
      <c r="H1165">
        <v>13589</v>
      </c>
      <c r="O1165">
        <v>5352</v>
      </c>
      <c r="P1165" t="s">
        <v>2625</v>
      </c>
      <c r="Q1165">
        <v>5697</v>
      </c>
      <c r="R1165" t="s">
        <v>2344</v>
      </c>
      <c r="S1165" t="s">
        <v>2036</v>
      </c>
      <c r="T1165">
        <v>202206</v>
      </c>
      <c r="U1165" t="s">
        <v>180</v>
      </c>
      <c r="V1165">
        <v>850</v>
      </c>
    </row>
    <row r="1166" spans="1:22">
      <c r="A1166">
        <v>5352</v>
      </c>
      <c r="B1166" t="s">
        <v>2625</v>
      </c>
      <c r="C1166">
        <v>5697</v>
      </c>
      <c r="D1166" t="s">
        <v>2344</v>
      </c>
      <c r="E1166" t="s">
        <v>2036</v>
      </c>
      <c r="F1166">
        <v>202110</v>
      </c>
      <c r="G1166" t="s">
        <v>192</v>
      </c>
      <c r="H1166">
        <v>0</v>
      </c>
      <c r="O1166">
        <v>5352</v>
      </c>
      <c r="P1166" t="s">
        <v>2625</v>
      </c>
      <c r="Q1166">
        <v>5697</v>
      </c>
      <c r="R1166" t="s">
        <v>2344</v>
      </c>
      <c r="S1166" t="s">
        <v>2036</v>
      </c>
      <c r="T1166">
        <v>202206</v>
      </c>
      <c r="U1166" t="s">
        <v>182</v>
      </c>
      <c r="V1166">
        <v>183607</v>
      </c>
    </row>
    <row r="1167" spans="1:22">
      <c r="A1167">
        <v>5352</v>
      </c>
      <c r="B1167" t="s">
        <v>2625</v>
      </c>
      <c r="C1167">
        <v>5697</v>
      </c>
      <c r="D1167" t="s">
        <v>2344</v>
      </c>
      <c r="E1167" t="s">
        <v>2036</v>
      </c>
      <c r="F1167">
        <v>202110</v>
      </c>
      <c r="G1167" t="s">
        <v>2170</v>
      </c>
      <c r="H1167">
        <v>644.17999999999995</v>
      </c>
      <c r="O1167">
        <v>5352</v>
      </c>
      <c r="P1167" t="s">
        <v>2625</v>
      </c>
      <c r="Q1167">
        <v>5697</v>
      </c>
      <c r="R1167" t="s">
        <v>2344</v>
      </c>
      <c r="S1167" t="s">
        <v>2036</v>
      </c>
      <c r="T1167">
        <v>202206</v>
      </c>
      <c r="U1167" t="s">
        <v>184</v>
      </c>
      <c r="V1167">
        <v>27620</v>
      </c>
    </row>
    <row r="1168" spans="1:22">
      <c r="A1168">
        <v>5352</v>
      </c>
      <c r="B1168" t="s">
        <v>2625</v>
      </c>
      <c r="C1168">
        <v>5697</v>
      </c>
      <c r="D1168" t="s">
        <v>2344</v>
      </c>
      <c r="E1168" t="s">
        <v>2036</v>
      </c>
      <c r="F1168">
        <v>202110</v>
      </c>
      <c r="G1168" t="s">
        <v>186</v>
      </c>
      <c r="H1168">
        <v>0</v>
      </c>
      <c r="O1168">
        <v>5352</v>
      </c>
      <c r="P1168" t="s">
        <v>2625</v>
      </c>
      <c r="Q1168">
        <v>5697</v>
      </c>
      <c r="R1168" t="s">
        <v>2344</v>
      </c>
      <c r="S1168" t="s">
        <v>2036</v>
      </c>
      <c r="T1168">
        <v>202206</v>
      </c>
      <c r="U1168" t="s">
        <v>186</v>
      </c>
      <c r="V1168">
        <v>0</v>
      </c>
    </row>
    <row r="1169" spans="1:22">
      <c r="A1169">
        <v>5352</v>
      </c>
      <c r="B1169" t="s">
        <v>2625</v>
      </c>
      <c r="C1169">
        <v>5697</v>
      </c>
      <c r="D1169" t="s">
        <v>2344</v>
      </c>
      <c r="E1169" t="s">
        <v>2036</v>
      </c>
      <c r="F1169">
        <v>202110</v>
      </c>
      <c r="G1169" t="s">
        <v>2169</v>
      </c>
      <c r="H1169">
        <v>99.17</v>
      </c>
      <c r="O1169">
        <v>5352</v>
      </c>
      <c r="P1169" t="s">
        <v>2625</v>
      </c>
      <c r="Q1169">
        <v>5697</v>
      </c>
      <c r="R1169" t="s">
        <v>2344</v>
      </c>
      <c r="S1169" t="s">
        <v>2036</v>
      </c>
      <c r="T1169">
        <v>202206</v>
      </c>
      <c r="U1169" t="s">
        <v>190</v>
      </c>
      <c r="V1169">
        <v>100005</v>
      </c>
    </row>
    <row r="1170" spans="1:22">
      <c r="A1170">
        <v>5352</v>
      </c>
      <c r="B1170" t="s">
        <v>2625</v>
      </c>
      <c r="C1170">
        <v>5697</v>
      </c>
      <c r="D1170" t="s">
        <v>2344</v>
      </c>
      <c r="E1170" t="s">
        <v>2036</v>
      </c>
      <c r="F1170">
        <v>202110</v>
      </c>
      <c r="G1170" t="s">
        <v>2166</v>
      </c>
      <c r="H1170">
        <v>12.33</v>
      </c>
      <c r="O1170">
        <v>5352</v>
      </c>
      <c r="P1170" t="s">
        <v>2625</v>
      </c>
      <c r="Q1170">
        <v>5697</v>
      </c>
      <c r="R1170" t="s">
        <v>2344</v>
      </c>
      <c r="S1170" t="s">
        <v>2036</v>
      </c>
      <c r="T1170">
        <v>202206</v>
      </c>
      <c r="U1170" t="s">
        <v>191</v>
      </c>
      <c r="V1170">
        <v>13567</v>
      </c>
    </row>
    <row r="1171" spans="1:22">
      <c r="A1171">
        <v>5352</v>
      </c>
      <c r="B1171" t="s">
        <v>2625</v>
      </c>
      <c r="C1171">
        <v>5697</v>
      </c>
      <c r="D1171" t="s">
        <v>2344</v>
      </c>
      <c r="E1171" t="s">
        <v>2036</v>
      </c>
      <c r="F1171">
        <v>202110</v>
      </c>
      <c r="G1171" t="s">
        <v>2167</v>
      </c>
      <c r="H1171">
        <v>23.94</v>
      </c>
      <c r="O1171">
        <v>5352</v>
      </c>
      <c r="P1171" t="s">
        <v>2625</v>
      </c>
      <c r="Q1171">
        <v>5697</v>
      </c>
      <c r="R1171" t="s">
        <v>2344</v>
      </c>
      <c r="S1171" t="s">
        <v>2036</v>
      </c>
      <c r="T1171">
        <v>202206</v>
      </c>
      <c r="U1171" t="s">
        <v>178</v>
      </c>
      <c r="V1171">
        <v>320</v>
      </c>
    </row>
    <row r="1172" spans="1:22">
      <c r="A1172">
        <v>5352</v>
      </c>
      <c r="B1172" t="s">
        <v>2625</v>
      </c>
      <c r="C1172">
        <v>5697</v>
      </c>
      <c r="D1172" t="s">
        <v>2344</v>
      </c>
      <c r="E1172" t="s">
        <v>2036</v>
      </c>
      <c r="F1172">
        <v>202110</v>
      </c>
      <c r="G1172" t="s">
        <v>2168</v>
      </c>
      <c r="H1172">
        <v>10.17</v>
      </c>
      <c r="O1172">
        <v>5352</v>
      </c>
      <c r="P1172" t="s">
        <v>2625</v>
      </c>
      <c r="Q1172">
        <v>5697</v>
      </c>
      <c r="R1172" t="s">
        <v>2344</v>
      </c>
      <c r="S1172" t="s">
        <v>2036</v>
      </c>
      <c r="T1172">
        <v>202206</v>
      </c>
      <c r="U1172" t="s">
        <v>180</v>
      </c>
      <c r="V1172">
        <v>320</v>
      </c>
    </row>
    <row r="1173" spans="1:22">
      <c r="A1173">
        <v>5352</v>
      </c>
      <c r="B1173" t="s">
        <v>2625</v>
      </c>
      <c r="C1173">
        <v>5697</v>
      </c>
      <c r="D1173" t="s">
        <v>2344</v>
      </c>
      <c r="E1173" t="s">
        <v>2036</v>
      </c>
      <c r="F1173">
        <v>202110</v>
      </c>
      <c r="G1173" t="s">
        <v>2171</v>
      </c>
      <c r="H1173">
        <v>24586.65</v>
      </c>
      <c r="O1173">
        <v>5352</v>
      </c>
      <c r="P1173" t="s">
        <v>2625</v>
      </c>
      <c r="Q1173">
        <v>5697</v>
      </c>
      <c r="R1173" t="s">
        <v>2344</v>
      </c>
      <c r="S1173" t="s">
        <v>2036</v>
      </c>
      <c r="T1173">
        <v>202206</v>
      </c>
      <c r="U1173" t="s">
        <v>182</v>
      </c>
      <c r="V1173">
        <v>100005</v>
      </c>
    </row>
    <row r="1174" spans="1:22">
      <c r="A1174">
        <v>5352</v>
      </c>
      <c r="B1174" t="s">
        <v>2625</v>
      </c>
      <c r="C1174">
        <v>5697</v>
      </c>
      <c r="D1174" t="s">
        <v>2344</v>
      </c>
      <c r="E1174" t="s">
        <v>2036</v>
      </c>
      <c r="F1174">
        <v>202110</v>
      </c>
      <c r="G1174" t="s">
        <v>190</v>
      </c>
      <c r="H1174">
        <v>136900</v>
      </c>
      <c r="O1174">
        <v>5352</v>
      </c>
      <c r="P1174" t="s">
        <v>2625</v>
      </c>
      <c r="Q1174">
        <v>5697</v>
      </c>
      <c r="R1174" t="s">
        <v>2344</v>
      </c>
      <c r="S1174" t="s">
        <v>2036</v>
      </c>
      <c r="T1174">
        <v>202206</v>
      </c>
      <c r="U1174" t="s">
        <v>184</v>
      </c>
      <c r="V1174">
        <v>13567</v>
      </c>
    </row>
    <row r="1175" spans="1:22">
      <c r="A1175">
        <v>5352</v>
      </c>
      <c r="B1175" t="s">
        <v>2625</v>
      </c>
      <c r="C1175">
        <v>5697</v>
      </c>
      <c r="D1175" t="s">
        <v>2344</v>
      </c>
      <c r="E1175" t="s">
        <v>2036</v>
      </c>
      <c r="F1175">
        <v>202110</v>
      </c>
      <c r="G1175" t="s">
        <v>191</v>
      </c>
      <c r="H1175">
        <v>19726</v>
      </c>
      <c r="O1175">
        <v>5352</v>
      </c>
      <c r="P1175" t="s">
        <v>2625</v>
      </c>
      <c r="Q1175">
        <v>5697</v>
      </c>
      <c r="R1175" t="s">
        <v>2344</v>
      </c>
      <c r="S1175" t="s">
        <v>2036</v>
      </c>
      <c r="T1175">
        <v>202206</v>
      </c>
      <c r="U1175" t="s">
        <v>186</v>
      </c>
      <c r="V1175">
        <v>0</v>
      </c>
    </row>
    <row r="1176" spans="1:22">
      <c r="A1176">
        <v>5352</v>
      </c>
      <c r="B1176" t="s">
        <v>2625</v>
      </c>
      <c r="C1176">
        <v>5697</v>
      </c>
      <c r="D1176" t="s">
        <v>2344</v>
      </c>
      <c r="E1176" t="s">
        <v>2036</v>
      </c>
      <c r="F1176">
        <v>202110</v>
      </c>
      <c r="G1176" t="s">
        <v>176</v>
      </c>
      <c r="H1176">
        <v>0</v>
      </c>
      <c r="O1176">
        <v>5352</v>
      </c>
      <c r="P1176" t="s">
        <v>2625</v>
      </c>
      <c r="Q1176">
        <v>5697</v>
      </c>
      <c r="R1176" t="s">
        <v>2344</v>
      </c>
      <c r="S1176" t="s">
        <v>2036</v>
      </c>
      <c r="T1176">
        <v>202206</v>
      </c>
      <c r="U1176" t="s">
        <v>190</v>
      </c>
      <c r="V1176">
        <v>160498</v>
      </c>
    </row>
    <row r="1177" spans="1:22">
      <c r="A1177">
        <v>5352</v>
      </c>
      <c r="B1177" t="s">
        <v>2625</v>
      </c>
      <c r="C1177">
        <v>5697</v>
      </c>
      <c r="D1177" t="s">
        <v>2344</v>
      </c>
      <c r="E1177" t="s">
        <v>2036</v>
      </c>
      <c r="F1177">
        <v>202110</v>
      </c>
      <c r="G1177" t="s">
        <v>178</v>
      </c>
      <c r="H1177">
        <v>600</v>
      </c>
      <c r="O1177">
        <v>5352</v>
      </c>
      <c r="P1177" t="s">
        <v>2625</v>
      </c>
      <c r="Q1177">
        <v>5697</v>
      </c>
      <c r="R1177" t="s">
        <v>2344</v>
      </c>
      <c r="S1177" t="s">
        <v>2036</v>
      </c>
      <c r="T1177">
        <v>202206</v>
      </c>
      <c r="U1177" t="s">
        <v>191</v>
      </c>
      <c r="V1177">
        <v>22586</v>
      </c>
    </row>
    <row r="1178" spans="1:22">
      <c r="A1178">
        <v>5352</v>
      </c>
      <c r="B1178" t="s">
        <v>2625</v>
      </c>
      <c r="C1178">
        <v>5697</v>
      </c>
      <c r="D1178" t="s">
        <v>2344</v>
      </c>
      <c r="E1178" t="s">
        <v>2036</v>
      </c>
      <c r="F1178">
        <v>202110</v>
      </c>
      <c r="G1178" t="s">
        <v>180</v>
      </c>
      <c r="H1178">
        <v>600</v>
      </c>
      <c r="O1178">
        <v>5352</v>
      </c>
      <c r="P1178" t="s">
        <v>2625</v>
      </c>
      <c r="Q1178">
        <v>5697</v>
      </c>
      <c r="R1178" t="s">
        <v>2344</v>
      </c>
      <c r="S1178" t="s">
        <v>2036</v>
      </c>
      <c r="T1178">
        <v>202206</v>
      </c>
      <c r="U1178" t="s">
        <v>178</v>
      </c>
      <c r="V1178">
        <v>600</v>
      </c>
    </row>
    <row r="1179" spans="1:22">
      <c r="A1179">
        <v>5352</v>
      </c>
      <c r="B1179" t="s">
        <v>2625</v>
      </c>
      <c r="C1179">
        <v>5697</v>
      </c>
      <c r="D1179" t="s">
        <v>2344</v>
      </c>
      <c r="E1179" t="s">
        <v>2036</v>
      </c>
      <c r="F1179">
        <v>202110</v>
      </c>
      <c r="G1179" t="s">
        <v>182</v>
      </c>
      <c r="H1179">
        <v>136900</v>
      </c>
      <c r="O1179">
        <v>5352</v>
      </c>
      <c r="P1179" t="s">
        <v>2625</v>
      </c>
      <c r="Q1179">
        <v>5697</v>
      </c>
      <c r="R1179" t="s">
        <v>2344</v>
      </c>
      <c r="S1179" t="s">
        <v>2036</v>
      </c>
      <c r="T1179">
        <v>202206</v>
      </c>
      <c r="U1179" t="s">
        <v>180</v>
      </c>
      <c r="V1179">
        <v>600</v>
      </c>
    </row>
    <row r="1180" spans="1:22">
      <c r="A1180">
        <v>5352</v>
      </c>
      <c r="B1180" t="s">
        <v>2625</v>
      </c>
      <c r="C1180">
        <v>5697</v>
      </c>
      <c r="D1180" t="s">
        <v>2344</v>
      </c>
      <c r="E1180" t="s">
        <v>2036</v>
      </c>
      <c r="F1180">
        <v>202110</v>
      </c>
      <c r="G1180" t="s">
        <v>184</v>
      </c>
      <c r="H1180">
        <v>19726</v>
      </c>
      <c r="O1180">
        <v>5352</v>
      </c>
      <c r="P1180" t="s">
        <v>2625</v>
      </c>
      <c r="Q1180">
        <v>5697</v>
      </c>
      <c r="R1180" t="s">
        <v>2344</v>
      </c>
      <c r="S1180" t="s">
        <v>2036</v>
      </c>
      <c r="T1180">
        <v>202206</v>
      </c>
      <c r="U1180" t="s">
        <v>182</v>
      </c>
      <c r="V1180">
        <v>160498</v>
      </c>
    </row>
    <row r="1181" spans="1:22">
      <c r="A1181">
        <v>5352</v>
      </c>
      <c r="B1181" t="s">
        <v>2625</v>
      </c>
      <c r="C1181">
        <v>5697</v>
      </c>
      <c r="D1181" t="s">
        <v>2344</v>
      </c>
      <c r="E1181" t="s">
        <v>2036</v>
      </c>
      <c r="F1181">
        <v>202110</v>
      </c>
      <c r="G1181" t="s">
        <v>192</v>
      </c>
      <c r="H1181">
        <v>0</v>
      </c>
      <c r="O1181">
        <v>5352</v>
      </c>
      <c r="P1181" t="s">
        <v>2625</v>
      </c>
      <c r="Q1181">
        <v>5697</v>
      </c>
      <c r="R1181" t="s">
        <v>2344</v>
      </c>
      <c r="S1181" t="s">
        <v>2036</v>
      </c>
      <c r="T1181">
        <v>202206</v>
      </c>
      <c r="U1181" t="s">
        <v>184</v>
      </c>
      <c r="V1181">
        <v>22586</v>
      </c>
    </row>
    <row r="1182" spans="1:22">
      <c r="A1182">
        <v>5352</v>
      </c>
      <c r="B1182" t="s">
        <v>2625</v>
      </c>
      <c r="C1182">
        <v>5697</v>
      </c>
      <c r="D1182" t="s">
        <v>2344</v>
      </c>
      <c r="E1182" t="s">
        <v>2036</v>
      </c>
      <c r="F1182">
        <v>202110</v>
      </c>
      <c r="G1182" t="s">
        <v>2170</v>
      </c>
      <c r="H1182">
        <v>1056.8399999999999</v>
      </c>
      <c r="O1182">
        <v>5352</v>
      </c>
      <c r="P1182" t="s">
        <v>2625</v>
      </c>
      <c r="Q1182">
        <v>5697</v>
      </c>
      <c r="R1182" t="s">
        <v>2344</v>
      </c>
      <c r="S1182" t="s">
        <v>2036</v>
      </c>
      <c r="T1182">
        <v>202206</v>
      </c>
      <c r="U1182" t="s">
        <v>186</v>
      </c>
      <c r="V1182">
        <v>0</v>
      </c>
    </row>
    <row r="1183" spans="1:22">
      <c r="A1183">
        <v>5352</v>
      </c>
      <c r="B1183" t="s">
        <v>2625</v>
      </c>
      <c r="C1183">
        <v>5697</v>
      </c>
      <c r="D1183" t="s">
        <v>2344</v>
      </c>
      <c r="E1183" t="s">
        <v>2036</v>
      </c>
      <c r="F1183">
        <v>202110</v>
      </c>
      <c r="G1183" t="s">
        <v>2169</v>
      </c>
      <c r="H1183">
        <v>99.17</v>
      </c>
      <c r="O1183">
        <v>5352</v>
      </c>
      <c r="P1183" t="s">
        <v>2625</v>
      </c>
      <c r="Q1183">
        <v>5697</v>
      </c>
      <c r="R1183" t="s">
        <v>2344</v>
      </c>
      <c r="S1183" t="s">
        <v>2036</v>
      </c>
      <c r="T1183">
        <v>202206</v>
      </c>
      <c r="U1183" t="s">
        <v>190</v>
      </c>
      <c r="V1183">
        <v>172114</v>
      </c>
    </row>
    <row r="1184" spans="1:22">
      <c r="A1184">
        <v>5352</v>
      </c>
      <c r="B1184" t="s">
        <v>2625</v>
      </c>
      <c r="C1184">
        <v>5697</v>
      </c>
      <c r="D1184" t="s">
        <v>2344</v>
      </c>
      <c r="E1184" t="s">
        <v>2036</v>
      </c>
      <c r="F1184">
        <v>202110</v>
      </c>
      <c r="G1184" t="s">
        <v>2166</v>
      </c>
      <c r="H1184">
        <v>12.33</v>
      </c>
      <c r="O1184">
        <v>5352</v>
      </c>
      <c r="P1184" t="s">
        <v>2625</v>
      </c>
      <c r="Q1184">
        <v>5697</v>
      </c>
      <c r="R1184" t="s">
        <v>2344</v>
      </c>
      <c r="S1184" t="s">
        <v>2036</v>
      </c>
      <c r="T1184">
        <v>202206</v>
      </c>
      <c r="U1184" t="s">
        <v>191</v>
      </c>
      <c r="V1184">
        <v>22865</v>
      </c>
    </row>
    <row r="1185" spans="1:22">
      <c r="A1185">
        <v>5352</v>
      </c>
      <c r="B1185" t="s">
        <v>2625</v>
      </c>
      <c r="C1185">
        <v>5697</v>
      </c>
      <c r="D1185" t="s">
        <v>2344</v>
      </c>
      <c r="E1185" t="s">
        <v>2036</v>
      </c>
      <c r="F1185">
        <v>202110</v>
      </c>
      <c r="G1185" t="s">
        <v>2167</v>
      </c>
      <c r="H1185">
        <v>23.94</v>
      </c>
      <c r="O1185">
        <v>5352</v>
      </c>
      <c r="P1185" t="s">
        <v>2625</v>
      </c>
      <c r="Q1185">
        <v>5697</v>
      </c>
      <c r="R1185" t="s">
        <v>2344</v>
      </c>
      <c r="S1185" t="s">
        <v>2036</v>
      </c>
      <c r="T1185">
        <v>202206</v>
      </c>
      <c r="U1185" t="s">
        <v>178</v>
      </c>
      <c r="V1185">
        <v>679</v>
      </c>
    </row>
    <row r="1186" spans="1:22">
      <c r="A1186">
        <v>5352</v>
      </c>
      <c r="B1186" t="s">
        <v>2625</v>
      </c>
      <c r="C1186">
        <v>5697</v>
      </c>
      <c r="D1186" t="s">
        <v>2344</v>
      </c>
      <c r="E1186" t="s">
        <v>2036</v>
      </c>
      <c r="F1186">
        <v>202110</v>
      </c>
      <c r="G1186" t="s">
        <v>2168</v>
      </c>
      <c r="H1186">
        <v>10.17</v>
      </c>
      <c r="O1186">
        <v>5352</v>
      </c>
      <c r="P1186" t="s">
        <v>2625</v>
      </c>
      <c r="Q1186">
        <v>5697</v>
      </c>
      <c r="R1186" t="s">
        <v>2344</v>
      </c>
      <c r="S1186" t="s">
        <v>2036</v>
      </c>
      <c r="T1186">
        <v>202206</v>
      </c>
      <c r="U1186" t="s">
        <v>180</v>
      </c>
      <c r="V1186">
        <v>600</v>
      </c>
    </row>
    <row r="1187" spans="1:22">
      <c r="A1187">
        <v>5352</v>
      </c>
      <c r="B1187" t="s">
        <v>2625</v>
      </c>
      <c r="C1187">
        <v>5697</v>
      </c>
      <c r="D1187" t="s">
        <v>2344</v>
      </c>
      <c r="E1187" t="s">
        <v>2036</v>
      </c>
      <c r="F1187">
        <v>202110</v>
      </c>
      <c r="G1187" t="s">
        <v>2171</v>
      </c>
      <c r="H1187">
        <v>40337.660000000003</v>
      </c>
      <c r="O1187">
        <v>5352</v>
      </c>
      <c r="P1187" t="s">
        <v>2625</v>
      </c>
      <c r="Q1187">
        <v>5697</v>
      </c>
      <c r="R1187" t="s">
        <v>2344</v>
      </c>
      <c r="S1187" t="s">
        <v>2036</v>
      </c>
      <c r="T1187">
        <v>202206</v>
      </c>
      <c r="U1187" t="s">
        <v>182</v>
      </c>
      <c r="V1187">
        <v>172114</v>
      </c>
    </row>
    <row r="1188" spans="1:22">
      <c r="A1188">
        <v>5352</v>
      </c>
      <c r="B1188" t="s">
        <v>2625</v>
      </c>
      <c r="C1188">
        <v>5697</v>
      </c>
      <c r="D1188" t="s">
        <v>2344</v>
      </c>
      <c r="E1188" t="s">
        <v>2036</v>
      </c>
      <c r="F1188">
        <v>202110</v>
      </c>
      <c r="G1188" t="s">
        <v>190</v>
      </c>
      <c r="H1188">
        <v>116357</v>
      </c>
      <c r="O1188">
        <v>5352</v>
      </c>
      <c r="P1188" t="s">
        <v>2625</v>
      </c>
      <c r="Q1188">
        <v>5697</v>
      </c>
      <c r="R1188" t="s">
        <v>2344</v>
      </c>
      <c r="S1188" t="s">
        <v>2036</v>
      </c>
      <c r="T1188">
        <v>202206</v>
      </c>
      <c r="U1188" t="s">
        <v>184</v>
      </c>
      <c r="V1188">
        <v>22865</v>
      </c>
    </row>
    <row r="1189" spans="1:22">
      <c r="A1189">
        <v>5352</v>
      </c>
      <c r="B1189" t="s">
        <v>2625</v>
      </c>
      <c r="C1189">
        <v>5697</v>
      </c>
      <c r="D1189" t="s">
        <v>2344</v>
      </c>
      <c r="E1189" t="s">
        <v>2036</v>
      </c>
      <c r="F1189">
        <v>202110</v>
      </c>
      <c r="G1189" t="s">
        <v>191</v>
      </c>
      <c r="H1189">
        <v>16659</v>
      </c>
      <c r="O1189">
        <v>5352</v>
      </c>
      <c r="P1189" t="s">
        <v>2625</v>
      </c>
      <c r="Q1189">
        <v>5697</v>
      </c>
      <c r="R1189" t="s">
        <v>2344</v>
      </c>
      <c r="S1189" t="s">
        <v>2036</v>
      </c>
      <c r="T1189">
        <v>202206</v>
      </c>
      <c r="U1189" t="s">
        <v>186</v>
      </c>
      <c r="V1189">
        <v>0</v>
      </c>
    </row>
    <row r="1190" spans="1:22">
      <c r="A1190">
        <v>5352</v>
      </c>
      <c r="B1190" t="s">
        <v>2625</v>
      </c>
      <c r="C1190">
        <v>5697</v>
      </c>
      <c r="D1190" t="s">
        <v>2344</v>
      </c>
      <c r="E1190" t="s">
        <v>2036</v>
      </c>
      <c r="F1190">
        <v>202110</v>
      </c>
      <c r="G1190" t="s">
        <v>176</v>
      </c>
      <c r="H1190">
        <v>0</v>
      </c>
      <c r="O1190">
        <v>5352</v>
      </c>
      <c r="P1190" t="s">
        <v>2625</v>
      </c>
      <c r="Q1190">
        <v>5697</v>
      </c>
      <c r="R1190" t="s">
        <v>2344</v>
      </c>
      <c r="S1190" t="s">
        <v>2036</v>
      </c>
      <c r="T1190">
        <v>202207</v>
      </c>
      <c r="U1190" t="s">
        <v>190</v>
      </c>
      <c r="V1190">
        <v>81346</v>
      </c>
    </row>
    <row r="1191" spans="1:22">
      <c r="A1191">
        <v>5352</v>
      </c>
      <c r="B1191" t="s">
        <v>2625</v>
      </c>
      <c r="C1191">
        <v>5697</v>
      </c>
      <c r="D1191" t="s">
        <v>2344</v>
      </c>
      <c r="E1191" t="s">
        <v>2036</v>
      </c>
      <c r="F1191">
        <v>202110</v>
      </c>
      <c r="G1191" t="s">
        <v>178</v>
      </c>
      <c r="H1191">
        <v>450</v>
      </c>
      <c r="O1191">
        <v>5352</v>
      </c>
      <c r="P1191" t="s">
        <v>2625</v>
      </c>
      <c r="Q1191">
        <v>5697</v>
      </c>
      <c r="R1191" t="s">
        <v>2344</v>
      </c>
      <c r="S1191" t="s">
        <v>2036</v>
      </c>
      <c r="T1191">
        <v>202207</v>
      </c>
      <c r="U1191" t="s">
        <v>191</v>
      </c>
      <c r="V1191">
        <v>12744</v>
      </c>
    </row>
    <row r="1192" spans="1:22">
      <c r="A1192">
        <v>5352</v>
      </c>
      <c r="B1192" t="s">
        <v>2625</v>
      </c>
      <c r="C1192">
        <v>5697</v>
      </c>
      <c r="D1192" t="s">
        <v>2344</v>
      </c>
      <c r="E1192" t="s">
        <v>2036</v>
      </c>
      <c r="F1192">
        <v>202110</v>
      </c>
      <c r="G1192" t="s">
        <v>180</v>
      </c>
      <c r="H1192">
        <v>450</v>
      </c>
      <c r="O1192">
        <v>5352</v>
      </c>
      <c r="P1192" t="s">
        <v>2625</v>
      </c>
      <c r="Q1192">
        <v>5697</v>
      </c>
      <c r="R1192" t="s">
        <v>2344</v>
      </c>
      <c r="S1192" t="s">
        <v>2036</v>
      </c>
      <c r="T1192">
        <v>202207</v>
      </c>
      <c r="U1192" t="s">
        <v>178</v>
      </c>
      <c r="V1192">
        <v>510</v>
      </c>
    </row>
    <row r="1193" spans="1:22">
      <c r="A1193">
        <v>5352</v>
      </c>
      <c r="B1193" t="s">
        <v>2625</v>
      </c>
      <c r="C1193">
        <v>5697</v>
      </c>
      <c r="D1193" t="s">
        <v>2344</v>
      </c>
      <c r="E1193" t="s">
        <v>2036</v>
      </c>
      <c r="F1193">
        <v>202110</v>
      </c>
      <c r="G1193" t="s">
        <v>182</v>
      </c>
      <c r="H1193">
        <v>116357</v>
      </c>
      <c r="O1193">
        <v>5352</v>
      </c>
      <c r="P1193" t="s">
        <v>2625</v>
      </c>
      <c r="Q1193">
        <v>5697</v>
      </c>
      <c r="R1193" t="s">
        <v>2344</v>
      </c>
      <c r="S1193" t="s">
        <v>2036</v>
      </c>
      <c r="T1193">
        <v>202207</v>
      </c>
      <c r="U1193" t="s">
        <v>180</v>
      </c>
      <c r="V1193">
        <v>570</v>
      </c>
    </row>
    <row r="1194" spans="1:22">
      <c r="A1194">
        <v>5352</v>
      </c>
      <c r="B1194" t="s">
        <v>2625</v>
      </c>
      <c r="C1194">
        <v>5697</v>
      </c>
      <c r="D1194" t="s">
        <v>2344</v>
      </c>
      <c r="E1194" t="s">
        <v>2036</v>
      </c>
      <c r="F1194">
        <v>202110</v>
      </c>
      <c r="G1194" t="s">
        <v>184</v>
      </c>
      <c r="H1194">
        <v>16659</v>
      </c>
      <c r="O1194">
        <v>5352</v>
      </c>
      <c r="P1194" t="s">
        <v>2625</v>
      </c>
      <c r="Q1194">
        <v>5697</v>
      </c>
      <c r="R1194" t="s">
        <v>2344</v>
      </c>
      <c r="S1194" t="s">
        <v>2036</v>
      </c>
      <c r="T1194">
        <v>202207</v>
      </c>
      <c r="U1194" t="s">
        <v>182</v>
      </c>
      <c r="V1194">
        <v>81346</v>
      </c>
    </row>
    <row r="1195" spans="1:22">
      <c r="A1195">
        <v>5352</v>
      </c>
      <c r="B1195" t="s">
        <v>2625</v>
      </c>
      <c r="C1195">
        <v>5697</v>
      </c>
      <c r="D1195" t="s">
        <v>2344</v>
      </c>
      <c r="E1195" t="s">
        <v>2036</v>
      </c>
      <c r="F1195">
        <v>202110</v>
      </c>
      <c r="G1195" t="s">
        <v>192</v>
      </c>
      <c r="H1195">
        <v>0</v>
      </c>
      <c r="O1195">
        <v>5352</v>
      </c>
      <c r="P1195" t="s">
        <v>2625</v>
      </c>
      <c r="Q1195">
        <v>5697</v>
      </c>
      <c r="R1195" t="s">
        <v>2344</v>
      </c>
      <c r="S1195" t="s">
        <v>2036</v>
      </c>
      <c r="T1195">
        <v>202207</v>
      </c>
      <c r="U1195" t="s">
        <v>184</v>
      </c>
      <c r="V1195">
        <v>12744</v>
      </c>
    </row>
    <row r="1196" spans="1:22">
      <c r="A1196">
        <v>5352</v>
      </c>
      <c r="B1196" t="s">
        <v>2625</v>
      </c>
      <c r="C1196">
        <v>5697</v>
      </c>
      <c r="D1196" t="s">
        <v>2344</v>
      </c>
      <c r="E1196" t="s">
        <v>2036</v>
      </c>
      <c r="F1196">
        <v>202110</v>
      </c>
      <c r="G1196" t="s">
        <v>2170</v>
      </c>
      <c r="H1196">
        <v>839.6</v>
      </c>
      <c r="O1196">
        <v>5352</v>
      </c>
      <c r="P1196" t="s">
        <v>2625</v>
      </c>
      <c r="Q1196">
        <v>5697</v>
      </c>
      <c r="R1196" t="s">
        <v>2344</v>
      </c>
      <c r="S1196" t="s">
        <v>2036</v>
      </c>
      <c r="T1196">
        <v>202207</v>
      </c>
      <c r="U1196" t="s">
        <v>186</v>
      </c>
      <c r="V1196">
        <v>0</v>
      </c>
    </row>
    <row r="1197" spans="1:22">
      <c r="A1197">
        <v>5352</v>
      </c>
      <c r="B1197" t="s">
        <v>2625</v>
      </c>
      <c r="C1197">
        <v>5697</v>
      </c>
      <c r="D1197" t="s">
        <v>2344</v>
      </c>
      <c r="E1197" t="s">
        <v>2036</v>
      </c>
      <c r="F1197">
        <v>202110</v>
      </c>
      <c r="G1197" t="s">
        <v>186</v>
      </c>
      <c r="H1197">
        <v>0</v>
      </c>
      <c r="O1197">
        <v>5352</v>
      </c>
      <c r="P1197" t="s">
        <v>2625</v>
      </c>
      <c r="Q1197">
        <v>5697</v>
      </c>
      <c r="R1197" t="s">
        <v>2344</v>
      </c>
      <c r="S1197" t="s">
        <v>2036</v>
      </c>
      <c r="T1197">
        <v>202207</v>
      </c>
      <c r="U1197" t="s">
        <v>190</v>
      </c>
      <c r="V1197">
        <v>193316</v>
      </c>
    </row>
    <row r="1198" spans="1:22">
      <c r="A1198">
        <v>5352</v>
      </c>
      <c r="B1198" t="s">
        <v>2625</v>
      </c>
      <c r="C1198">
        <v>5697</v>
      </c>
      <c r="D1198" t="s">
        <v>2344</v>
      </c>
      <c r="E1198" t="s">
        <v>2036</v>
      </c>
      <c r="F1198">
        <v>202110</v>
      </c>
      <c r="G1198" t="s">
        <v>2169</v>
      </c>
      <c r="H1198">
        <v>99.17</v>
      </c>
      <c r="O1198">
        <v>5352</v>
      </c>
      <c r="P1198" t="s">
        <v>2625</v>
      </c>
      <c r="Q1198">
        <v>5697</v>
      </c>
      <c r="R1198" t="s">
        <v>2344</v>
      </c>
      <c r="S1198" t="s">
        <v>2036</v>
      </c>
      <c r="T1198">
        <v>202207</v>
      </c>
      <c r="U1198" t="s">
        <v>191</v>
      </c>
      <c r="V1198">
        <v>29547</v>
      </c>
    </row>
    <row r="1199" spans="1:22">
      <c r="A1199">
        <v>5352</v>
      </c>
      <c r="B1199" t="s">
        <v>2625</v>
      </c>
      <c r="C1199">
        <v>5697</v>
      </c>
      <c r="D1199" t="s">
        <v>2344</v>
      </c>
      <c r="E1199" t="s">
        <v>2036</v>
      </c>
      <c r="F1199">
        <v>202110</v>
      </c>
      <c r="G1199" t="s">
        <v>2166</v>
      </c>
      <c r="H1199">
        <v>12.33</v>
      </c>
      <c r="O1199">
        <v>5352</v>
      </c>
      <c r="P1199" t="s">
        <v>2625</v>
      </c>
      <c r="Q1199">
        <v>5697</v>
      </c>
      <c r="R1199" t="s">
        <v>2344</v>
      </c>
      <c r="S1199" t="s">
        <v>2036</v>
      </c>
      <c r="T1199">
        <v>202207</v>
      </c>
      <c r="U1199" t="s">
        <v>178</v>
      </c>
      <c r="V1199">
        <v>700</v>
      </c>
    </row>
    <row r="1200" spans="1:22">
      <c r="A1200">
        <v>5352</v>
      </c>
      <c r="B1200" t="s">
        <v>2625</v>
      </c>
      <c r="C1200">
        <v>5697</v>
      </c>
      <c r="D1200" t="s">
        <v>2344</v>
      </c>
      <c r="E1200" t="s">
        <v>2036</v>
      </c>
      <c r="F1200">
        <v>202110</v>
      </c>
      <c r="G1200" t="s">
        <v>2167</v>
      </c>
      <c r="H1200">
        <v>23.94</v>
      </c>
      <c r="O1200">
        <v>5352</v>
      </c>
      <c r="P1200" t="s">
        <v>2625</v>
      </c>
      <c r="Q1200">
        <v>5697</v>
      </c>
      <c r="R1200" t="s">
        <v>2344</v>
      </c>
      <c r="S1200" t="s">
        <v>2036</v>
      </c>
      <c r="T1200">
        <v>202207</v>
      </c>
      <c r="U1200" t="s">
        <v>180</v>
      </c>
      <c r="V1200">
        <v>600</v>
      </c>
    </row>
    <row r="1201" spans="1:22">
      <c r="A1201">
        <v>5352</v>
      </c>
      <c r="B1201" t="s">
        <v>2625</v>
      </c>
      <c r="C1201">
        <v>5697</v>
      </c>
      <c r="D1201" t="s">
        <v>2344</v>
      </c>
      <c r="E1201" t="s">
        <v>2036</v>
      </c>
      <c r="F1201">
        <v>202110</v>
      </c>
      <c r="G1201" t="s">
        <v>2168</v>
      </c>
      <c r="H1201">
        <v>10.17</v>
      </c>
      <c r="O1201">
        <v>5352</v>
      </c>
      <c r="P1201" t="s">
        <v>2625</v>
      </c>
      <c r="Q1201">
        <v>5697</v>
      </c>
      <c r="R1201" t="s">
        <v>2344</v>
      </c>
      <c r="S1201" t="s">
        <v>2036</v>
      </c>
      <c r="T1201">
        <v>202207</v>
      </c>
      <c r="U1201" t="s">
        <v>182</v>
      </c>
      <c r="V1201">
        <v>193316</v>
      </c>
    </row>
    <row r="1202" spans="1:22">
      <c r="A1202">
        <v>5352</v>
      </c>
      <c r="B1202" t="s">
        <v>2625</v>
      </c>
      <c r="C1202">
        <v>5697</v>
      </c>
      <c r="D1202" t="s">
        <v>2344</v>
      </c>
      <c r="E1202" t="s">
        <v>2036</v>
      </c>
      <c r="F1202">
        <v>202110</v>
      </c>
      <c r="G1202" t="s">
        <v>2171</v>
      </c>
      <c r="H1202">
        <v>32045.5</v>
      </c>
      <c r="O1202">
        <v>5352</v>
      </c>
      <c r="P1202" t="s">
        <v>2625</v>
      </c>
      <c r="Q1202">
        <v>5697</v>
      </c>
      <c r="R1202" t="s">
        <v>2344</v>
      </c>
      <c r="S1202" t="s">
        <v>2036</v>
      </c>
      <c r="T1202">
        <v>202207</v>
      </c>
      <c r="U1202" t="s">
        <v>184</v>
      </c>
      <c r="V1202">
        <v>29547</v>
      </c>
    </row>
    <row r="1203" spans="1:22">
      <c r="A1203">
        <v>5352</v>
      </c>
      <c r="B1203" t="s">
        <v>2625</v>
      </c>
      <c r="C1203">
        <v>5697</v>
      </c>
      <c r="D1203" t="s">
        <v>2344</v>
      </c>
      <c r="E1203" t="s">
        <v>2036</v>
      </c>
      <c r="F1203">
        <v>202110</v>
      </c>
      <c r="G1203" t="s">
        <v>190</v>
      </c>
      <c r="H1203">
        <v>270742</v>
      </c>
      <c r="O1203">
        <v>5352</v>
      </c>
      <c r="P1203" t="s">
        <v>2625</v>
      </c>
      <c r="Q1203">
        <v>5697</v>
      </c>
      <c r="R1203" t="s">
        <v>2344</v>
      </c>
      <c r="S1203" t="s">
        <v>2036</v>
      </c>
      <c r="T1203">
        <v>202207</v>
      </c>
      <c r="U1203" t="s">
        <v>186</v>
      </c>
      <c r="V1203">
        <v>0</v>
      </c>
    </row>
    <row r="1204" spans="1:22">
      <c r="A1204">
        <v>5352</v>
      </c>
      <c r="B1204" t="s">
        <v>2625</v>
      </c>
      <c r="C1204">
        <v>5697</v>
      </c>
      <c r="D1204" t="s">
        <v>2344</v>
      </c>
      <c r="E1204" t="s">
        <v>2036</v>
      </c>
      <c r="F1204">
        <v>202110</v>
      </c>
      <c r="G1204" t="s">
        <v>191</v>
      </c>
      <c r="H1204">
        <v>36587</v>
      </c>
      <c r="O1204">
        <v>5352</v>
      </c>
      <c r="P1204" t="s">
        <v>2625</v>
      </c>
      <c r="Q1204">
        <v>5697</v>
      </c>
      <c r="R1204" t="s">
        <v>2344</v>
      </c>
      <c r="S1204" t="s">
        <v>2036</v>
      </c>
      <c r="T1204">
        <v>202207</v>
      </c>
      <c r="U1204" t="s">
        <v>190</v>
      </c>
      <c r="V1204">
        <v>11138</v>
      </c>
    </row>
    <row r="1205" spans="1:22">
      <c r="A1205">
        <v>5352</v>
      </c>
      <c r="B1205" t="s">
        <v>2625</v>
      </c>
      <c r="C1205">
        <v>5697</v>
      </c>
      <c r="D1205" t="s">
        <v>2344</v>
      </c>
      <c r="E1205" t="s">
        <v>2036</v>
      </c>
      <c r="F1205">
        <v>202110</v>
      </c>
      <c r="G1205" t="s">
        <v>176</v>
      </c>
      <c r="H1205">
        <v>0</v>
      </c>
      <c r="O1205">
        <v>5352</v>
      </c>
      <c r="P1205" t="s">
        <v>2625</v>
      </c>
      <c r="Q1205">
        <v>5697</v>
      </c>
      <c r="R1205" t="s">
        <v>2344</v>
      </c>
      <c r="S1205" t="s">
        <v>2036</v>
      </c>
      <c r="T1205">
        <v>202207</v>
      </c>
      <c r="U1205" t="s">
        <v>191</v>
      </c>
      <c r="V1205">
        <v>1733</v>
      </c>
    </row>
    <row r="1206" spans="1:22">
      <c r="A1206">
        <v>5352</v>
      </c>
      <c r="B1206" t="s">
        <v>2625</v>
      </c>
      <c r="C1206">
        <v>5697</v>
      </c>
      <c r="D1206" t="s">
        <v>2344</v>
      </c>
      <c r="E1206" t="s">
        <v>2036</v>
      </c>
      <c r="F1206">
        <v>202110</v>
      </c>
      <c r="G1206" t="s">
        <v>178</v>
      </c>
      <c r="H1206">
        <v>820</v>
      </c>
      <c r="O1206">
        <v>5352</v>
      </c>
      <c r="P1206" t="s">
        <v>2625</v>
      </c>
      <c r="Q1206">
        <v>5697</v>
      </c>
      <c r="R1206" t="s">
        <v>2344</v>
      </c>
      <c r="S1206" t="s">
        <v>2036</v>
      </c>
      <c r="T1206">
        <v>202207</v>
      </c>
      <c r="U1206" t="s">
        <v>178</v>
      </c>
      <c r="V1206">
        <v>120</v>
      </c>
    </row>
    <row r="1207" spans="1:22">
      <c r="A1207">
        <v>5352</v>
      </c>
      <c r="B1207" t="s">
        <v>2625</v>
      </c>
      <c r="C1207">
        <v>5697</v>
      </c>
      <c r="D1207" t="s">
        <v>2344</v>
      </c>
      <c r="E1207" t="s">
        <v>2036</v>
      </c>
      <c r="F1207">
        <v>202110</v>
      </c>
      <c r="G1207" t="s">
        <v>180</v>
      </c>
      <c r="H1207">
        <v>820</v>
      </c>
      <c r="O1207">
        <v>5352</v>
      </c>
      <c r="P1207" t="s">
        <v>2625</v>
      </c>
      <c r="Q1207">
        <v>5697</v>
      </c>
      <c r="R1207" t="s">
        <v>2344</v>
      </c>
      <c r="S1207" t="s">
        <v>2036</v>
      </c>
      <c r="T1207">
        <v>202207</v>
      </c>
      <c r="U1207" t="s">
        <v>180</v>
      </c>
      <c r="V1207">
        <v>120</v>
      </c>
    </row>
    <row r="1208" spans="1:22">
      <c r="A1208">
        <v>5352</v>
      </c>
      <c r="B1208" t="s">
        <v>2625</v>
      </c>
      <c r="C1208">
        <v>5697</v>
      </c>
      <c r="D1208" t="s">
        <v>2344</v>
      </c>
      <c r="E1208" t="s">
        <v>2036</v>
      </c>
      <c r="F1208">
        <v>202110</v>
      </c>
      <c r="G1208" t="s">
        <v>182</v>
      </c>
      <c r="H1208">
        <v>270742</v>
      </c>
      <c r="O1208">
        <v>5352</v>
      </c>
      <c r="P1208" t="s">
        <v>2625</v>
      </c>
      <c r="Q1208">
        <v>5697</v>
      </c>
      <c r="R1208" t="s">
        <v>2344</v>
      </c>
      <c r="S1208" t="s">
        <v>2036</v>
      </c>
      <c r="T1208">
        <v>202207</v>
      </c>
      <c r="U1208" t="s">
        <v>182</v>
      </c>
      <c r="V1208">
        <v>11138</v>
      </c>
    </row>
    <row r="1209" spans="1:22">
      <c r="A1209">
        <v>5352</v>
      </c>
      <c r="B1209" t="s">
        <v>2625</v>
      </c>
      <c r="C1209">
        <v>5697</v>
      </c>
      <c r="D1209" t="s">
        <v>2344</v>
      </c>
      <c r="E1209" t="s">
        <v>2036</v>
      </c>
      <c r="F1209">
        <v>202110</v>
      </c>
      <c r="G1209" t="s">
        <v>184</v>
      </c>
      <c r="H1209">
        <v>36587</v>
      </c>
      <c r="O1209">
        <v>5352</v>
      </c>
      <c r="P1209" t="s">
        <v>2625</v>
      </c>
      <c r="Q1209">
        <v>5697</v>
      </c>
      <c r="R1209" t="s">
        <v>2344</v>
      </c>
      <c r="S1209" t="s">
        <v>2036</v>
      </c>
      <c r="T1209">
        <v>202207</v>
      </c>
      <c r="U1209" t="s">
        <v>184</v>
      </c>
      <c r="V1209">
        <v>1733</v>
      </c>
    </row>
    <row r="1210" spans="1:22">
      <c r="A1210">
        <v>5352</v>
      </c>
      <c r="B1210" t="s">
        <v>2625</v>
      </c>
      <c r="C1210">
        <v>5697</v>
      </c>
      <c r="D1210" t="s">
        <v>2344</v>
      </c>
      <c r="E1210" t="s">
        <v>2036</v>
      </c>
      <c r="F1210">
        <v>202110</v>
      </c>
      <c r="G1210" t="s">
        <v>192</v>
      </c>
      <c r="H1210">
        <v>0</v>
      </c>
      <c r="O1210">
        <v>5352</v>
      </c>
      <c r="P1210" t="s">
        <v>2625</v>
      </c>
      <c r="Q1210">
        <v>5697</v>
      </c>
      <c r="R1210" t="s">
        <v>2344</v>
      </c>
      <c r="S1210" t="s">
        <v>2036</v>
      </c>
      <c r="T1210">
        <v>202207</v>
      </c>
      <c r="U1210" t="s">
        <v>186</v>
      </c>
      <c r="V1210">
        <v>0</v>
      </c>
    </row>
    <row r="1211" spans="1:22">
      <c r="A1211">
        <v>5352</v>
      </c>
      <c r="B1211" t="s">
        <v>2625</v>
      </c>
      <c r="C1211">
        <v>5697</v>
      </c>
      <c r="D1211" t="s">
        <v>2344</v>
      </c>
      <c r="E1211" t="s">
        <v>2036</v>
      </c>
      <c r="F1211">
        <v>202110</v>
      </c>
      <c r="G1211" t="s">
        <v>2170</v>
      </c>
      <c r="H1211">
        <v>1726.08</v>
      </c>
      <c r="O1211">
        <v>5352</v>
      </c>
      <c r="P1211" t="s">
        <v>2625</v>
      </c>
      <c r="Q1211">
        <v>5697</v>
      </c>
      <c r="R1211" t="s">
        <v>2344</v>
      </c>
      <c r="S1211" t="s">
        <v>2036</v>
      </c>
      <c r="T1211">
        <v>202207</v>
      </c>
      <c r="U1211" t="s">
        <v>190</v>
      </c>
      <c r="V1211">
        <v>142920</v>
      </c>
    </row>
    <row r="1212" spans="1:22">
      <c r="A1212">
        <v>5352</v>
      </c>
      <c r="B1212" t="s">
        <v>2625</v>
      </c>
      <c r="C1212">
        <v>5697</v>
      </c>
      <c r="D1212" t="s">
        <v>2344</v>
      </c>
      <c r="E1212" t="s">
        <v>2036</v>
      </c>
      <c r="F1212">
        <v>202110</v>
      </c>
      <c r="G1212" t="s">
        <v>186</v>
      </c>
      <c r="H1212">
        <v>0</v>
      </c>
      <c r="O1212">
        <v>5352</v>
      </c>
      <c r="P1212" t="s">
        <v>2625</v>
      </c>
      <c r="Q1212">
        <v>5697</v>
      </c>
      <c r="R1212" t="s">
        <v>2344</v>
      </c>
      <c r="S1212" t="s">
        <v>2036</v>
      </c>
      <c r="T1212">
        <v>202207</v>
      </c>
      <c r="U1212" t="s">
        <v>191</v>
      </c>
      <c r="V1212">
        <v>21538</v>
      </c>
    </row>
    <row r="1213" spans="1:22">
      <c r="A1213">
        <v>5352</v>
      </c>
      <c r="B1213" t="s">
        <v>2625</v>
      </c>
      <c r="C1213">
        <v>5697</v>
      </c>
      <c r="D1213" t="s">
        <v>2344</v>
      </c>
      <c r="E1213" t="s">
        <v>2036</v>
      </c>
      <c r="F1213">
        <v>202110</v>
      </c>
      <c r="G1213" t="s">
        <v>2169</v>
      </c>
      <c r="H1213">
        <v>99.17</v>
      </c>
      <c r="O1213">
        <v>5352</v>
      </c>
      <c r="P1213" t="s">
        <v>2625</v>
      </c>
      <c r="Q1213">
        <v>5697</v>
      </c>
      <c r="R1213" t="s">
        <v>2344</v>
      </c>
      <c r="S1213" t="s">
        <v>2036</v>
      </c>
      <c r="T1213">
        <v>202207</v>
      </c>
      <c r="U1213" t="s">
        <v>178</v>
      </c>
      <c r="V1213">
        <v>480</v>
      </c>
    </row>
    <row r="1214" spans="1:22">
      <c r="A1214">
        <v>5352</v>
      </c>
      <c r="B1214" t="s">
        <v>2625</v>
      </c>
      <c r="C1214">
        <v>5697</v>
      </c>
      <c r="D1214" t="s">
        <v>2344</v>
      </c>
      <c r="E1214" t="s">
        <v>2036</v>
      </c>
      <c r="F1214">
        <v>202110</v>
      </c>
      <c r="G1214" t="s">
        <v>2166</v>
      </c>
      <c r="H1214">
        <v>12.33</v>
      </c>
      <c r="O1214">
        <v>5352</v>
      </c>
      <c r="P1214" t="s">
        <v>2625</v>
      </c>
      <c r="Q1214">
        <v>5697</v>
      </c>
      <c r="R1214" t="s">
        <v>2344</v>
      </c>
      <c r="S1214" t="s">
        <v>2036</v>
      </c>
      <c r="T1214">
        <v>202207</v>
      </c>
      <c r="U1214" t="s">
        <v>180</v>
      </c>
      <c r="V1214">
        <v>550</v>
      </c>
    </row>
    <row r="1215" spans="1:22">
      <c r="A1215">
        <v>5352</v>
      </c>
      <c r="B1215" t="s">
        <v>2625</v>
      </c>
      <c r="C1215">
        <v>5697</v>
      </c>
      <c r="D1215" t="s">
        <v>2344</v>
      </c>
      <c r="E1215" t="s">
        <v>2036</v>
      </c>
      <c r="F1215">
        <v>202110</v>
      </c>
      <c r="G1215" t="s">
        <v>2167</v>
      </c>
      <c r="H1215">
        <v>23.94</v>
      </c>
      <c r="O1215">
        <v>5352</v>
      </c>
      <c r="P1215" t="s">
        <v>2625</v>
      </c>
      <c r="Q1215">
        <v>5697</v>
      </c>
      <c r="R1215" t="s">
        <v>2344</v>
      </c>
      <c r="S1215" t="s">
        <v>2036</v>
      </c>
      <c r="T1215">
        <v>202207</v>
      </c>
      <c r="U1215" t="s">
        <v>182</v>
      </c>
      <c r="V1215">
        <v>142920</v>
      </c>
    </row>
    <row r="1216" spans="1:22">
      <c r="A1216">
        <v>5352</v>
      </c>
      <c r="B1216" t="s">
        <v>2625</v>
      </c>
      <c r="C1216">
        <v>5697</v>
      </c>
      <c r="D1216" t="s">
        <v>2344</v>
      </c>
      <c r="E1216" t="s">
        <v>2036</v>
      </c>
      <c r="F1216">
        <v>202110</v>
      </c>
      <c r="G1216" t="s">
        <v>2168</v>
      </c>
      <c r="H1216">
        <v>10.17</v>
      </c>
      <c r="O1216">
        <v>5352</v>
      </c>
      <c r="P1216" t="s">
        <v>2625</v>
      </c>
      <c r="Q1216">
        <v>5697</v>
      </c>
      <c r="R1216" t="s">
        <v>2344</v>
      </c>
      <c r="S1216" t="s">
        <v>2036</v>
      </c>
      <c r="T1216">
        <v>202207</v>
      </c>
      <c r="U1216" t="s">
        <v>184</v>
      </c>
      <c r="V1216">
        <v>21538</v>
      </c>
    </row>
    <row r="1217" spans="1:22">
      <c r="A1217">
        <v>5352</v>
      </c>
      <c r="B1217" t="s">
        <v>2625</v>
      </c>
      <c r="C1217">
        <v>5697</v>
      </c>
      <c r="D1217" t="s">
        <v>2344</v>
      </c>
      <c r="E1217" t="s">
        <v>2036</v>
      </c>
      <c r="F1217">
        <v>202110</v>
      </c>
      <c r="G1217" t="s">
        <v>2171</v>
      </c>
      <c r="H1217">
        <v>65881.02</v>
      </c>
      <c r="O1217">
        <v>5352</v>
      </c>
      <c r="P1217" t="s">
        <v>2625</v>
      </c>
      <c r="Q1217">
        <v>5697</v>
      </c>
      <c r="R1217" t="s">
        <v>2344</v>
      </c>
      <c r="S1217" t="s">
        <v>2036</v>
      </c>
      <c r="T1217">
        <v>202207</v>
      </c>
      <c r="U1217" t="s">
        <v>186</v>
      </c>
      <c r="V1217">
        <v>0</v>
      </c>
    </row>
    <row r="1218" spans="1:22">
      <c r="A1218">
        <v>5352</v>
      </c>
      <c r="B1218" t="s">
        <v>2625</v>
      </c>
      <c r="C1218">
        <v>5697</v>
      </c>
      <c r="D1218" t="s">
        <v>2344</v>
      </c>
      <c r="E1218" t="s">
        <v>2036</v>
      </c>
      <c r="F1218">
        <v>202110</v>
      </c>
      <c r="G1218" t="s">
        <v>190</v>
      </c>
      <c r="H1218">
        <v>178171</v>
      </c>
      <c r="O1218">
        <v>5352</v>
      </c>
      <c r="P1218" t="s">
        <v>2625</v>
      </c>
      <c r="Q1218">
        <v>5697</v>
      </c>
      <c r="R1218" t="s">
        <v>2344</v>
      </c>
      <c r="S1218" t="s">
        <v>2036</v>
      </c>
      <c r="T1218">
        <v>202207</v>
      </c>
      <c r="U1218" t="s">
        <v>190</v>
      </c>
      <c r="V1218">
        <v>169373</v>
      </c>
    </row>
    <row r="1219" spans="1:22">
      <c r="A1219">
        <v>5352</v>
      </c>
      <c r="B1219" t="s">
        <v>2625</v>
      </c>
      <c r="C1219">
        <v>5697</v>
      </c>
      <c r="D1219" t="s">
        <v>2344</v>
      </c>
      <c r="E1219" t="s">
        <v>2036</v>
      </c>
      <c r="F1219">
        <v>202110</v>
      </c>
      <c r="G1219" t="s">
        <v>191</v>
      </c>
      <c r="H1219">
        <v>28229</v>
      </c>
      <c r="O1219">
        <v>5352</v>
      </c>
      <c r="P1219" t="s">
        <v>2625</v>
      </c>
      <c r="Q1219">
        <v>5697</v>
      </c>
      <c r="R1219" t="s">
        <v>2344</v>
      </c>
      <c r="S1219" t="s">
        <v>2036</v>
      </c>
      <c r="T1219">
        <v>202207</v>
      </c>
      <c r="U1219" t="s">
        <v>191</v>
      </c>
      <c r="V1219">
        <v>21743</v>
      </c>
    </row>
    <row r="1220" spans="1:22">
      <c r="A1220">
        <v>5352</v>
      </c>
      <c r="B1220" t="s">
        <v>2625</v>
      </c>
      <c r="C1220">
        <v>5697</v>
      </c>
      <c r="D1220" t="s">
        <v>2344</v>
      </c>
      <c r="E1220" t="s">
        <v>2036</v>
      </c>
      <c r="F1220">
        <v>202110</v>
      </c>
      <c r="G1220" t="s">
        <v>176</v>
      </c>
      <c r="H1220">
        <v>0</v>
      </c>
      <c r="O1220">
        <v>5352</v>
      </c>
      <c r="P1220" t="s">
        <v>2625</v>
      </c>
      <c r="Q1220">
        <v>5697</v>
      </c>
      <c r="R1220" t="s">
        <v>2344</v>
      </c>
      <c r="S1220" t="s">
        <v>2036</v>
      </c>
      <c r="T1220">
        <v>202207</v>
      </c>
      <c r="U1220" t="s">
        <v>178</v>
      </c>
      <c r="V1220">
        <v>600</v>
      </c>
    </row>
    <row r="1221" spans="1:22">
      <c r="A1221">
        <v>5352</v>
      </c>
      <c r="B1221" t="s">
        <v>2625</v>
      </c>
      <c r="C1221">
        <v>5697</v>
      </c>
      <c r="D1221" t="s">
        <v>2344</v>
      </c>
      <c r="E1221" t="s">
        <v>2036</v>
      </c>
      <c r="F1221">
        <v>202110</v>
      </c>
      <c r="G1221" t="s">
        <v>178</v>
      </c>
      <c r="H1221">
        <v>1300</v>
      </c>
      <c r="O1221">
        <v>5352</v>
      </c>
      <c r="P1221" t="s">
        <v>2625</v>
      </c>
      <c r="Q1221">
        <v>5697</v>
      </c>
      <c r="R1221" t="s">
        <v>2344</v>
      </c>
      <c r="S1221" t="s">
        <v>2036</v>
      </c>
      <c r="T1221">
        <v>202207</v>
      </c>
      <c r="U1221" t="s">
        <v>180</v>
      </c>
      <c r="V1221">
        <v>600</v>
      </c>
    </row>
    <row r="1222" spans="1:22">
      <c r="A1222">
        <v>5352</v>
      </c>
      <c r="B1222" t="s">
        <v>2625</v>
      </c>
      <c r="C1222">
        <v>5697</v>
      </c>
      <c r="D1222" t="s">
        <v>2344</v>
      </c>
      <c r="E1222" t="s">
        <v>2036</v>
      </c>
      <c r="F1222">
        <v>202110</v>
      </c>
      <c r="G1222" t="s">
        <v>180</v>
      </c>
      <c r="H1222">
        <v>1350</v>
      </c>
      <c r="O1222">
        <v>5352</v>
      </c>
      <c r="P1222" t="s">
        <v>2625</v>
      </c>
      <c r="Q1222">
        <v>5697</v>
      </c>
      <c r="R1222" t="s">
        <v>2344</v>
      </c>
      <c r="S1222" t="s">
        <v>2036</v>
      </c>
      <c r="T1222">
        <v>202207</v>
      </c>
      <c r="U1222" t="s">
        <v>182</v>
      </c>
      <c r="V1222">
        <v>169373</v>
      </c>
    </row>
    <row r="1223" spans="1:22">
      <c r="A1223">
        <v>5352</v>
      </c>
      <c r="B1223" t="s">
        <v>2625</v>
      </c>
      <c r="C1223">
        <v>5697</v>
      </c>
      <c r="D1223" t="s">
        <v>2344</v>
      </c>
      <c r="E1223" t="s">
        <v>2036</v>
      </c>
      <c r="F1223">
        <v>202110</v>
      </c>
      <c r="G1223" t="s">
        <v>182</v>
      </c>
      <c r="H1223">
        <v>178171</v>
      </c>
      <c r="O1223">
        <v>5352</v>
      </c>
      <c r="P1223" t="s">
        <v>2625</v>
      </c>
      <c r="Q1223">
        <v>5697</v>
      </c>
      <c r="R1223" t="s">
        <v>2344</v>
      </c>
      <c r="S1223" t="s">
        <v>2036</v>
      </c>
      <c r="T1223">
        <v>202207</v>
      </c>
      <c r="U1223" t="s">
        <v>184</v>
      </c>
      <c r="V1223">
        <v>21743</v>
      </c>
    </row>
    <row r="1224" spans="1:22">
      <c r="A1224">
        <v>5352</v>
      </c>
      <c r="B1224" t="s">
        <v>2625</v>
      </c>
      <c r="C1224">
        <v>5697</v>
      </c>
      <c r="D1224" t="s">
        <v>2344</v>
      </c>
      <c r="E1224" t="s">
        <v>2036</v>
      </c>
      <c r="F1224">
        <v>202110</v>
      </c>
      <c r="G1224" t="s">
        <v>184</v>
      </c>
      <c r="H1224">
        <v>28229</v>
      </c>
      <c r="O1224">
        <v>5352</v>
      </c>
      <c r="P1224" t="s">
        <v>2625</v>
      </c>
      <c r="Q1224">
        <v>5697</v>
      </c>
      <c r="R1224" t="s">
        <v>2344</v>
      </c>
      <c r="S1224" t="s">
        <v>2036</v>
      </c>
      <c r="T1224">
        <v>202207</v>
      </c>
      <c r="U1224" t="s">
        <v>186</v>
      </c>
      <c r="V1224">
        <v>0</v>
      </c>
    </row>
    <row r="1225" spans="1:22">
      <c r="A1225">
        <v>5352</v>
      </c>
      <c r="B1225" t="s">
        <v>2625</v>
      </c>
      <c r="C1225">
        <v>5697</v>
      </c>
      <c r="D1225" t="s">
        <v>2344</v>
      </c>
      <c r="E1225" t="s">
        <v>2036</v>
      </c>
      <c r="F1225">
        <v>202110</v>
      </c>
      <c r="G1225" t="s">
        <v>192</v>
      </c>
      <c r="H1225">
        <v>0</v>
      </c>
      <c r="O1225">
        <v>5352</v>
      </c>
      <c r="P1225" t="s">
        <v>2625</v>
      </c>
      <c r="Q1225">
        <v>5697</v>
      </c>
      <c r="R1225" t="s">
        <v>2344</v>
      </c>
      <c r="S1225" t="s">
        <v>2036</v>
      </c>
      <c r="T1225">
        <v>202207</v>
      </c>
      <c r="U1225" t="s">
        <v>190</v>
      </c>
      <c r="V1225">
        <v>178866</v>
      </c>
    </row>
    <row r="1226" spans="1:22">
      <c r="A1226">
        <v>5352</v>
      </c>
      <c r="B1226" t="s">
        <v>2625</v>
      </c>
      <c r="C1226">
        <v>5697</v>
      </c>
      <c r="D1226" t="s">
        <v>2344</v>
      </c>
      <c r="E1226" t="s">
        <v>2036</v>
      </c>
      <c r="F1226">
        <v>202110</v>
      </c>
      <c r="G1226" t="s">
        <v>2170</v>
      </c>
      <c r="H1226">
        <v>1910.34</v>
      </c>
      <c r="O1226">
        <v>5352</v>
      </c>
      <c r="P1226" t="s">
        <v>2625</v>
      </c>
      <c r="Q1226">
        <v>5697</v>
      </c>
      <c r="R1226" t="s">
        <v>2344</v>
      </c>
      <c r="S1226" t="s">
        <v>2036</v>
      </c>
      <c r="T1226">
        <v>202207</v>
      </c>
      <c r="U1226" t="s">
        <v>191</v>
      </c>
      <c r="V1226">
        <v>27894</v>
      </c>
    </row>
    <row r="1227" spans="1:22">
      <c r="A1227">
        <v>5352</v>
      </c>
      <c r="B1227" t="s">
        <v>2625</v>
      </c>
      <c r="C1227">
        <v>5697</v>
      </c>
      <c r="D1227" t="s">
        <v>2344</v>
      </c>
      <c r="E1227" t="s">
        <v>2036</v>
      </c>
      <c r="F1227">
        <v>202110</v>
      </c>
      <c r="G1227" t="s">
        <v>186</v>
      </c>
      <c r="H1227">
        <v>0</v>
      </c>
      <c r="O1227">
        <v>5352</v>
      </c>
      <c r="P1227" t="s">
        <v>2625</v>
      </c>
      <c r="Q1227">
        <v>5697</v>
      </c>
      <c r="R1227" t="s">
        <v>2344</v>
      </c>
      <c r="S1227" t="s">
        <v>2036</v>
      </c>
      <c r="T1227">
        <v>202207</v>
      </c>
      <c r="U1227" t="s">
        <v>178</v>
      </c>
      <c r="V1227">
        <v>1300</v>
      </c>
    </row>
    <row r="1228" spans="1:22">
      <c r="A1228">
        <v>5352</v>
      </c>
      <c r="B1228" t="s">
        <v>2625</v>
      </c>
      <c r="C1228">
        <v>5697</v>
      </c>
      <c r="D1228" t="s">
        <v>2344</v>
      </c>
      <c r="E1228" t="s">
        <v>2036</v>
      </c>
      <c r="F1228">
        <v>202110</v>
      </c>
      <c r="G1228" t="s">
        <v>2169</v>
      </c>
      <c r="H1228">
        <v>99.17</v>
      </c>
      <c r="O1228">
        <v>5352</v>
      </c>
      <c r="P1228" t="s">
        <v>2625</v>
      </c>
      <c r="Q1228">
        <v>5697</v>
      </c>
      <c r="R1228" t="s">
        <v>2344</v>
      </c>
      <c r="S1228" t="s">
        <v>2036</v>
      </c>
      <c r="T1228">
        <v>202207</v>
      </c>
      <c r="U1228" t="s">
        <v>180</v>
      </c>
      <c r="V1228">
        <v>1350</v>
      </c>
    </row>
    <row r="1229" spans="1:22">
      <c r="A1229">
        <v>5352</v>
      </c>
      <c r="B1229" t="s">
        <v>2625</v>
      </c>
      <c r="C1229">
        <v>5697</v>
      </c>
      <c r="D1229" t="s">
        <v>2344</v>
      </c>
      <c r="E1229" t="s">
        <v>2036</v>
      </c>
      <c r="F1229">
        <v>202110</v>
      </c>
      <c r="G1229" t="s">
        <v>2166</v>
      </c>
      <c r="H1229">
        <v>12.33</v>
      </c>
      <c r="O1229">
        <v>5352</v>
      </c>
      <c r="P1229" t="s">
        <v>2625</v>
      </c>
      <c r="Q1229">
        <v>5697</v>
      </c>
      <c r="R1229" t="s">
        <v>2344</v>
      </c>
      <c r="S1229" t="s">
        <v>2036</v>
      </c>
      <c r="T1229">
        <v>202207</v>
      </c>
      <c r="U1229" t="s">
        <v>182</v>
      </c>
      <c r="V1229">
        <v>178866</v>
      </c>
    </row>
    <row r="1230" spans="1:22">
      <c r="A1230">
        <v>5352</v>
      </c>
      <c r="B1230" t="s">
        <v>2625</v>
      </c>
      <c r="C1230">
        <v>5697</v>
      </c>
      <c r="D1230" t="s">
        <v>2344</v>
      </c>
      <c r="E1230" t="s">
        <v>2036</v>
      </c>
      <c r="F1230">
        <v>202110</v>
      </c>
      <c r="G1230" t="s">
        <v>2167</v>
      </c>
      <c r="H1230">
        <v>23.94</v>
      </c>
      <c r="O1230">
        <v>5352</v>
      </c>
      <c r="P1230" t="s">
        <v>2625</v>
      </c>
      <c r="Q1230">
        <v>5697</v>
      </c>
      <c r="R1230" t="s">
        <v>2344</v>
      </c>
      <c r="S1230" t="s">
        <v>2036</v>
      </c>
      <c r="T1230">
        <v>202207</v>
      </c>
      <c r="U1230" t="s">
        <v>184</v>
      </c>
      <c r="V1230">
        <v>27894</v>
      </c>
    </row>
    <row r="1231" spans="1:22">
      <c r="A1231">
        <v>5352</v>
      </c>
      <c r="B1231" t="s">
        <v>2625</v>
      </c>
      <c r="C1231">
        <v>5697</v>
      </c>
      <c r="D1231" t="s">
        <v>2344</v>
      </c>
      <c r="E1231" t="s">
        <v>2036</v>
      </c>
      <c r="F1231">
        <v>202110</v>
      </c>
      <c r="G1231" t="s">
        <v>2168</v>
      </c>
      <c r="H1231">
        <v>10.17</v>
      </c>
      <c r="O1231">
        <v>5352</v>
      </c>
      <c r="P1231" t="s">
        <v>2625</v>
      </c>
      <c r="Q1231">
        <v>5697</v>
      </c>
      <c r="R1231" t="s">
        <v>2344</v>
      </c>
      <c r="S1231" t="s">
        <v>2036</v>
      </c>
      <c r="T1231">
        <v>202207</v>
      </c>
      <c r="U1231" t="s">
        <v>186</v>
      </c>
      <c r="V1231">
        <v>0</v>
      </c>
    </row>
    <row r="1232" spans="1:22">
      <c r="A1232">
        <v>5352</v>
      </c>
      <c r="B1232" t="s">
        <v>2625</v>
      </c>
      <c r="C1232">
        <v>5697</v>
      </c>
      <c r="D1232" t="s">
        <v>2344</v>
      </c>
      <c r="E1232" t="s">
        <v>2036</v>
      </c>
      <c r="F1232">
        <v>202110</v>
      </c>
      <c r="G1232" t="s">
        <v>2171</v>
      </c>
      <c r="H1232">
        <v>73950.33</v>
      </c>
      <c r="O1232">
        <v>5352</v>
      </c>
      <c r="P1232" t="s">
        <v>2625</v>
      </c>
      <c r="Q1232">
        <v>5697</v>
      </c>
      <c r="R1232" t="s">
        <v>2344</v>
      </c>
      <c r="S1232" t="s">
        <v>2036</v>
      </c>
      <c r="T1232">
        <v>202207</v>
      </c>
      <c r="U1232" t="s">
        <v>190</v>
      </c>
      <c r="V1232">
        <v>176401</v>
      </c>
    </row>
    <row r="1233" spans="1:22">
      <c r="A1233">
        <v>5352</v>
      </c>
      <c r="B1233" t="s">
        <v>2625</v>
      </c>
      <c r="C1233">
        <v>5697</v>
      </c>
      <c r="D1233" t="s">
        <v>2344</v>
      </c>
      <c r="E1233" t="s">
        <v>2036</v>
      </c>
      <c r="F1233">
        <v>202110</v>
      </c>
      <c r="G1233" t="s">
        <v>190</v>
      </c>
      <c r="H1233">
        <v>180690</v>
      </c>
      <c r="O1233">
        <v>5352</v>
      </c>
      <c r="P1233" t="s">
        <v>2625</v>
      </c>
      <c r="Q1233">
        <v>5697</v>
      </c>
      <c r="R1233" t="s">
        <v>2344</v>
      </c>
      <c r="S1233" t="s">
        <v>2036</v>
      </c>
      <c r="T1233">
        <v>202207</v>
      </c>
      <c r="U1233" t="s">
        <v>191</v>
      </c>
      <c r="V1233">
        <v>26861</v>
      </c>
    </row>
    <row r="1234" spans="1:22">
      <c r="A1234">
        <v>5352</v>
      </c>
      <c r="B1234" t="s">
        <v>2625</v>
      </c>
      <c r="C1234">
        <v>5697</v>
      </c>
      <c r="D1234" t="s">
        <v>2344</v>
      </c>
      <c r="E1234" t="s">
        <v>2036</v>
      </c>
      <c r="F1234">
        <v>202110</v>
      </c>
      <c r="G1234" t="s">
        <v>191</v>
      </c>
      <c r="H1234">
        <v>28893</v>
      </c>
      <c r="O1234">
        <v>5352</v>
      </c>
      <c r="P1234" t="s">
        <v>2625</v>
      </c>
      <c r="Q1234">
        <v>5697</v>
      </c>
      <c r="R1234" t="s">
        <v>2344</v>
      </c>
      <c r="S1234" t="s">
        <v>2036</v>
      </c>
      <c r="T1234">
        <v>202207</v>
      </c>
      <c r="U1234" t="s">
        <v>178</v>
      </c>
      <c r="V1234">
        <v>810</v>
      </c>
    </row>
    <row r="1235" spans="1:22">
      <c r="A1235">
        <v>5352</v>
      </c>
      <c r="B1235" t="s">
        <v>2625</v>
      </c>
      <c r="C1235">
        <v>5697</v>
      </c>
      <c r="D1235" t="s">
        <v>2344</v>
      </c>
      <c r="E1235" t="s">
        <v>2036</v>
      </c>
      <c r="F1235">
        <v>202110</v>
      </c>
      <c r="G1235" t="s">
        <v>176</v>
      </c>
      <c r="H1235">
        <v>0</v>
      </c>
      <c r="O1235">
        <v>5352</v>
      </c>
      <c r="P1235" t="s">
        <v>2625</v>
      </c>
      <c r="Q1235">
        <v>5697</v>
      </c>
      <c r="R1235" t="s">
        <v>2344</v>
      </c>
      <c r="S1235" t="s">
        <v>2036</v>
      </c>
      <c r="T1235">
        <v>202207</v>
      </c>
      <c r="U1235" t="s">
        <v>180</v>
      </c>
      <c r="V1235">
        <v>930</v>
      </c>
    </row>
    <row r="1236" spans="1:22">
      <c r="A1236">
        <v>5352</v>
      </c>
      <c r="B1236" t="s">
        <v>2625</v>
      </c>
      <c r="C1236">
        <v>5697</v>
      </c>
      <c r="D1236" t="s">
        <v>2344</v>
      </c>
      <c r="E1236" t="s">
        <v>2036</v>
      </c>
      <c r="F1236">
        <v>202110</v>
      </c>
      <c r="G1236" t="s">
        <v>178</v>
      </c>
      <c r="H1236">
        <v>810</v>
      </c>
      <c r="O1236">
        <v>5352</v>
      </c>
      <c r="P1236" t="s">
        <v>2625</v>
      </c>
      <c r="Q1236">
        <v>5697</v>
      </c>
      <c r="R1236" t="s">
        <v>2344</v>
      </c>
      <c r="S1236" t="s">
        <v>2036</v>
      </c>
      <c r="T1236">
        <v>202207</v>
      </c>
      <c r="U1236" t="s">
        <v>182</v>
      </c>
      <c r="V1236">
        <v>176401</v>
      </c>
    </row>
    <row r="1237" spans="1:22">
      <c r="A1237">
        <v>5352</v>
      </c>
      <c r="B1237" t="s">
        <v>2625</v>
      </c>
      <c r="C1237">
        <v>5697</v>
      </c>
      <c r="D1237" t="s">
        <v>2344</v>
      </c>
      <c r="E1237" t="s">
        <v>2036</v>
      </c>
      <c r="F1237">
        <v>202110</v>
      </c>
      <c r="G1237" t="s">
        <v>180</v>
      </c>
      <c r="H1237">
        <v>930</v>
      </c>
      <c r="O1237">
        <v>5352</v>
      </c>
      <c r="P1237" t="s">
        <v>2625</v>
      </c>
      <c r="Q1237">
        <v>5697</v>
      </c>
      <c r="R1237" t="s">
        <v>2344</v>
      </c>
      <c r="S1237" t="s">
        <v>2036</v>
      </c>
      <c r="T1237">
        <v>202207</v>
      </c>
      <c r="U1237" t="s">
        <v>184</v>
      </c>
      <c r="V1237">
        <v>26861</v>
      </c>
    </row>
    <row r="1238" spans="1:22">
      <c r="A1238">
        <v>5352</v>
      </c>
      <c r="B1238" t="s">
        <v>2625</v>
      </c>
      <c r="C1238">
        <v>5697</v>
      </c>
      <c r="D1238" t="s">
        <v>2344</v>
      </c>
      <c r="E1238" t="s">
        <v>2036</v>
      </c>
      <c r="F1238">
        <v>202110</v>
      </c>
      <c r="G1238" t="s">
        <v>182</v>
      </c>
      <c r="H1238">
        <v>180690</v>
      </c>
      <c r="O1238">
        <v>5352</v>
      </c>
      <c r="P1238" t="s">
        <v>2625</v>
      </c>
      <c r="Q1238">
        <v>5697</v>
      </c>
      <c r="R1238" t="s">
        <v>2344</v>
      </c>
      <c r="S1238" t="s">
        <v>2036</v>
      </c>
      <c r="T1238">
        <v>202207</v>
      </c>
      <c r="U1238" t="s">
        <v>186</v>
      </c>
      <c r="V1238">
        <v>0</v>
      </c>
    </row>
    <row r="1239" spans="1:22">
      <c r="A1239">
        <v>5352</v>
      </c>
      <c r="B1239" t="s">
        <v>2625</v>
      </c>
      <c r="C1239">
        <v>5697</v>
      </c>
      <c r="D1239" t="s">
        <v>2344</v>
      </c>
      <c r="E1239" t="s">
        <v>2036</v>
      </c>
      <c r="F1239">
        <v>202110</v>
      </c>
      <c r="G1239" t="s">
        <v>184</v>
      </c>
      <c r="H1239">
        <v>28893</v>
      </c>
      <c r="O1239">
        <v>5352</v>
      </c>
      <c r="P1239" t="s">
        <v>2625</v>
      </c>
      <c r="Q1239">
        <v>5697</v>
      </c>
      <c r="R1239" t="s">
        <v>2344</v>
      </c>
      <c r="S1239" t="s">
        <v>2036</v>
      </c>
      <c r="T1239">
        <v>202207</v>
      </c>
      <c r="U1239" t="s">
        <v>190</v>
      </c>
      <c r="V1239">
        <v>55686</v>
      </c>
    </row>
    <row r="1240" spans="1:22">
      <c r="A1240">
        <v>5352</v>
      </c>
      <c r="B1240" t="s">
        <v>2625</v>
      </c>
      <c r="C1240">
        <v>5697</v>
      </c>
      <c r="D1240" t="s">
        <v>2344</v>
      </c>
      <c r="E1240" t="s">
        <v>2036</v>
      </c>
      <c r="F1240">
        <v>202110</v>
      </c>
      <c r="G1240" t="s">
        <v>192</v>
      </c>
      <c r="H1240">
        <v>0</v>
      </c>
      <c r="O1240">
        <v>5352</v>
      </c>
      <c r="P1240" t="s">
        <v>2625</v>
      </c>
      <c r="Q1240">
        <v>5697</v>
      </c>
      <c r="R1240" t="s">
        <v>2344</v>
      </c>
      <c r="S1240" t="s">
        <v>2036</v>
      </c>
      <c r="T1240">
        <v>202207</v>
      </c>
      <c r="U1240" t="s">
        <v>191</v>
      </c>
      <c r="V1240">
        <v>8262</v>
      </c>
    </row>
    <row r="1241" spans="1:22">
      <c r="A1241">
        <v>5352</v>
      </c>
      <c r="B1241" t="s">
        <v>2625</v>
      </c>
      <c r="C1241">
        <v>5697</v>
      </c>
      <c r="D1241" t="s">
        <v>2344</v>
      </c>
      <c r="E1241" t="s">
        <v>2036</v>
      </c>
      <c r="F1241">
        <v>202110</v>
      </c>
      <c r="G1241" t="s">
        <v>2170</v>
      </c>
      <c r="H1241">
        <v>1498.14</v>
      </c>
      <c r="O1241">
        <v>5352</v>
      </c>
      <c r="P1241" t="s">
        <v>2625</v>
      </c>
      <c r="Q1241">
        <v>5697</v>
      </c>
      <c r="R1241" t="s">
        <v>2344</v>
      </c>
      <c r="S1241" t="s">
        <v>2036</v>
      </c>
      <c r="T1241">
        <v>202207</v>
      </c>
      <c r="U1241" t="s">
        <v>178</v>
      </c>
      <c r="V1241">
        <v>317</v>
      </c>
    </row>
    <row r="1242" spans="1:22">
      <c r="A1242">
        <v>5352</v>
      </c>
      <c r="B1242" t="s">
        <v>2625</v>
      </c>
      <c r="C1242">
        <v>5697</v>
      </c>
      <c r="D1242" t="s">
        <v>2344</v>
      </c>
      <c r="E1242" t="s">
        <v>2036</v>
      </c>
      <c r="F1242">
        <v>202110</v>
      </c>
      <c r="G1242" t="s">
        <v>186</v>
      </c>
      <c r="H1242">
        <v>0</v>
      </c>
      <c r="O1242">
        <v>5352</v>
      </c>
      <c r="P1242" t="s">
        <v>2625</v>
      </c>
      <c r="Q1242">
        <v>5697</v>
      </c>
      <c r="R1242" t="s">
        <v>2344</v>
      </c>
      <c r="S1242" t="s">
        <v>2036</v>
      </c>
      <c r="T1242">
        <v>202207</v>
      </c>
      <c r="U1242" t="s">
        <v>180</v>
      </c>
      <c r="V1242">
        <v>315</v>
      </c>
    </row>
    <row r="1243" spans="1:22">
      <c r="A1243">
        <v>5352</v>
      </c>
      <c r="B1243" t="s">
        <v>2625</v>
      </c>
      <c r="C1243">
        <v>5697</v>
      </c>
      <c r="D1243" t="s">
        <v>2344</v>
      </c>
      <c r="E1243" t="s">
        <v>2036</v>
      </c>
      <c r="F1243">
        <v>202110</v>
      </c>
      <c r="G1243" t="s">
        <v>2169</v>
      </c>
      <c r="H1243">
        <v>99.17</v>
      </c>
      <c r="O1243">
        <v>5352</v>
      </c>
      <c r="P1243" t="s">
        <v>2625</v>
      </c>
      <c r="Q1243">
        <v>5697</v>
      </c>
      <c r="R1243" t="s">
        <v>2344</v>
      </c>
      <c r="S1243" t="s">
        <v>2036</v>
      </c>
      <c r="T1243">
        <v>202207</v>
      </c>
      <c r="U1243" t="s">
        <v>182</v>
      </c>
      <c r="V1243">
        <v>55686</v>
      </c>
    </row>
    <row r="1244" spans="1:22">
      <c r="A1244">
        <v>5352</v>
      </c>
      <c r="B1244" t="s">
        <v>2625</v>
      </c>
      <c r="C1244">
        <v>5697</v>
      </c>
      <c r="D1244" t="s">
        <v>2344</v>
      </c>
      <c r="E1244" t="s">
        <v>2036</v>
      </c>
      <c r="F1244">
        <v>202110</v>
      </c>
      <c r="G1244" t="s">
        <v>2166</v>
      </c>
      <c r="H1244">
        <v>12.33</v>
      </c>
      <c r="O1244">
        <v>5352</v>
      </c>
      <c r="P1244" t="s">
        <v>2625</v>
      </c>
      <c r="Q1244">
        <v>5697</v>
      </c>
      <c r="R1244" t="s">
        <v>2344</v>
      </c>
      <c r="S1244" t="s">
        <v>2036</v>
      </c>
      <c r="T1244">
        <v>202207</v>
      </c>
      <c r="U1244" t="s">
        <v>184</v>
      </c>
      <c r="V1244">
        <v>8262</v>
      </c>
    </row>
    <row r="1245" spans="1:22">
      <c r="A1245">
        <v>5352</v>
      </c>
      <c r="B1245" t="s">
        <v>2625</v>
      </c>
      <c r="C1245">
        <v>5697</v>
      </c>
      <c r="D1245" t="s">
        <v>2344</v>
      </c>
      <c r="E1245" t="s">
        <v>2036</v>
      </c>
      <c r="F1245">
        <v>202110</v>
      </c>
      <c r="G1245" t="s">
        <v>2167</v>
      </c>
      <c r="H1245">
        <v>23.94</v>
      </c>
      <c r="O1245">
        <v>5352</v>
      </c>
      <c r="P1245" t="s">
        <v>2625</v>
      </c>
      <c r="Q1245">
        <v>5697</v>
      </c>
      <c r="R1245" t="s">
        <v>2344</v>
      </c>
      <c r="S1245" t="s">
        <v>2036</v>
      </c>
      <c r="T1245">
        <v>202207</v>
      </c>
      <c r="U1245" t="s">
        <v>186</v>
      </c>
      <c r="V1245">
        <v>0</v>
      </c>
    </row>
    <row r="1246" spans="1:22">
      <c r="A1246">
        <v>5352</v>
      </c>
      <c r="B1246" t="s">
        <v>2625</v>
      </c>
      <c r="C1246">
        <v>5697</v>
      </c>
      <c r="D1246" t="s">
        <v>2344</v>
      </c>
      <c r="E1246" t="s">
        <v>2036</v>
      </c>
      <c r="F1246">
        <v>202110</v>
      </c>
      <c r="G1246" t="s">
        <v>2168</v>
      </c>
      <c r="H1246">
        <v>10.17</v>
      </c>
      <c r="O1246">
        <v>5352</v>
      </c>
      <c r="P1246" t="s">
        <v>2625</v>
      </c>
      <c r="Q1246">
        <v>5697</v>
      </c>
      <c r="R1246" t="s">
        <v>2344</v>
      </c>
      <c r="S1246" t="s">
        <v>2036</v>
      </c>
      <c r="T1246">
        <v>202207</v>
      </c>
      <c r="U1246" t="s">
        <v>190</v>
      </c>
      <c r="V1246">
        <v>180554</v>
      </c>
    </row>
    <row r="1247" spans="1:22">
      <c r="A1247">
        <v>5352</v>
      </c>
      <c r="B1247" t="s">
        <v>2625</v>
      </c>
      <c r="C1247">
        <v>5697</v>
      </c>
      <c r="D1247" t="s">
        <v>2344</v>
      </c>
      <c r="E1247" t="s">
        <v>2036</v>
      </c>
      <c r="F1247">
        <v>202110</v>
      </c>
      <c r="G1247" t="s">
        <v>2171</v>
      </c>
      <c r="H1247">
        <v>57180.13</v>
      </c>
      <c r="O1247">
        <v>5352</v>
      </c>
      <c r="P1247" t="s">
        <v>2625</v>
      </c>
      <c r="Q1247">
        <v>5697</v>
      </c>
      <c r="R1247" t="s">
        <v>2344</v>
      </c>
      <c r="S1247" t="s">
        <v>2036</v>
      </c>
      <c r="T1247">
        <v>202207</v>
      </c>
      <c r="U1247" t="s">
        <v>191</v>
      </c>
      <c r="V1247">
        <v>26717</v>
      </c>
    </row>
    <row r="1248" spans="1:22">
      <c r="A1248">
        <v>5352</v>
      </c>
      <c r="B1248" t="s">
        <v>2625</v>
      </c>
      <c r="C1248">
        <v>5697</v>
      </c>
      <c r="D1248" t="s">
        <v>2344</v>
      </c>
      <c r="E1248" t="s">
        <v>2036</v>
      </c>
      <c r="F1248">
        <v>202110</v>
      </c>
      <c r="G1248" t="s">
        <v>190</v>
      </c>
      <c r="H1248">
        <v>53419</v>
      </c>
      <c r="O1248">
        <v>5352</v>
      </c>
      <c r="P1248" t="s">
        <v>2625</v>
      </c>
      <c r="Q1248">
        <v>5697</v>
      </c>
      <c r="R1248" t="s">
        <v>2344</v>
      </c>
      <c r="S1248" t="s">
        <v>2036</v>
      </c>
      <c r="T1248">
        <v>202207</v>
      </c>
      <c r="U1248" t="s">
        <v>178</v>
      </c>
      <c r="V1248">
        <v>900</v>
      </c>
    </row>
    <row r="1249" spans="1:22">
      <c r="A1249">
        <v>5352</v>
      </c>
      <c r="B1249" t="s">
        <v>2625</v>
      </c>
      <c r="C1249">
        <v>5697</v>
      </c>
      <c r="D1249" t="s">
        <v>2344</v>
      </c>
      <c r="E1249" t="s">
        <v>2036</v>
      </c>
      <c r="F1249">
        <v>202110</v>
      </c>
      <c r="G1249" t="s">
        <v>191</v>
      </c>
      <c r="H1249">
        <v>7891</v>
      </c>
      <c r="O1249">
        <v>5352</v>
      </c>
      <c r="P1249" t="s">
        <v>2625</v>
      </c>
      <c r="Q1249">
        <v>5697</v>
      </c>
      <c r="R1249" t="s">
        <v>2344</v>
      </c>
      <c r="S1249" t="s">
        <v>2036</v>
      </c>
      <c r="T1249">
        <v>202207</v>
      </c>
      <c r="U1249" t="s">
        <v>180</v>
      </c>
      <c r="V1249">
        <v>850</v>
      </c>
    </row>
    <row r="1250" spans="1:22">
      <c r="A1250">
        <v>5352</v>
      </c>
      <c r="B1250" t="s">
        <v>2625</v>
      </c>
      <c r="C1250">
        <v>5697</v>
      </c>
      <c r="D1250" t="s">
        <v>2344</v>
      </c>
      <c r="E1250" t="s">
        <v>2036</v>
      </c>
      <c r="F1250">
        <v>202110</v>
      </c>
      <c r="G1250" t="s">
        <v>176</v>
      </c>
      <c r="H1250">
        <v>0</v>
      </c>
      <c r="O1250">
        <v>5352</v>
      </c>
      <c r="P1250" t="s">
        <v>2625</v>
      </c>
      <c r="Q1250">
        <v>5697</v>
      </c>
      <c r="R1250" t="s">
        <v>2344</v>
      </c>
      <c r="S1250" t="s">
        <v>2036</v>
      </c>
      <c r="T1250">
        <v>202207</v>
      </c>
      <c r="U1250" t="s">
        <v>182</v>
      </c>
      <c r="V1250">
        <v>180554</v>
      </c>
    </row>
    <row r="1251" spans="1:22">
      <c r="A1251">
        <v>5352</v>
      </c>
      <c r="B1251" t="s">
        <v>2625</v>
      </c>
      <c r="C1251">
        <v>5697</v>
      </c>
      <c r="D1251" t="s">
        <v>2344</v>
      </c>
      <c r="E1251" t="s">
        <v>2036</v>
      </c>
      <c r="F1251">
        <v>202110</v>
      </c>
      <c r="G1251" t="s">
        <v>178</v>
      </c>
      <c r="H1251">
        <v>250</v>
      </c>
      <c r="O1251">
        <v>5352</v>
      </c>
      <c r="P1251" t="s">
        <v>2625</v>
      </c>
      <c r="Q1251">
        <v>5697</v>
      </c>
      <c r="R1251" t="s">
        <v>2344</v>
      </c>
      <c r="S1251" t="s">
        <v>2036</v>
      </c>
      <c r="T1251">
        <v>202207</v>
      </c>
      <c r="U1251" t="s">
        <v>184</v>
      </c>
      <c r="V1251">
        <v>26717</v>
      </c>
    </row>
    <row r="1252" spans="1:22">
      <c r="A1252">
        <v>5352</v>
      </c>
      <c r="B1252" t="s">
        <v>2625</v>
      </c>
      <c r="C1252">
        <v>5697</v>
      </c>
      <c r="D1252" t="s">
        <v>2344</v>
      </c>
      <c r="E1252" t="s">
        <v>2036</v>
      </c>
      <c r="F1252">
        <v>202110</v>
      </c>
      <c r="G1252" t="s">
        <v>180</v>
      </c>
      <c r="H1252">
        <v>250</v>
      </c>
      <c r="O1252">
        <v>5352</v>
      </c>
      <c r="P1252" t="s">
        <v>2625</v>
      </c>
      <c r="Q1252">
        <v>5697</v>
      </c>
      <c r="R1252" t="s">
        <v>2344</v>
      </c>
      <c r="S1252" t="s">
        <v>2036</v>
      </c>
      <c r="T1252">
        <v>202207</v>
      </c>
      <c r="U1252" t="s">
        <v>186</v>
      </c>
      <c r="V1252">
        <v>0</v>
      </c>
    </row>
    <row r="1253" spans="1:22">
      <c r="A1253">
        <v>5352</v>
      </c>
      <c r="B1253" t="s">
        <v>2625</v>
      </c>
      <c r="C1253">
        <v>5697</v>
      </c>
      <c r="D1253" t="s">
        <v>2344</v>
      </c>
      <c r="E1253" t="s">
        <v>2036</v>
      </c>
      <c r="F1253">
        <v>202110</v>
      </c>
      <c r="G1253" t="s">
        <v>182</v>
      </c>
      <c r="H1253">
        <v>53419</v>
      </c>
      <c r="O1253">
        <v>5352</v>
      </c>
      <c r="P1253" t="s">
        <v>2625</v>
      </c>
      <c r="Q1253">
        <v>5697</v>
      </c>
      <c r="R1253" t="s">
        <v>2344</v>
      </c>
      <c r="S1253" t="s">
        <v>2036</v>
      </c>
      <c r="T1253">
        <v>202207</v>
      </c>
      <c r="U1253" t="s">
        <v>190</v>
      </c>
      <c r="V1253">
        <v>259857</v>
      </c>
    </row>
    <row r="1254" spans="1:22">
      <c r="A1254">
        <v>5352</v>
      </c>
      <c r="B1254" t="s">
        <v>2625</v>
      </c>
      <c r="C1254">
        <v>5697</v>
      </c>
      <c r="D1254" t="s">
        <v>2344</v>
      </c>
      <c r="E1254" t="s">
        <v>2036</v>
      </c>
      <c r="F1254">
        <v>202110</v>
      </c>
      <c r="G1254" t="s">
        <v>184</v>
      </c>
      <c r="H1254">
        <v>7891</v>
      </c>
      <c r="O1254">
        <v>5352</v>
      </c>
      <c r="P1254" t="s">
        <v>2625</v>
      </c>
      <c r="Q1254">
        <v>5697</v>
      </c>
      <c r="R1254" t="s">
        <v>2344</v>
      </c>
      <c r="S1254" t="s">
        <v>2036</v>
      </c>
      <c r="T1254">
        <v>202207</v>
      </c>
      <c r="U1254" t="s">
        <v>191</v>
      </c>
      <c r="V1254">
        <v>37271</v>
      </c>
    </row>
    <row r="1255" spans="1:22">
      <c r="A1255">
        <v>5352</v>
      </c>
      <c r="B1255" t="s">
        <v>2625</v>
      </c>
      <c r="C1255">
        <v>5697</v>
      </c>
      <c r="D1255" t="s">
        <v>2344</v>
      </c>
      <c r="E1255" t="s">
        <v>2036</v>
      </c>
      <c r="F1255">
        <v>202110</v>
      </c>
      <c r="G1255" t="s">
        <v>192</v>
      </c>
      <c r="H1255">
        <v>0</v>
      </c>
      <c r="O1255">
        <v>5352</v>
      </c>
      <c r="P1255" t="s">
        <v>2625</v>
      </c>
      <c r="Q1255">
        <v>5697</v>
      </c>
      <c r="R1255" t="s">
        <v>2344</v>
      </c>
      <c r="S1255" t="s">
        <v>2036</v>
      </c>
      <c r="T1255">
        <v>202207</v>
      </c>
      <c r="U1255" t="s">
        <v>178</v>
      </c>
      <c r="V1255">
        <v>970</v>
      </c>
    </row>
    <row r="1256" spans="1:22">
      <c r="A1256">
        <v>5352</v>
      </c>
      <c r="B1256" t="s">
        <v>2625</v>
      </c>
      <c r="C1256">
        <v>5697</v>
      </c>
      <c r="D1256" t="s">
        <v>2344</v>
      </c>
      <c r="E1256" t="s">
        <v>2036</v>
      </c>
      <c r="F1256">
        <v>202110</v>
      </c>
      <c r="G1256" t="s">
        <v>2170</v>
      </c>
      <c r="H1256">
        <v>428.42</v>
      </c>
      <c r="O1256">
        <v>5352</v>
      </c>
      <c r="P1256" t="s">
        <v>2625</v>
      </c>
      <c r="Q1256">
        <v>5697</v>
      </c>
      <c r="R1256" t="s">
        <v>2344</v>
      </c>
      <c r="S1256" t="s">
        <v>2036</v>
      </c>
      <c r="T1256">
        <v>202207</v>
      </c>
      <c r="U1256" t="s">
        <v>180</v>
      </c>
      <c r="V1256">
        <v>970</v>
      </c>
    </row>
    <row r="1257" spans="1:22">
      <c r="A1257">
        <v>5352</v>
      </c>
      <c r="B1257" t="s">
        <v>2625</v>
      </c>
      <c r="C1257">
        <v>5697</v>
      </c>
      <c r="D1257" t="s">
        <v>2344</v>
      </c>
      <c r="E1257" t="s">
        <v>2036</v>
      </c>
      <c r="F1257">
        <v>202110</v>
      </c>
      <c r="G1257" t="s">
        <v>186</v>
      </c>
      <c r="H1257">
        <v>0</v>
      </c>
      <c r="O1257">
        <v>5352</v>
      </c>
      <c r="P1257" t="s">
        <v>2625</v>
      </c>
      <c r="Q1257">
        <v>5697</v>
      </c>
      <c r="R1257" t="s">
        <v>2344</v>
      </c>
      <c r="S1257" t="s">
        <v>2036</v>
      </c>
      <c r="T1257">
        <v>202207</v>
      </c>
      <c r="U1257" t="s">
        <v>182</v>
      </c>
      <c r="V1257">
        <v>259857</v>
      </c>
    </row>
    <row r="1258" spans="1:22">
      <c r="A1258">
        <v>5352</v>
      </c>
      <c r="B1258" t="s">
        <v>2625</v>
      </c>
      <c r="C1258">
        <v>5697</v>
      </c>
      <c r="D1258" t="s">
        <v>2344</v>
      </c>
      <c r="E1258" t="s">
        <v>2036</v>
      </c>
      <c r="F1258">
        <v>202110</v>
      </c>
      <c r="G1258" t="s">
        <v>2169</v>
      </c>
      <c r="H1258">
        <v>99.17</v>
      </c>
      <c r="O1258">
        <v>5352</v>
      </c>
      <c r="P1258" t="s">
        <v>2625</v>
      </c>
      <c r="Q1258">
        <v>5697</v>
      </c>
      <c r="R1258" t="s">
        <v>2344</v>
      </c>
      <c r="S1258" t="s">
        <v>2036</v>
      </c>
      <c r="T1258">
        <v>202207</v>
      </c>
      <c r="U1258" t="s">
        <v>184</v>
      </c>
      <c r="V1258">
        <v>37271</v>
      </c>
    </row>
    <row r="1259" spans="1:22">
      <c r="A1259">
        <v>5352</v>
      </c>
      <c r="B1259" t="s">
        <v>2625</v>
      </c>
      <c r="C1259">
        <v>5697</v>
      </c>
      <c r="D1259" t="s">
        <v>2344</v>
      </c>
      <c r="E1259" t="s">
        <v>2036</v>
      </c>
      <c r="F1259">
        <v>202110</v>
      </c>
      <c r="G1259" t="s">
        <v>2166</v>
      </c>
      <c r="H1259">
        <v>12.33</v>
      </c>
      <c r="O1259">
        <v>5352</v>
      </c>
      <c r="P1259" t="s">
        <v>2625</v>
      </c>
      <c r="Q1259">
        <v>5697</v>
      </c>
      <c r="R1259" t="s">
        <v>2344</v>
      </c>
      <c r="S1259" t="s">
        <v>2036</v>
      </c>
      <c r="T1259">
        <v>202207</v>
      </c>
      <c r="U1259" t="s">
        <v>186</v>
      </c>
      <c r="V1259">
        <v>0</v>
      </c>
    </row>
    <row r="1260" spans="1:22">
      <c r="A1260">
        <v>5352</v>
      </c>
      <c r="B1260" t="s">
        <v>2625</v>
      </c>
      <c r="C1260">
        <v>5697</v>
      </c>
      <c r="D1260" t="s">
        <v>2344</v>
      </c>
      <c r="E1260" t="s">
        <v>2036</v>
      </c>
      <c r="F1260">
        <v>202110</v>
      </c>
      <c r="G1260" t="s">
        <v>2167</v>
      </c>
      <c r="H1260">
        <v>23.94</v>
      </c>
      <c r="O1260">
        <v>5352</v>
      </c>
      <c r="P1260" t="s">
        <v>2625</v>
      </c>
      <c r="Q1260">
        <v>5697</v>
      </c>
      <c r="R1260" t="s">
        <v>2344</v>
      </c>
      <c r="S1260" t="s">
        <v>2036</v>
      </c>
      <c r="T1260">
        <v>202207</v>
      </c>
      <c r="U1260" t="s">
        <v>190</v>
      </c>
      <c r="V1260">
        <v>97279</v>
      </c>
    </row>
    <row r="1261" spans="1:22">
      <c r="A1261">
        <v>5352</v>
      </c>
      <c r="B1261" t="s">
        <v>2625</v>
      </c>
      <c r="C1261">
        <v>5697</v>
      </c>
      <c r="D1261" t="s">
        <v>2344</v>
      </c>
      <c r="E1261" t="s">
        <v>2036</v>
      </c>
      <c r="F1261">
        <v>202110</v>
      </c>
      <c r="G1261" t="s">
        <v>2168</v>
      </c>
      <c r="H1261">
        <v>10.17</v>
      </c>
      <c r="O1261">
        <v>5352</v>
      </c>
      <c r="P1261" t="s">
        <v>2625</v>
      </c>
      <c r="Q1261">
        <v>5697</v>
      </c>
      <c r="R1261" t="s">
        <v>2344</v>
      </c>
      <c r="S1261" t="s">
        <v>2036</v>
      </c>
      <c r="T1261">
        <v>202207</v>
      </c>
      <c r="U1261" t="s">
        <v>191</v>
      </c>
      <c r="V1261">
        <v>13219</v>
      </c>
    </row>
    <row r="1262" spans="1:22">
      <c r="A1262">
        <v>5352</v>
      </c>
      <c r="B1262" t="s">
        <v>2625</v>
      </c>
      <c r="C1262">
        <v>5697</v>
      </c>
      <c r="D1262" t="s">
        <v>2344</v>
      </c>
      <c r="E1262" t="s">
        <v>2036</v>
      </c>
      <c r="F1262">
        <v>202110</v>
      </c>
      <c r="G1262" t="s">
        <v>2171</v>
      </c>
      <c r="H1262">
        <v>20217.36</v>
      </c>
      <c r="O1262">
        <v>5352</v>
      </c>
      <c r="P1262" t="s">
        <v>2625</v>
      </c>
      <c r="Q1262">
        <v>5697</v>
      </c>
      <c r="R1262" t="s">
        <v>2344</v>
      </c>
      <c r="S1262" t="s">
        <v>2036</v>
      </c>
      <c r="T1262">
        <v>202207</v>
      </c>
      <c r="U1262" t="s">
        <v>178</v>
      </c>
      <c r="V1262">
        <v>320</v>
      </c>
    </row>
    <row r="1263" spans="1:22">
      <c r="A1263">
        <v>5352</v>
      </c>
      <c r="B1263" t="s">
        <v>2625</v>
      </c>
      <c r="C1263">
        <v>5697</v>
      </c>
      <c r="D1263" t="s">
        <v>2344</v>
      </c>
      <c r="E1263" t="s">
        <v>2036</v>
      </c>
      <c r="F1263">
        <v>202111</v>
      </c>
      <c r="G1263" t="s">
        <v>190</v>
      </c>
      <c r="H1263">
        <v>631008</v>
      </c>
      <c r="O1263">
        <v>5352</v>
      </c>
      <c r="P1263" t="s">
        <v>2625</v>
      </c>
      <c r="Q1263">
        <v>5697</v>
      </c>
      <c r="R1263" t="s">
        <v>2344</v>
      </c>
      <c r="S1263" t="s">
        <v>2036</v>
      </c>
      <c r="T1263">
        <v>202207</v>
      </c>
      <c r="U1263" t="s">
        <v>180</v>
      </c>
      <c r="V1263">
        <v>320</v>
      </c>
    </row>
    <row r="1264" spans="1:22">
      <c r="A1264">
        <v>5352</v>
      </c>
      <c r="B1264" t="s">
        <v>2625</v>
      </c>
      <c r="C1264">
        <v>5697</v>
      </c>
      <c r="D1264" t="s">
        <v>2344</v>
      </c>
      <c r="E1264" t="s">
        <v>2036</v>
      </c>
      <c r="F1264">
        <v>202111</v>
      </c>
      <c r="G1264" t="s">
        <v>191</v>
      </c>
      <c r="H1264">
        <v>38030</v>
      </c>
      <c r="O1264">
        <v>5352</v>
      </c>
      <c r="P1264" t="s">
        <v>2625</v>
      </c>
      <c r="Q1264">
        <v>5697</v>
      </c>
      <c r="R1264" t="s">
        <v>2344</v>
      </c>
      <c r="S1264" t="s">
        <v>2036</v>
      </c>
      <c r="T1264">
        <v>202207</v>
      </c>
      <c r="U1264" t="s">
        <v>182</v>
      </c>
      <c r="V1264">
        <v>97279</v>
      </c>
    </row>
    <row r="1265" spans="1:22">
      <c r="A1265">
        <v>5352</v>
      </c>
      <c r="B1265" t="s">
        <v>2625</v>
      </c>
      <c r="C1265">
        <v>5697</v>
      </c>
      <c r="D1265" t="s">
        <v>2344</v>
      </c>
      <c r="E1265" t="s">
        <v>2036</v>
      </c>
      <c r="F1265">
        <v>202111</v>
      </c>
      <c r="G1265" t="s">
        <v>176</v>
      </c>
      <c r="H1265">
        <v>-4448.5</v>
      </c>
      <c r="O1265">
        <v>5352</v>
      </c>
      <c r="P1265" t="s">
        <v>2625</v>
      </c>
      <c r="Q1265">
        <v>5697</v>
      </c>
      <c r="R1265" t="s">
        <v>2344</v>
      </c>
      <c r="S1265" t="s">
        <v>2036</v>
      </c>
      <c r="T1265">
        <v>202207</v>
      </c>
      <c r="U1265" t="s">
        <v>184</v>
      </c>
      <c r="V1265">
        <v>13219</v>
      </c>
    </row>
    <row r="1266" spans="1:22">
      <c r="A1266">
        <v>5352</v>
      </c>
      <c r="B1266" t="s">
        <v>2625</v>
      </c>
      <c r="C1266">
        <v>5697</v>
      </c>
      <c r="D1266" t="s">
        <v>2344</v>
      </c>
      <c r="E1266" t="s">
        <v>2036</v>
      </c>
      <c r="F1266">
        <v>202111</v>
      </c>
      <c r="G1266" t="s">
        <v>178</v>
      </c>
      <c r="H1266">
        <v>1360</v>
      </c>
      <c r="O1266">
        <v>5352</v>
      </c>
      <c r="P1266" t="s">
        <v>2625</v>
      </c>
      <c r="Q1266">
        <v>5697</v>
      </c>
      <c r="R1266" t="s">
        <v>2344</v>
      </c>
      <c r="S1266" t="s">
        <v>2036</v>
      </c>
      <c r="T1266">
        <v>202207</v>
      </c>
      <c r="U1266" t="s">
        <v>186</v>
      </c>
      <c r="V1266">
        <v>0</v>
      </c>
    </row>
    <row r="1267" spans="1:22">
      <c r="A1267">
        <v>5352</v>
      </c>
      <c r="B1267" t="s">
        <v>2625</v>
      </c>
      <c r="C1267">
        <v>5697</v>
      </c>
      <c r="D1267" t="s">
        <v>2344</v>
      </c>
      <c r="E1267" t="s">
        <v>2036</v>
      </c>
      <c r="F1267">
        <v>202111</v>
      </c>
      <c r="G1267" t="s">
        <v>180</v>
      </c>
      <c r="H1267">
        <v>1250</v>
      </c>
      <c r="O1267">
        <v>5352</v>
      </c>
      <c r="P1267" t="s">
        <v>2625</v>
      </c>
      <c r="Q1267">
        <v>5697</v>
      </c>
      <c r="R1267" t="s">
        <v>2344</v>
      </c>
      <c r="S1267" t="s">
        <v>2036</v>
      </c>
      <c r="T1267">
        <v>202207</v>
      </c>
      <c r="U1267" t="s">
        <v>190</v>
      </c>
      <c r="V1267">
        <v>182896</v>
      </c>
    </row>
    <row r="1268" spans="1:22">
      <c r="A1268">
        <v>5352</v>
      </c>
      <c r="B1268" t="s">
        <v>2625</v>
      </c>
      <c r="C1268">
        <v>5697</v>
      </c>
      <c r="D1268" t="s">
        <v>2344</v>
      </c>
      <c r="E1268" t="s">
        <v>2036</v>
      </c>
      <c r="F1268">
        <v>202111</v>
      </c>
      <c r="G1268" t="s">
        <v>182</v>
      </c>
      <c r="H1268">
        <v>631008</v>
      </c>
      <c r="O1268">
        <v>5352</v>
      </c>
      <c r="P1268" t="s">
        <v>2625</v>
      </c>
      <c r="Q1268">
        <v>5697</v>
      </c>
      <c r="R1268" t="s">
        <v>2344</v>
      </c>
      <c r="S1268" t="s">
        <v>2036</v>
      </c>
      <c r="T1268">
        <v>202207</v>
      </c>
      <c r="U1268" t="s">
        <v>191</v>
      </c>
      <c r="V1268">
        <v>24068</v>
      </c>
    </row>
    <row r="1269" spans="1:22">
      <c r="A1269">
        <v>5352</v>
      </c>
      <c r="B1269" t="s">
        <v>2625</v>
      </c>
      <c r="C1269">
        <v>5697</v>
      </c>
      <c r="D1269" t="s">
        <v>2344</v>
      </c>
      <c r="E1269" t="s">
        <v>2036</v>
      </c>
      <c r="F1269">
        <v>202111</v>
      </c>
      <c r="G1269" t="s">
        <v>184</v>
      </c>
      <c r="H1269">
        <v>38030</v>
      </c>
      <c r="O1269">
        <v>5352</v>
      </c>
      <c r="P1269" t="s">
        <v>2625</v>
      </c>
      <c r="Q1269">
        <v>5697</v>
      </c>
      <c r="R1269" t="s">
        <v>2344</v>
      </c>
      <c r="S1269" t="s">
        <v>2036</v>
      </c>
      <c r="T1269">
        <v>202207</v>
      </c>
      <c r="U1269" t="s">
        <v>178</v>
      </c>
      <c r="V1269">
        <v>600</v>
      </c>
    </row>
    <row r="1270" spans="1:22">
      <c r="A1270">
        <v>5352</v>
      </c>
      <c r="B1270" t="s">
        <v>2625</v>
      </c>
      <c r="C1270">
        <v>5697</v>
      </c>
      <c r="D1270" t="s">
        <v>2344</v>
      </c>
      <c r="E1270" t="s">
        <v>2036</v>
      </c>
      <c r="F1270">
        <v>202111</v>
      </c>
      <c r="G1270" t="s">
        <v>192</v>
      </c>
      <c r="H1270">
        <v>0</v>
      </c>
      <c r="O1270">
        <v>5352</v>
      </c>
      <c r="P1270" t="s">
        <v>2625</v>
      </c>
      <c r="Q1270">
        <v>5697</v>
      </c>
      <c r="R1270" t="s">
        <v>2344</v>
      </c>
      <c r="S1270" t="s">
        <v>2036</v>
      </c>
      <c r="T1270">
        <v>202207</v>
      </c>
      <c r="U1270" t="s">
        <v>180</v>
      </c>
      <c r="V1270">
        <v>600</v>
      </c>
    </row>
    <row r="1271" spans="1:22">
      <c r="A1271">
        <v>5352</v>
      </c>
      <c r="B1271" t="s">
        <v>2625</v>
      </c>
      <c r="C1271">
        <v>5697</v>
      </c>
      <c r="D1271" t="s">
        <v>2344</v>
      </c>
      <c r="E1271" t="s">
        <v>2036</v>
      </c>
      <c r="F1271">
        <v>202111</v>
      </c>
      <c r="G1271" t="s">
        <v>2170</v>
      </c>
      <c r="H1271">
        <v>6420.08</v>
      </c>
      <c r="O1271">
        <v>5352</v>
      </c>
      <c r="P1271" t="s">
        <v>2625</v>
      </c>
      <c r="Q1271">
        <v>5697</v>
      </c>
      <c r="R1271" t="s">
        <v>2344</v>
      </c>
      <c r="S1271" t="s">
        <v>2036</v>
      </c>
      <c r="T1271">
        <v>202207</v>
      </c>
      <c r="U1271" t="s">
        <v>182</v>
      </c>
      <c r="V1271">
        <v>182896</v>
      </c>
    </row>
    <row r="1272" spans="1:22">
      <c r="A1272">
        <v>5352</v>
      </c>
      <c r="B1272" t="s">
        <v>2625</v>
      </c>
      <c r="C1272">
        <v>5697</v>
      </c>
      <c r="D1272" t="s">
        <v>2344</v>
      </c>
      <c r="E1272" t="s">
        <v>2036</v>
      </c>
      <c r="F1272">
        <v>202111</v>
      </c>
      <c r="G1272" t="s">
        <v>186</v>
      </c>
      <c r="H1272">
        <v>0</v>
      </c>
      <c r="O1272">
        <v>5352</v>
      </c>
      <c r="P1272" t="s">
        <v>2625</v>
      </c>
      <c r="Q1272">
        <v>5697</v>
      </c>
      <c r="R1272" t="s">
        <v>2344</v>
      </c>
      <c r="S1272" t="s">
        <v>2036</v>
      </c>
      <c r="T1272">
        <v>202207</v>
      </c>
      <c r="U1272" t="s">
        <v>184</v>
      </c>
      <c r="V1272">
        <v>24068</v>
      </c>
    </row>
    <row r="1273" spans="1:22">
      <c r="A1273">
        <v>5352</v>
      </c>
      <c r="B1273" t="s">
        <v>2625</v>
      </c>
      <c r="C1273">
        <v>5697</v>
      </c>
      <c r="D1273" t="s">
        <v>2344</v>
      </c>
      <c r="E1273" t="s">
        <v>2036</v>
      </c>
      <c r="F1273">
        <v>202111</v>
      </c>
      <c r="G1273" t="s">
        <v>2169</v>
      </c>
      <c r="H1273">
        <v>182.65</v>
      </c>
      <c r="O1273">
        <v>5352</v>
      </c>
      <c r="P1273" t="s">
        <v>2625</v>
      </c>
      <c r="Q1273">
        <v>5697</v>
      </c>
      <c r="R1273" t="s">
        <v>2344</v>
      </c>
      <c r="S1273" t="s">
        <v>2036</v>
      </c>
      <c r="T1273">
        <v>202207</v>
      </c>
      <c r="U1273" t="s">
        <v>186</v>
      </c>
      <c r="V1273">
        <v>0</v>
      </c>
    </row>
    <row r="1274" spans="1:22">
      <c r="A1274">
        <v>5352</v>
      </c>
      <c r="B1274" t="s">
        <v>2625</v>
      </c>
      <c r="C1274">
        <v>5697</v>
      </c>
      <c r="D1274" t="s">
        <v>2344</v>
      </c>
      <c r="E1274" t="s">
        <v>2036</v>
      </c>
      <c r="F1274">
        <v>202111</v>
      </c>
      <c r="G1274" t="s">
        <v>2166</v>
      </c>
      <c r="H1274">
        <v>11.83</v>
      </c>
      <c r="O1274">
        <v>5352</v>
      </c>
      <c r="P1274" t="s">
        <v>2625</v>
      </c>
      <c r="Q1274">
        <v>5697</v>
      </c>
      <c r="R1274" t="s">
        <v>2344</v>
      </c>
      <c r="S1274" t="s">
        <v>2036</v>
      </c>
      <c r="T1274">
        <v>202207</v>
      </c>
      <c r="U1274" t="s">
        <v>190</v>
      </c>
      <c r="V1274">
        <v>125798</v>
      </c>
    </row>
    <row r="1275" spans="1:22">
      <c r="A1275">
        <v>5352</v>
      </c>
      <c r="B1275" t="s">
        <v>2625</v>
      </c>
      <c r="C1275">
        <v>5697</v>
      </c>
      <c r="D1275" t="s">
        <v>2344</v>
      </c>
      <c r="E1275" t="s">
        <v>2036</v>
      </c>
      <c r="F1275">
        <v>202111</v>
      </c>
      <c r="G1275" t="s">
        <v>2167</v>
      </c>
      <c r="H1275">
        <v>21.22</v>
      </c>
      <c r="O1275">
        <v>5352</v>
      </c>
      <c r="P1275" t="s">
        <v>2625</v>
      </c>
      <c r="Q1275">
        <v>5697</v>
      </c>
      <c r="R1275" t="s">
        <v>2344</v>
      </c>
      <c r="S1275" t="s">
        <v>2036</v>
      </c>
      <c r="T1275">
        <v>202207</v>
      </c>
      <c r="U1275" t="s">
        <v>191</v>
      </c>
      <c r="V1275">
        <v>17444</v>
      </c>
    </row>
    <row r="1276" spans="1:22">
      <c r="A1276">
        <v>5352</v>
      </c>
      <c r="B1276" t="s">
        <v>2625</v>
      </c>
      <c r="C1276">
        <v>5697</v>
      </c>
      <c r="D1276" t="s">
        <v>2344</v>
      </c>
      <c r="E1276" t="s">
        <v>2036</v>
      </c>
      <c r="F1276">
        <v>202111</v>
      </c>
      <c r="G1276" t="s">
        <v>2168</v>
      </c>
      <c r="H1276">
        <v>14.37</v>
      </c>
      <c r="O1276">
        <v>5352</v>
      </c>
      <c r="P1276" t="s">
        <v>2625</v>
      </c>
      <c r="Q1276">
        <v>5697</v>
      </c>
      <c r="R1276" t="s">
        <v>2344</v>
      </c>
      <c r="S1276" t="s">
        <v>2036</v>
      </c>
      <c r="T1276">
        <v>202207</v>
      </c>
      <c r="U1276" t="s">
        <v>178</v>
      </c>
      <c r="V1276">
        <v>450</v>
      </c>
    </row>
    <row r="1277" spans="1:22">
      <c r="A1277">
        <v>5352</v>
      </c>
      <c r="B1277" t="s">
        <v>2625</v>
      </c>
      <c r="C1277">
        <v>5697</v>
      </c>
      <c r="D1277" t="s">
        <v>2344</v>
      </c>
      <c r="E1277" t="s">
        <v>2036</v>
      </c>
      <c r="F1277">
        <v>202111</v>
      </c>
      <c r="G1277" t="s">
        <v>2171</v>
      </c>
      <c r="H1277">
        <v>176399.23</v>
      </c>
      <c r="O1277">
        <v>5352</v>
      </c>
      <c r="P1277" t="s">
        <v>2625</v>
      </c>
      <c r="Q1277">
        <v>5697</v>
      </c>
      <c r="R1277" t="s">
        <v>2344</v>
      </c>
      <c r="S1277" t="s">
        <v>2036</v>
      </c>
      <c r="T1277">
        <v>202207</v>
      </c>
      <c r="U1277" t="s">
        <v>180</v>
      </c>
      <c r="V1277">
        <v>450</v>
      </c>
    </row>
    <row r="1278" spans="1:22">
      <c r="A1278">
        <v>5352</v>
      </c>
      <c r="B1278" t="s">
        <v>2625</v>
      </c>
      <c r="C1278">
        <v>5697</v>
      </c>
      <c r="D1278" t="s">
        <v>2344</v>
      </c>
      <c r="E1278" t="s">
        <v>2036</v>
      </c>
      <c r="F1278">
        <v>202111</v>
      </c>
      <c r="G1278" t="s">
        <v>190</v>
      </c>
      <c r="H1278">
        <v>772107</v>
      </c>
      <c r="O1278">
        <v>5352</v>
      </c>
      <c r="P1278" t="s">
        <v>2625</v>
      </c>
      <c r="Q1278">
        <v>5697</v>
      </c>
      <c r="R1278" t="s">
        <v>2344</v>
      </c>
      <c r="S1278" t="s">
        <v>2036</v>
      </c>
      <c r="T1278">
        <v>202207</v>
      </c>
      <c r="U1278" t="s">
        <v>182</v>
      </c>
      <c r="V1278">
        <v>125798</v>
      </c>
    </row>
    <row r="1279" spans="1:22">
      <c r="A1279">
        <v>5352</v>
      </c>
      <c r="B1279" t="s">
        <v>2625</v>
      </c>
      <c r="C1279">
        <v>5697</v>
      </c>
      <c r="D1279" t="s">
        <v>2344</v>
      </c>
      <c r="E1279" t="s">
        <v>2036</v>
      </c>
      <c r="F1279">
        <v>202111</v>
      </c>
      <c r="G1279" t="s">
        <v>191</v>
      </c>
      <c r="H1279">
        <v>119591</v>
      </c>
      <c r="O1279">
        <v>5352</v>
      </c>
      <c r="P1279" t="s">
        <v>2625</v>
      </c>
      <c r="Q1279">
        <v>5697</v>
      </c>
      <c r="R1279" t="s">
        <v>2344</v>
      </c>
      <c r="S1279" t="s">
        <v>2036</v>
      </c>
      <c r="T1279">
        <v>202207</v>
      </c>
      <c r="U1279" t="s">
        <v>184</v>
      </c>
      <c r="V1279">
        <v>17444</v>
      </c>
    </row>
    <row r="1280" spans="1:22">
      <c r="A1280">
        <v>5352</v>
      </c>
      <c r="B1280" t="s">
        <v>2625</v>
      </c>
      <c r="C1280">
        <v>5697</v>
      </c>
      <c r="D1280" t="s">
        <v>2344</v>
      </c>
      <c r="E1280" t="s">
        <v>2036</v>
      </c>
      <c r="F1280">
        <v>202111</v>
      </c>
      <c r="G1280" t="s">
        <v>176</v>
      </c>
      <c r="H1280">
        <v>-0.01</v>
      </c>
      <c r="O1280">
        <v>5352</v>
      </c>
      <c r="P1280" t="s">
        <v>2625</v>
      </c>
      <c r="Q1280">
        <v>5697</v>
      </c>
      <c r="R1280" t="s">
        <v>2344</v>
      </c>
      <c r="S1280" t="s">
        <v>2036</v>
      </c>
      <c r="T1280">
        <v>202207</v>
      </c>
      <c r="U1280" t="s">
        <v>186</v>
      </c>
      <c r="V1280">
        <v>0</v>
      </c>
    </row>
    <row r="1281" spans="1:22">
      <c r="A1281">
        <v>5352</v>
      </c>
      <c r="B1281" t="s">
        <v>2625</v>
      </c>
      <c r="C1281">
        <v>5697</v>
      </c>
      <c r="D1281" t="s">
        <v>2344</v>
      </c>
      <c r="E1281" t="s">
        <v>2036</v>
      </c>
      <c r="F1281">
        <v>202111</v>
      </c>
      <c r="G1281" t="s">
        <v>178</v>
      </c>
      <c r="H1281">
        <v>2400</v>
      </c>
      <c r="O1281">
        <v>5352</v>
      </c>
      <c r="P1281" t="s">
        <v>2625</v>
      </c>
      <c r="Q1281">
        <v>5697</v>
      </c>
      <c r="R1281" t="s">
        <v>2344</v>
      </c>
      <c r="S1281" t="s">
        <v>2036</v>
      </c>
      <c r="T1281">
        <v>202207</v>
      </c>
      <c r="U1281" t="s">
        <v>190</v>
      </c>
      <c r="V1281">
        <v>265894</v>
      </c>
    </row>
    <row r="1282" spans="1:22">
      <c r="A1282">
        <v>5352</v>
      </c>
      <c r="B1282" t="s">
        <v>2625</v>
      </c>
      <c r="C1282">
        <v>5697</v>
      </c>
      <c r="D1282" t="s">
        <v>2344</v>
      </c>
      <c r="E1282" t="s">
        <v>2036</v>
      </c>
      <c r="F1282">
        <v>202111</v>
      </c>
      <c r="G1282" t="s">
        <v>180</v>
      </c>
      <c r="H1282">
        <v>2400</v>
      </c>
      <c r="O1282">
        <v>5352</v>
      </c>
      <c r="P1282" t="s">
        <v>2625</v>
      </c>
      <c r="Q1282">
        <v>5697</v>
      </c>
      <c r="R1282" t="s">
        <v>2344</v>
      </c>
      <c r="S1282" t="s">
        <v>2036</v>
      </c>
      <c r="T1282">
        <v>202207</v>
      </c>
      <c r="U1282" t="s">
        <v>191</v>
      </c>
      <c r="V1282">
        <v>35939</v>
      </c>
    </row>
    <row r="1283" spans="1:22">
      <c r="A1283">
        <v>5352</v>
      </c>
      <c r="B1283" t="s">
        <v>2625</v>
      </c>
      <c r="C1283">
        <v>5697</v>
      </c>
      <c r="D1283" t="s">
        <v>2344</v>
      </c>
      <c r="E1283" t="s">
        <v>2036</v>
      </c>
      <c r="F1283">
        <v>202111</v>
      </c>
      <c r="G1283" t="s">
        <v>182</v>
      </c>
      <c r="H1283">
        <v>772107</v>
      </c>
      <c r="O1283">
        <v>5352</v>
      </c>
      <c r="P1283" t="s">
        <v>2625</v>
      </c>
      <c r="Q1283">
        <v>5697</v>
      </c>
      <c r="R1283" t="s">
        <v>2344</v>
      </c>
      <c r="S1283" t="s">
        <v>2036</v>
      </c>
      <c r="T1283">
        <v>202207</v>
      </c>
      <c r="U1283" t="s">
        <v>178</v>
      </c>
      <c r="V1283">
        <v>831.26</v>
      </c>
    </row>
    <row r="1284" spans="1:22">
      <c r="A1284">
        <v>5352</v>
      </c>
      <c r="B1284" t="s">
        <v>2625</v>
      </c>
      <c r="C1284">
        <v>5697</v>
      </c>
      <c r="D1284" t="s">
        <v>2344</v>
      </c>
      <c r="E1284" t="s">
        <v>2036</v>
      </c>
      <c r="F1284">
        <v>202111</v>
      </c>
      <c r="G1284" t="s">
        <v>184</v>
      </c>
      <c r="H1284">
        <v>119591</v>
      </c>
      <c r="O1284">
        <v>5352</v>
      </c>
      <c r="P1284" t="s">
        <v>2625</v>
      </c>
      <c r="Q1284">
        <v>5697</v>
      </c>
      <c r="R1284" t="s">
        <v>2344</v>
      </c>
      <c r="S1284" t="s">
        <v>2036</v>
      </c>
      <c r="T1284">
        <v>202207</v>
      </c>
      <c r="U1284" t="s">
        <v>180</v>
      </c>
      <c r="V1284">
        <v>820</v>
      </c>
    </row>
    <row r="1285" spans="1:22">
      <c r="A1285">
        <v>5352</v>
      </c>
      <c r="B1285" t="s">
        <v>2625</v>
      </c>
      <c r="C1285">
        <v>5697</v>
      </c>
      <c r="D1285" t="s">
        <v>2344</v>
      </c>
      <c r="E1285" t="s">
        <v>2036</v>
      </c>
      <c r="F1285">
        <v>202111</v>
      </c>
      <c r="G1285" t="s">
        <v>192</v>
      </c>
      <c r="H1285">
        <v>0</v>
      </c>
      <c r="O1285">
        <v>5352</v>
      </c>
      <c r="P1285" t="s">
        <v>2625</v>
      </c>
      <c r="Q1285">
        <v>5697</v>
      </c>
      <c r="R1285" t="s">
        <v>2344</v>
      </c>
      <c r="S1285" t="s">
        <v>2036</v>
      </c>
      <c r="T1285">
        <v>202207</v>
      </c>
      <c r="U1285" t="s">
        <v>182</v>
      </c>
      <c r="V1285">
        <v>265894</v>
      </c>
    </row>
    <row r="1286" spans="1:22">
      <c r="A1286">
        <v>5352</v>
      </c>
      <c r="B1286" t="s">
        <v>2625</v>
      </c>
      <c r="C1286">
        <v>5697</v>
      </c>
      <c r="D1286" t="s">
        <v>2344</v>
      </c>
      <c r="E1286" t="s">
        <v>2036</v>
      </c>
      <c r="F1286">
        <v>202111</v>
      </c>
      <c r="G1286" t="s">
        <v>2170</v>
      </c>
      <c r="H1286">
        <v>9406.73</v>
      </c>
      <c r="O1286">
        <v>5352</v>
      </c>
      <c r="P1286" t="s">
        <v>2625</v>
      </c>
      <c r="Q1286">
        <v>5697</v>
      </c>
      <c r="R1286" t="s">
        <v>2344</v>
      </c>
      <c r="S1286" t="s">
        <v>2036</v>
      </c>
      <c r="T1286">
        <v>202207</v>
      </c>
      <c r="U1286" t="s">
        <v>184</v>
      </c>
      <c r="V1286">
        <v>35939</v>
      </c>
    </row>
    <row r="1287" spans="1:22">
      <c r="A1287">
        <v>5352</v>
      </c>
      <c r="B1287" t="s">
        <v>2625</v>
      </c>
      <c r="C1287">
        <v>5697</v>
      </c>
      <c r="D1287" t="s">
        <v>2344</v>
      </c>
      <c r="E1287" t="s">
        <v>2036</v>
      </c>
      <c r="F1287">
        <v>202111</v>
      </c>
      <c r="G1287" t="s">
        <v>186</v>
      </c>
      <c r="H1287">
        <v>90637</v>
      </c>
      <c r="O1287">
        <v>5352</v>
      </c>
      <c r="P1287" t="s">
        <v>2625</v>
      </c>
      <c r="Q1287">
        <v>5697</v>
      </c>
      <c r="R1287" t="s">
        <v>2344</v>
      </c>
      <c r="S1287" t="s">
        <v>2036</v>
      </c>
      <c r="T1287">
        <v>202207</v>
      </c>
      <c r="U1287" t="s">
        <v>186</v>
      </c>
      <c r="V1287">
        <v>0</v>
      </c>
    </row>
    <row r="1288" spans="1:22">
      <c r="A1288">
        <v>5352</v>
      </c>
      <c r="B1288" t="s">
        <v>2625</v>
      </c>
      <c r="C1288">
        <v>5697</v>
      </c>
      <c r="D1288" t="s">
        <v>2344</v>
      </c>
      <c r="E1288" t="s">
        <v>2036</v>
      </c>
      <c r="F1288">
        <v>202111</v>
      </c>
      <c r="G1288" t="s">
        <v>2169</v>
      </c>
      <c r="H1288">
        <v>182.65</v>
      </c>
      <c r="O1288">
        <v>5352</v>
      </c>
      <c r="P1288" t="s">
        <v>2625</v>
      </c>
      <c r="Q1288">
        <v>5697</v>
      </c>
      <c r="R1288" t="s">
        <v>2344</v>
      </c>
      <c r="S1288" t="s">
        <v>2036</v>
      </c>
      <c r="T1288">
        <v>202207</v>
      </c>
      <c r="U1288" t="s">
        <v>190</v>
      </c>
      <c r="V1288">
        <v>682688</v>
      </c>
    </row>
    <row r="1289" spans="1:22">
      <c r="A1289">
        <v>5352</v>
      </c>
      <c r="B1289" t="s">
        <v>2625</v>
      </c>
      <c r="C1289">
        <v>5697</v>
      </c>
      <c r="D1289" t="s">
        <v>2344</v>
      </c>
      <c r="E1289" t="s">
        <v>2036</v>
      </c>
      <c r="F1289">
        <v>202111</v>
      </c>
      <c r="G1289" t="s">
        <v>2166</v>
      </c>
      <c r="H1289">
        <v>11.83</v>
      </c>
      <c r="O1289">
        <v>5352</v>
      </c>
      <c r="P1289" t="s">
        <v>2625</v>
      </c>
      <c r="Q1289">
        <v>5697</v>
      </c>
      <c r="R1289" t="s">
        <v>2344</v>
      </c>
      <c r="S1289" t="s">
        <v>2036</v>
      </c>
      <c r="T1289">
        <v>202207</v>
      </c>
      <c r="U1289" t="s">
        <v>191</v>
      </c>
      <c r="V1289">
        <v>39942</v>
      </c>
    </row>
    <row r="1290" spans="1:22">
      <c r="A1290">
        <v>5352</v>
      </c>
      <c r="B1290" t="s">
        <v>2625</v>
      </c>
      <c r="C1290">
        <v>5697</v>
      </c>
      <c r="D1290" t="s">
        <v>2344</v>
      </c>
      <c r="E1290" t="s">
        <v>2036</v>
      </c>
      <c r="F1290">
        <v>202111</v>
      </c>
      <c r="G1290" t="s">
        <v>2167</v>
      </c>
      <c r="H1290">
        <v>21.22</v>
      </c>
      <c r="O1290">
        <v>5352</v>
      </c>
      <c r="P1290" t="s">
        <v>2625</v>
      </c>
      <c r="Q1290">
        <v>5697</v>
      </c>
      <c r="R1290" t="s">
        <v>2344</v>
      </c>
      <c r="S1290" t="s">
        <v>2036</v>
      </c>
      <c r="T1290">
        <v>202207</v>
      </c>
      <c r="U1290" t="s">
        <v>178</v>
      </c>
      <c r="V1290">
        <v>1450</v>
      </c>
    </row>
    <row r="1291" spans="1:22">
      <c r="A1291">
        <v>5352</v>
      </c>
      <c r="B1291" t="s">
        <v>2625</v>
      </c>
      <c r="C1291">
        <v>5697</v>
      </c>
      <c r="D1291" t="s">
        <v>2344</v>
      </c>
      <c r="E1291" t="s">
        <v>2036</v>
      </c>
      <c r="F1291">
        <v>202111</v>
      </c>
      <c r="G1291" t="s">
        <v>2168</v>
      </c>
      <c r="H1291">
        <v>14.37</v>
      </c>
      <c r="O1291">
        <v>5352</v>
      </c>
      <c r="P1291" t="s">
        <v>2625</v>
      </c>
      <c r="Q1291">
        <v>5697</v>
      </c>
      <c r="R1291" t="s">
        <v>2344</v>
      </c>
      <c r="S1291" t="s">
        <v>2036</v>
      </c>
      <c r="T1291">
        <v>202207</v>
      </c>
      <c r="U1291" t="s">
        <v>180</v>
      </c>
      <c r="V1291">
        <v>1450</v>
      </c>
    </row>
    <row r="1292" spans="1:22">
      <c r="A1292">
        <v>5352</v>
      </c>
      <c r="B1292" t="s">
        <v>2625</v>
      </c>
      <c r="C1292">
        <v>5697</v>
      </c>
      <c r="D1292" t="s">
        <v>2344</v>
      </c>
      <c r="E1292" t="s">
        <v>2036</v>
      </c>
      <c r="F1292">
        <v>202111</v>
      </c>
      <c r="G1292" t="s">
        <v>2171</v>
      </c>
      <c r="H1292">
        <v>265738.5</v>
      </c>
      <c r="O1292">
        <v>5352</v>
      </c>
      <c r="P1292" t="s">
        <v>2625</v>
      </c>
      <c r="Q1292">
        <v>5697</v>
      </c>
      <c r="R1292" t="s">
        <v>2344</v>
      </c>
      <c r="S1292" t="s">
        <v>2036</v>
      </c>
      <c r="T1292">
        <v>202207</v>
      </c>
      <c r="U1292" t="s">
        <v>182</v>
      </c>
      <c r="V1292">
        <v>682688</v>
      </c>
    </row>
    <row r="1293" spans="1:22">
      <c r="A1293">
        <v>5352</v>
      </c>
      <c r="B1293" t="s">
        <v>2625</v>
      </c>
      <c r="C1293">
        <v>5697</v>
      </c>
      <c r="D1293" t="s">
        <v>2344</v>
      </c>
      <c r="E1293" t="s">
        <v>2036</v>
      </c>
      <c r="F1293">
        <v>202111</v>
      </c>
      <c r="G1293" t="s">
        <v>190</v>
      </c>
      <c r="H1293">
        <v>498161</v>
      </c>
      <c r="O1293">
        <v>5352</v>
      </c>
      <c r="P1293" t="s">
        <v>2625</v>
      </c>
      <c r="Q1293">
        <v>5697</v>
      </c>
      <c r="R1293" t="s">
        <v>2344</v>
      </c>
      <c r="S1293" t="s">
        <v>2036</v>
      </c>
      <c r="T1293">
        <v>202207</v>
      </c>
      <c r="U1293" t="s">
        <v>184</v>
      </c>
      <c r="V1293">
        <v>39942</v>
      </c>
    </row>
    <row r="1294" spans="1:22">
      <c r="A1294">
        <v>5352</v>
      </c>
      <c r="B1294" t="s">
        <v>2625</v>
      </c>
      <c r="C1294">
        <v>5697</v>
      </c>
      <c r="D1294" t="s">
        <v>2344</v>
      </c>
      <c r="E1294" t="s">
        <v>2036</v>
      </c>
      <c r="F1294">
        <v>202111</v>
      </c>
      <c r="G1294" t="s">
        <v>191</v>
      </c>
      <c r="H1294">
        <v>67766</v>
      </c>
      <c r="O1294">
        <v>5352</v>
      </c>
      <c r="P1294" t="s">
        <v>2625</v>
      </c>
      <c r="Q1294">
        <v>5697</v>
      </c>
      <c r="R1294" t="s">
        <v>2344</v>
      </c>
      <c r="S1294" t="s">
        <v>2036</v>
      </c>
      <c r="T1294">
        <v>202207</v>
      </c>
      <c r="U1294" t="s">
        <v>186</v>
      </c>
      <c r="V1294">
        <v>0</v>
      </c>
    </row>
    <row r="1295" spans="1:22">
      <c r="A1295">
        <v>5352</v>
      </c>
      <c r="B1295" t="s">
        <v>2625</v>
      </c>
      <c r="C1295">
        <v>5697</v>
      </c>
      <c r="D1295" t="s">
        <v>2344</v>
      </c>
      <c r="E1295" t="s">
        <v>2036</v>
      </c>
      <c r="F1295">
        <v>202111</v>
      </c>
      <c r="G1295" t="s">
        <v>176</v>
      </c>
      <c r="H1295">
        <v>0</v>
      </c>
      <c r="O1295">
        <v>5352</v>
      </c>
      <c r="P1295" t="s">
        <v>2625</v>
      </c>
      <c r="Q1295">
        <v>5697</v>
      </c>
      <c r="R1295" t="s">
        <v>2344</v>
      </c>
      <c r="S1295" t="s">
        <v>2036</v>
      </c>
      <c r="T1295">
        <v>202207</v>
      </c>
      <c r="U1295" t="s">
        <v>190</v>
      </c>
      <c r="V1295">
        <v>796061</v>
      </c>
    </row>
    <row r="1296" spans="1:22">
      <c r="A1296">
        <v>5352</v>
      </c>
      <c r="B1296" t="s">
        <v>2625</v>
      </c>
      <c r="C1296">
        <v>5697</v>
      </c>
      <c r="D1296" t="s">
        <v>2344</v>
      </c>
      <c r="E1296" t="s">
        <v>2036</v>
      </c>
      <c r="F1296">
        <v>202111</v>
      </c>
      <c r="G1296" t="s">
        <v>178</v>
      </c>
      <c r="H1296">
        <v>1235</v>
      </c>
      <c r="O1296">
        <v>5352</v>
      </c>
      <c r="P1296" t="s">
        <v>2625</v>
      </c>
      <c r="Q1296">
        <v>5697</v>
      </c>
      <c r="R1296" t="s">
        <v>2344</v>
      </c>
      <c r="S1296" t="s">
        <v>2036</v>
      </c>
      <c r="T1296">
        <v>202207</v>
      </c>
      <c r="U1296" t="s">
        <v>191</v>
      </c>
      <c r="V1296">
        <v>131141</v>
      </c>
    </row>
    <row r="1297" spans="1:22">
      <c r="A1297">
        <v>5352</v>
      </c>
      <c r="B1297" t="s">
        <v>2625</v>
      </c>
      <c r="C1297">
        <v>5697</v>
      </c>
      <c r="D1297" t="s">
        <v>2344</v>
      </c>
      <c r="E1297" t="s">
        <v>2036</v>
      </c>
      <c r="F1297">
        <v>202111</v>
      </c>
      <c r="G1297" t="s">
        <v>180</v>
      </c>
      <c r="H1297">
        <v>1364</v>
      </c>
      <c r="O1297">
        <v>5352</v>
      </c>
      <c r="P1297" t="s">
        <v>2625</v>
      </c>
      <c r="Q1297">
        <v>5697</v>
      </c>
      <c r="R1297" t="s">
        <v>2344</v>
      </c>
      <c r="S1297" t="s">
        <v>2036</v>
      </c>
      <c r="T1297">
        <v>202207</v>
      </c>
      <c r="U1297" t="s">
        <v>178</v>
      </c>
      <c r="V1297">
        <v>2750</v>
      </c>
    </row>
    <row r="1298" spans="1:22">
      <c r="A1298">
        <v>5352</v>
      </c>
      <c r="B1298" t="s">
        <v>2625</v>
      </c>
      <c r="C1298">
        <v>5697</v>
      </c>
      <c r="D1298" t="s">
        <v>2344</v>
      </c>
      <c r="E1298" t="s">
        <v>2036</v>
      </c>
      <c r="F1298">
        <v>202111</v>
      </c>
      <c r="G1298" t="s">
        <v>182</v>
      </c>
      <c r="H1298">
        <v>498161</v>
      </c>
      <c r="O1298">
        <v>5352</v>
      </c>
      <c r="P1298" t="s">
        <v>2625</v>
      </c>
      <c r="Q1298">
        <v>5697</v>
      </c>
      <c r="R1298" t="s">
        <v>2344</v>
      </c>
      <c r="S1298" t="s">
        <v>2036</v>
      </c>
      <c r="T1298">
        <v>202207</v>
      </c>
      <c r="U1298" t="s">
        <v>180</v>
      </c>
      <c r="V1298">
        <v>2750</v>
      </c>
    </row>
    <row r="1299" spans="1:22">
      <c r="A1299">
        <v>5352</v>
      </c>
      <c r="B1299" t="s">
        <v>2625</v>
      </c>
      <c r="C1299">
        <v>5697</v>
      </c>
      <c r="D1299" t="s">
        <v>2344</v>
      </c>
      <c r="E1299" t="s">
        <v>2036</v>
      </c>
      <c r="F1299">
        <v>202111</v>
      </c>
      <c r="G1299" t="s">
        <v>184</v>
      </c>
      <c r="H1299">
        <v>67766</v>
      </c>
      <c r="O1299">
        <v>5352</v>
      </c>
      <c r="P1299" t="s">
        <v>2625</v>
      </c>
      <c r="Q1299">
        <v>5697</v>
      </c>
      <c r="R1299" t="s">
        <v>2344</v>
      </c>
      <c r="S1299" t="s">
        <v>2036</v>
      </c>
      <c r="T1299">
        <v>202207</v>
      </c>
      <c r="U1299" t="s">
        <v>182</v>
      </c>
      <c r="V1299">
        <v>868198</v>
      </c>
    </row>
    <row r="1300" spans="1:22">
      <c r="A1300">
        <v>5352</v>
      </c>
      <c r="B1300" t="s">
        <v>2625</v>
      </c>
      <c r="C1300">
        <v>5697</v>
      </c>
      <c r="D1300" t="s">
        <v>2344</v>
      </c>
      <c r="E1300" t="s">
        <v>2036</v>
      </c>
      <c r="F1300">
        <v>202111</v>
      </c>
      <c r="G1300" t="s">
        <v>192</v>
      </c>
      <c r="H1300">
        <v>0</v>
      </c>
      <c r="O1300">
        <v>5352</v>
      </c>
      <c r="P1300" t="s">
        <v>2625</v>
      </c>
      <c r="Q1300">
        <v>5697</v>
      </c>
      <c r="R1300" t="s">
        <v>2344</v>
      </c>
      <c r="S1300" t="s">
        <v>2036</v>
      </c>
      <c r="T1300">
        <v>202207</v>
      </c>
      <c r="U1300" t="s">
        <v>184</v>
      </c>
      <c r="V1300">
        <v>131141</v>
      </c>
    </row>
    <row r="1301" spans="1:22">
      <c r="A1301">
        <v>5352</v>
      </c>
      <c r="B1301" t="s">
        <v>2625</v>
      </c>
      <c r="C1301">
        <v>5697</v>
      </c>
      <c r="D1301" t="s">
        <v>2344</v>
      </c>
      <c r="E1301" t="s">
        <v>2036</v>
      </c>
      <c r="F1301">
        <v>202111</v>
      </c>
      <c r="G1301" t="s">
        <v>2170</v>
      </c>
      <c r="H1301">
        <v>5963.44</v>
      </c>
      <c r="O1301">
        <v>5352</v>
      </c>
      <c r="P1301" t="s">
        <v>2625</v>
      </c>
      <c r="Q1301">
        <v>5697</v>
      </c>
      <c r="R1301" t="s">
        <v>2344</v>
      </c>
      <c r="S1301" t="s">
        <v>2036</v>
      </c>
      <c r="T1301">
        <v>202207</v>
      </c>
      <c r="U1301" t="s">
        <v>186</v>
      </c>
      <c r="V1301">
        <v>72137</v>
      </c>
    </row>
    <row r="1302" spans="1:22">
      <c r="A1302">
        <v>5352</v>
      </c>
      <c r="B1302" t="s">
        <v>2625</v>
      </c>
      <c r="C1302">
        <v>5697</v>
      </c>
      <c r="D1302" t="s">
        <v>2344</v>
      </c>
      <c r="E1302" t="s">
        <v>2036</v>
      </c>
      <c r="F1302">
        <v>202111</v>
      </c>
      <c r="G1302" t="s">
        <v>186</v>
      </c>
      <c r="H1302">
        <v>0</v>
      </c>
      <c r="O1302">
        <v>5352</v>
      </c>
      <c r="P1302" t="s">
        <v>2625</v>
      </c>
      <c r="Q1302">
        <v>5697</v>
      </c>
      <c r="R1302" t="s">
        <v>2344</v>
      </c>
      <c r="S1302" t="s">
        <v>2036</v>
      </c>
      <c r="T1302">
        <v>202207</v>
      </c>
      <c r="U1302" t="s">
        <v>190</v>
      </c>
      <c r="V1302">
        <v>460716</v>
      </c>
    </row>
    <row r="1303" spans="1:22">
      <c r="A1303">
        <v>5352</v>
      </c>
      <c r="B1303" t="s">
        <v>2625</v>
      </c>
      <c r="C1303">
        <v>5697</v>
      </c>
      <c r="D1303" t="s">
        <v>2344</v>
      </c>
      <c r="E1303" t="s">
        <v>2036</v>
      </c>
      <c r="F1303">
        <v>202111</v>
      </c>
      <c r="G1303" t="s">
        <v>2169</v>
      </c>
      <c r="H1303">
        <v>182.65</v>
      </c>
      <c r="O1303">
        <v>5352</v>
      </c>
      <c r="P1303" t="s">
        <v>2625</v>
      </c>
      <c r="Q1303">
        <v>5697</v>
      </c>
      <c r="R1303" t="s">
        <v>2344</v>
      </c>
      <c r="S1303" t="s">
        <v>2036</v>
      </c>
      <c r="T1303">
        <v>202207</v>
      </c>
      <c r="U1303" t="s">
        <v>191</v>
      </c>
      <c r="V1303">
        <v>70616</v>
      </c>
    </row>
    <row r="1304" spans="1:22">
      <c r="A1304">
        <v>5352</v>
      </c>
      <c r="B1304" t="s">
        <v>2625</v>
      </c>
      <c r="C1304">
        <v>5697</v>
      </c>
      <c r="D1304" t="s">
        <v>2344</v>
      </c>
      <c r="E1304" t="s">
        <v>2036</v>
      </c>
      <c r="F1304">
        <v>202111</v>
      </c>
      <c r="G1304" t="s">
        <v>2166</v>
      </c>
      <c r="H1304">
        <v>11.83</v>
      </c>
      <c r="O1304">
        <v>5352</v>
      </c>
      <c r="P1304" t="s">
        <v>2625</v>
      </c>
      <c r="Q1304">
        <v>5697</v>
      </c>
      <c r="R1304" t="s">
        <v>2344</v>
      </c>
      <c r="S1304" t="s">
        <v>2036</v>
      </c>
      <c r="T1304">
        <v>202207</v>
      </c>
      <c r="U1304" t="s">
        <v>178</v>
      </c>
      <c r="V1304">
        <v>1670</v>
      </c>
    </row>
    <row r="1305" spans="1:22">
      <c r="A1305">
        <v>5352</v>
      </c>
      <c r="B1305" t="s">
        <v>2625</v>
      </c>
      <c r="C1305">
        <v>5697</v>
      </c>
      <c r="D1305" t="s">
        <v>2344</v>
      </c>
      <c r="E1305" t="s">
        <v>2036</v>
      </c>
      <c r="F1305">
        <v>202111</v>
      </c>
      <c r="G1305" t="s">
        <v>2167</v>
      </c>
      <c r="H1305">
        <v>21.22</v>
      </c>
      <c r="O1305">
        <v>5352</v>
      </c>
      <c r="P1305" t="s">
        <v>2625</v>
      </c>
      <c r="Q1305">
        <v>5697</v>
      </c>
      <c r="R1305" t="s">
        <v>2344</v>
      </c>
      <c r="S1305" t="s">
        <v>2036</v>
      </c>
      <c r="T1305">
        <v>202207</v>
      </c>
      <c r="U1305" t="s">
        <v>180</v>
      </c>
      <c r="V1305">
        <v>1670</v>
      </c>
    </row>
    <row r="1306" spans="1:22">
      <c r="A1306">
        <v>5352</v>
      </c>
      <c r="B1306" t="s">
        <v>2625</v>
      </c>
      <c r="C1306">
        <v>5697</v>
      </c>
      <c r="D1306" t="s">
        <v>2344</v>
      </c>
      <c r="E1306" t="s">
        <v>2036</v>
      </c>
      <c r="F1306">
        <v>202111</v>
      </c>
      <c r="G1306" t="s">
        <v>2168</v>
      </c>
      <c r="H1306">
        <v>14.37</v>
      </c>
      <c r="O1306">
        <v>5352</v>
      </c>
      <c r="P1306" t="s">
        <v>2625</v>
      </c>
      <c r="Q1306">
        <v>5697</v>
      </c>
      <c r="R1306" t="s">
        <v>2344</v>
      </c>
      <c r="S1306" t="s">
        <v>2036</v>
      </c>
      <c r="T1306">
        <v>202207</v>
      </c>
      <c r="U1306" t="s">
        <v>182</v>
      </c>
      <c r="V1306">
        <v>460716</v>
      </c>
    </row>
    <row r="1307" spans="1:22">
      <c r="A1307">
        <v>5352</v>
      </c>
      <c r="B1307" t="s">
        <v>2625</v>
      </c>
      <c r="C1307">
        <v>5697</v>
      </c>
      <c r="D1307" t="s">
        <v>2344</v>
      </c>
      <c r="E1307" t="s">
        <v>2036</v>
      </c>
      <c r="F1307">
        <v>202111</v>
      </c>
      <c r="G1307" t="s">
        <v>2171</v>
      </c>
      <c r="H1307">
        <v>167984.45</v>
      </c>
      <c r="O1307">
        <v>5352</v>
      </c>
      <c r="P1307" t="s">
        <v>2625</v>
      </c>
      <c r="Q1307">
        <v>5697</v>
      </c>
      <c r="R1307" t="s">
        <v>2344</v>
      </c>
      <c r="S1307" t="s">
        <v>2036</v>
      </c>
      <c r="T1307">
        <v>202207</v>
      </c>
      <c r="U1307" t="s">
        <v>184</v>
      </c>
      <c r="V1307">
        <v>70616</v>
      </c>
    </row>
    <row r="1308" spans="1:22">
      <c r="A1308">
        <v>5352</v>
      </c>
      <c r="B1308" t="s">
        <v>2625</v>
      </c>
      <c r="C1308">
        <v>5697</v>
      </c>
      <c r="D1308" t="s">
        <v>2344</v>
      </c>
      <c r="E1308" t="s">
        <v>2036</v>
      </c>
      <c r="F1308">
        <v>202111</v>
      </c>
      <c r="G1308" t="s">
        <v>190</v>
      </c>
      <c r="H1308">
        <v>206639</v>
      </c>
      <c r="O1308">
        <v>5352</v>
      </c>
      <c r="P1308" t="s">
        <v>2625</v>
      </c>
      <c r="Q1308">
        <v>5697</v>
      </c>
      <c r="R1308" t="s">
        <v>2344</v>
      </c>
      <c r="S1308" t="s">
        <v>2036</v>
      </c>
      <c r="T1308">
        <v>202207</v>
      </c>
      <c r="U1308" t="s">
        <v>186</v>
      </c>
      <c r="V1308">
        <v>0</v>
      </c>
    </row>
    <row r="1309" spans="1:22">
      <c r="A1309">
        <v>5352</v>
      </c>
      <c r="B1309" t="s">
        <v>2625</v>
      </c>
      <c r="C1309">
        <v>5697</v>
      </c>
      <c r="D1309" t="s">
        <v>2344</v>
      </c>
      <c r="E1309" t="s">
        <v>2036</v>
      </c>
      <c r="F1309">
        <v>202111</v>
      </c>
      <c r="G1309" t="s">
        <v>191</v>
      </c>
      <c r="H1309">
        <v>29011</v>
      </c>
      <c r="O1309">
        <v>5352</v>
      </c>
      <c r="P1309" t="s">
        <v>2625</v>
      </c>
      <c r="Q1309">
        <v>5697</v>
      </c>
      <c r="R1309" t="s">
        <v>2344</v>
      </c>
      <c r="S1309" t="s">
        <v>2036</v>
      </c>
      <c r="T1309">
        <v>202208</v>
      </c>
      <c r="U1309" t="s">
        <v>190</v>
      </c>
      <c r="V1309">
        <v>493799</v>
      </c>
    </row>
    <row r="1310" spans="1:22">
      <c r="A1310">
        <v>5352</v>
      </c>
      <c r="B1310" t="s">
        <v>2625</v>
      </c>
      <c r="C1310">
        <v>5697</v>
      </c>
      <c r="D1310" t="s">
        <v>2344</v>
      </c>
      <c r="E1310" t="s">
        <v>2036</v>
      </c>
      <c r="F1310">
        <v>202111</v>
      </c>
      <c r="G1310" t="s">
        <v>176</v>
      </c>
      <c r="H1310">
        <v>0</v>
      </c>
      <c r="O1310">
        <v>5352</v>
      </c>
      <c r="P1310" t="s">
        <v>2625</v>
      </c>
      <c r="Q1310">
        <v>5697</v>
      </c>
      <c r="R1310" t="s">
        <v>2344</v>
      </c>
      <c r="S1310" t="s">
        <v>2036</v>
      </c>
      <c r="T1310">
        <v>202208</v>
      </c>
      <c r="U1310" t="s">
        <v>191</v>
      </c>
      <c r="V1310">
        <v>72778</v>
      </c>
    </row>
    <row r="1311" spans="1:22">
      <c r="A1311">
        <v>5352</v>
      </c>
      <c r="B1311" t="s">
        <v>2625</v>
      </c>
      <c r="C1311">
        <v>5697</v>
      </c>
      <c r="D1311" t="s">
        <v>2344</v>
      </c>
      <c r="E1311" t="s">
        <v>2036</v>
      </c>
      <c r="F1311">
        <v>202111</v>
      </c>
      <c r="G1311" t="s">
        <v>178</v>
      </c>
      <c r="H1311">
        <v>1300</v>
      </c>
      <c r="O1311">
        <v>5352</v>
      </c>
      <c r="P1311" t="s">
        <v>2625</v>
      </c>
      <c r="Q1311">
        <v>5697</v>
      </c>
      <c r="R1311" t="s">
        <v>2344</v>
      </c>
      <c r="S1311" t="s">
        <v>2036</v>
      </c>
      <c r="T1311">
        <v>202208</v>
      </c>
      <c r="U1311" t="s">
        <v>178</v>
      </c>
      <c r="V1311">
        <v>1670</v>
      </c>
    </row>
    <row r="1312" spans="1:22">
      <c r="A1312">
        <v>5352</v>
      </c>
      <c r="B1312" t="s">
        <v>2625</v>
      </c>
      <c r="C1312">
        <v>5697</v>
      </c>
      <c r="D1312" t="s">
        <v>2344</v>
      </c>
      <c r="E1312" t="s">
        <v>2036</v>
      </c>
      <c r="F1312">
        <v>202111</v>
      </c>
      <c r="G1312" t="s">
        <v>180</v>
      </c>
      <c r="H1312">
        <v>1350</v>
      </c>
      <c r="O1312">
        <v>5352</v>
      </c>
      <c r="P1312" t="s">
        <v>2625</v>
      </c>
      <c r="Q1312">
        <v>5697</v>
      </c>
      <c r="R1312" t="s">
        <v>2344</v>
      </c>
      <c r="S1312" t="s">
        <v>2036</v>
      </c>
      <c r="T1312">
        <v>202208</v>
      </c>
      <c r="U1312" t="s">
        <v>180</v>
      </c>
      <c r="V1312">
        <v>1670</v>
      </c>
    </row>
    <row r="1313" spans="1:22">
      <c r="A1313">
        <v>5352</v>
      </c>
      <c r="B1313" t="s">
        <v>2625</v>
      </c>
      <c r="C1313">
        <v>5697</v>
      </c>
      <c r="D1313" t="s">
        <v>2344</v>
      </c>
      <c r="E1313" t="s">
        <v>2036</v>
      </c>
      <c r="F1313">
        <v>202111</v>
      </c>
      <c r="G1313" t="s">
        <v>182</v>
      </c>
      <c r="H1313">
        <v>206639</v>
      </c>
      <c r="O1313">
        <v>5352</v>
      </c>
      <c r="P1313" t="s">
        <v>2625</v>
      </c>
      <c r="Q1313">
        <v>5697</v>
      </c>
      <c r="R1313" t="s">
        <v>2344</v>
      </c>
      <c r="S1313" t="s">
        <v>2036</v>
      </c>
      <c r="T1313">
        <v>202208</v>
      </c>
      <c r="U1313" t="s">
        <v>182</v>
      </c>
      <c r="V1313">
        <v>493799</v>
      </c>
    </row>
    <row r="1314" spans="1:22">
      <c r="A1314">
        <v>5352</v>
      </c>
      <c r="B1314" t="s">
        <v>2625</v>
      </c>
      <c r="C1314">
        <v>5697</v>
      </c>
      <c r="D1314" t="s">
        <v>2344</v>
      </c>
      <c r="E1314" t="s">
        <v>2036</v>
      </c>
      <c r="F1314">
        <v>202111</v>
      </c>
      <c r="G1314" t="s">
        <v>184</v>
      </c>
      <c r="H1314">
        <v>29011</v>
      </c>
      <c r="O1314">
        <v>5352</v>
      </c>
      <c r="P1314" t="s">
        <v>2625</v>
      </c>
      <c r="Q1314">
        <v>5697</v>
      </c>
      <c r="R1314" t="s">
        <v>2344</v>
      </c>
      <c r="S1314" t="s">
        <v>2036</v>
      </c>
      <c r="T1314">
        <v>202208</v>
      </c>
      <c r="U1314" t="s">
        <v>184</v>
      </c>
      <c r="V1314">
        <v>72778</v>
      </c>
    </row>
    <row r="1315" spans="1:22">
      <c r="A1315">
        <v>5352</v>
      </c>
      <c r="B1315" t="s">
        <v>2625</v>
      </c>
      <c r="C1315">
        <v>5697</v>
      </c>
      <c r="D1315" t="s">
        <v>2344</v>
      </c>
      <c r="E1315" t="s">
        <v>2036</v>
      </c>
      <c r="F1315">
        <v>202111</v>
      </c>
      <c r="G1315" t="s">
        <v>192</v>
      </c>
      <c r="H1315">
        <v>0</v>
      </c>
      <c r="O1315">
        <v>5352</v>
      </c>
      <c r="P1315" t="s">
        <v>2625</v>
      </c>
      <c r="Q1315">
        <v>5697</v>
      </c>
      <c r="R1315" t="s">
        <v>2344</v>
      </c>
      <c r="S1315" t="s">
        <v>2036</v>
      </c>
      <c r="T1315">
        <v>202208</v>
      </c>
      <c r="U1315" t="s">
        <v>186</v>
      </c>
      <c r="V1315">
        <v>0</v>
      </c>
    </row>
    <row r="1316" spans="1:22">
      <c r="A1316">
        <v>5352</v>
      </c>
      <c r="B1316" t="s">
        <v>2625</v>
      </c>
      <c r="C1316">
        <v>5697</v>
      </c>
      <c r="D1316" t="s">
        <v>2344</v>
      </c>
      <c r="E1316" t="s">
        <v>2036</v>
      </c>
      <c r="F1316">
        <v>202111</v>
      </c>
      <c r="G1316" t="s">
        <v>2170</v>
      </c>
      <c r="H1316">
        <v>3329.3</v>
      </c>
      <c r="O1316">
        <v>5352</v>
      </c>
      <c r="P1316" t="s">
        <v>2625</v>
      </c>
      <c r="Q1316">
        <v>5697</v>
      </c>
      <c r="R1316" t="s">
        <v>2344</v>
      </c>
      <c r="S1316" t="s">
        <v>2036</v>
      </c>
      <c r="T1316">
        <v>202208</v>
      </c>
      <c r="U1316" t="s">
        <v>190</v>
      </c>
      <c r="V1316">
        <v>280609</v>
      </c>
    </row>
    <row r="1317" spans="1:22">
      <c r="A1317">
        <v>5352</v>
      </c>
      <c r="B1317" t="s">
        <v>2625</v>
      </c>
      <c r="C1317">
        <v>5697</v>
      </c>
      <c r="D1317" t="s">
        <v>2344</v>
      </c>
      <c r="E1317" t="s">
        <v>2036</v>
      </c>
      <c r="F1317">
        <v>202111</v>
      </c>
      <c r="G1317" t="s">
        <v>186</v>
      </c>
      <c r="H1317">
        <v>0</v>
      </c>
      <c r="O1317">
        <v>5352</v>
      </c>
      <c r="P1317" t="s">
        <v>2625</v>
      </c>
      <c r="Q1317">
        <v>5697</v>
      </c>
      <c r="R1317" t="s">
        <v>2344</v>
      </c>
      <c r="S1317" t="s">
        <v>2036</v>
      </c>
      <c r="T1317">
        <v>202208</v>
      </c>
      <c r="U1317" t="s">
        <v>191</v>
      </c>
      <c r="V1317">
        <v>38678</v>
      </c>
    </row>
    <row r="1318" spans="1:22">
      <c r="A1318">
        <v>5352</v>
      </c>
      <c r="B1318" t="s">
        <v>2625</v>
      </c>
      <c r="C1318">
        <v>5697</v>
      </c>
      <c r="D1318" t="s">
        <v>2344</v>
      </c>
      <c r="E1318" t="s">
        <v>2036</v>
      </c>
      <c r="F1318">
        <v>202111</v>
      </c>
      <c r="G1318" t="s">
        <v>2169</v>
      </c>
      <c r="H1318">
        <v>182.65</v>
      </c>
      <c r="O1318">
        <v>5352</v>
      </c>
      <c r="P1318" t="s">
        <v>2625</v>
      </c>
      <c r="Q1318">
        <v>5697</v>
      </c>
      <c r="R1318" t="s">
        <v>2344</v>
      </c>
      <c r="S1318" t="s">
        <v>2036</v>
      </c>
      <c r="T1318">
        <v>202208</v>
      </c>
      <c r="U1318" t="s">
        <v>178</v>
      </c>
      <c r="V1318">
        <v>970</v>
      </c>
    </row>
    <row r="1319" spans="1:22">
      <c r="A1319">
        <v>5352</v>
      </c>
      <c r="B1319" t="s">
        <v>2625</v>
      </c>
      <c r="C1319">
        <v>5697</v>
      </c>
      <c r="D1319" t="s">
        <v>2344</v>
      </c>
      <c r="E1319" t="s">
        <v>2036</v>
      </c>
      <c r="F1319">
        <v>202111</v>
      </c>
      <c r="G1319" t="s">
        <v>2166</v>
      </c>
      <c r="H1319">
        <v>11.83</v>
      </c>
      <c r="O1319">
        <v>5352</v>
      </c>
      <c r="P1319" t="s">
        <v>2625</v>
      </c>
      <c r="Q1319">
        <v>5697</v>
      </c>
      <c r="R1319" t="s">
        <v>2344</v>
      </c>
      <c r="S1319" t="s">
        <v>2036</v>
      </c>
      <c r="T1319">
        <v>202208</v>
      </c>
      <c r="U1319" t="s">
        <v>180</v>
      </c>
      <c r="V1319">
        <v>970</v>
      </c>
    </row>
    <row r="1320" spans="1:22">
      <c r="A1320">
        <v>5352</v>
      </c>
      <c r="B1320" t="s">
        <v>2625</v>
      </c>
      <c r="C1320">
        <v>5697</v>
      </c>
      <c r="D1320" t="s">
        <v>2344</v>
      </c>
      <c r="E1320" t="s">
        <v>2036</v>
      </c>
      <c r="F1320">
        <v>202111</v>
      </c>
      <c r="G1320" t="s">
        <v>2167</v>
      </c>
      <c r="H1320">
        <v>21.22</v>
      </c>
      <c r="O1320">
        <v>5352</v>
      </c>
      <c r="P1320" t="s">
        <v>2625</v>
      </c>
      <c r="Q1320">
        <v>5697</v>
      </c>
      <c r="R1320" t="s">
        <v>2344</v>
      </c>
      <c r="S1320" t="s">
        <v>2036</v>
      </c>
      <c r="T1320">
        <v>202208</v>
      </c>
      <c r="U1320" t="s">
        <v>182</v>
      </c>
      <c r="V1320">
        <v>280609</v>
      </c>
    </row>
    <row r="1321" spans="1:22">
      <c r="A1321">
        <v>5352</v>
      </c>
      <c r="B1321" t="s">
        <v>2625</v>
      </c>
      <c r="C1321">
        <v>5697</v>
      </c>
      <c r="D1321" t="s">
        <v>2344</v>
      </c>
      <c r="E1321" t="s">
        <v>2036</v>
      </c>
      <c r="F1321">
        <v>202111</v>
      </c>
      <c r="G1321" t="s">
        <v>2168</v>
      </c>
      <c r="H1321">
        <v>14.37</v>
      </c>
      <c r="O1321">
        <v>5352</v>
      </c>
      <c r="P1321" t="s">
        <v>2625</v>
      </c>
      <c r="Q1321">
        <v>5697</v>
      </c>
      <c r="R1321" t="s">
        <v>2344</v>
      </c>
      <c r="S1321" t="s">
        <v>2036</v>
      </c>
      <c r="T1321">
        <v>202208</v>
      </c>
      <c r="U1321" t="s">
        <v>184</v>
      </c>
      <c r="V1321">
        <v>38678</v>
      </c>
    </row>
    <row r="1322" spans="1:22">
      <c r="A1322">
        <v>5352</v>
      </c>
      <c r="B1322" t="s">
        <v>2625</v>
      </c>
      <c r="C1322">
        <v>5697</v>
      </c>
      <c r="D1322" t="s">
        <v>2344</v>
      </c>
      <c r="E1322" t="s">
        <v>2036</v>
      </c>
      <c r="F1322">
        <v>202111</v>
      </c>
      <c r="G1322" t="s">
        <v>2171</v>
      </c>
      <c r="H1322">
        <v>93783.039999999994</v>
      </c>
      <c r="O1322">
        <v>5352</v>
      </c>
      <c r="P1322" t="s">
        <v>2625</v>
      </c>
      <c r="Q1322">
        <v>5697</v>
      </c>
      <c r="R1322" t="s">
        <v>2344</v>
      </c>
      <c r="S1322" t="s">
        <v>2036</v>
      </c>
      <c r="T1322">
        <v>202208</v>
      </c>
      <c r="U1322" t="s">
        <v>186</v>
      </c>
      <c r="V1322">
        <v>0</v>
      </c>
    </row>
    <row r="1323" spans="1:22">
      <c r="A1323">
        <v>5352</v>
      </c>
      <c r="B1323" t="s">
        <v>2625</v>
      </c>
      <c r="C1323">
        <v>5697</v>
      </c>
      <c r="D1323" t="s">
        <v>2344</v>
      </c>
      <c r="E1323" t="s">
        <v>2036</v>
      </c>
      <c r="F1323">
        <v>202111</v>
      </c>
      <c r="G1323" t="s">
        <v>190</v>
      </c>
      <c r="H1323">
        <v>182419</v>
      </c>
      <c r="O1323">
        <v>5352</v>
      </c>
      <c r="P1323" t="s">
        <v>2625</v>
      </c>
      <c r="Q1323">
        <v>5697</v>
      </c>
      <c r="R1323" t="s">
        <v>2344</v>
      </c>
      <c r="S1323" t="s">
        <v>2036</v>
      </c>
      <c r="T1323">
        <v>202208</v>
      </c>
      <c r="U1323" t="s">
        <v>190</v>
      </c>
      <c r="V1323">
        <v>11896</v>
      </c>
    </row>
    <row r="1324" spans="1:22">
      <c r="A1324">
        <v>5352</v>
      </c>
      <c r="B1324" t="s">
        <v>2625</v>
      </c>
      <c r="C1324">
        <v>5697</v>
      </c>
      <c r="D1324" t="s">
        <v>2344</v>
      </c>
      <c r="E1324" t="s">
        <v>2036</v>
      </c>
      <c r="F1324">
        <v>202111</v>
      </c>
      <c r="G1324" t="s">
        <v>191</v>
      </c>
      <c r="H1324">
        <v>27142</v>
      </c>
      <c r="O1324">
        <v>5352</v>
      </c>
      <c r="P1324" t="s">
        <v>2625</v>
      </c>
      <c r="Q1324">
        <v>5697</v>
      </c>
      <c r="R1324" t="s">
        <v>2344</v>
      </c>
      <c r="S1324" t="s">
        <v>2036</v>
      </c>
      <c r="T1324">
        <v>202208</v>
      </c>
      <c r="U1324" t="s">
        <v>191</v>
      </c>
      <c r="V1324">
        <v>1830</v>
      </c>
    </row>
    <row r="1325" spans="1:22">
      <c r="A1325">
        <v>5352</v>
      </c>
      <c r="B1325" t="s">
        <v>2625</v>
      </c>
      <c r="C1325">
        <v>5697</v>
      </c>
      <c r="D1325" t="s">
        <v>2344</v>
      </c>
      <c r="E1325" t="s">
        <v>2036</v>
      </c>
      <c r="F1325">
        <v>202111</v>
      </c>
      <c r="G1325" t="s">
        <v>176</v>
      </c>
      <c r="H1325">
        <v>0</v>
      </c>
      <c r="O1325">
        <v>5352</v>
      </c>
      <c r="P1325" t="s">
        <v>2625</v>
      </c>
      <c r="Q1325">
        <v>5697</v>
      </c>
      <c r="R1325" t="s">
        <v>2344</v>
      </c>
      <c r="S1325" t="s">
        <v>2036</v>
      </c>
      <c r="T1325">
        <v>202208</v>
      </c>
      <c r="U1325" t="s">
        <v>178</v>
      </c>
      <c r="V1325">
        <v>120</v>
      </c>
    </row>
    <row r="1326" spans="1:22">
      <c r="A1326">
        <v>5352</v>
      </c>
      <c r="B1326" t="s">
        <v>2625</v>
      </c>
      <c r="C1326">
        <v>5697</v>
      </c>
      <c r="D1326" t="s">
        <v>2344</v>
      </c>
      <c r="E1326" t="s">
        <v>2036</v>
      </c>
      <c r="F1326">
        <v>202111</v>
      </c>
      <c r="G1326" t="s">
        <v>178</v>
      </c>
      <c r="H1326">
        <v>810</v>
      </c>
      <c r="O1326">
        <v>5352</v>
      </c>
      <c r="P1326" t="s">
        <v>2625</v>
      </c>
      <c r="Q1326">
        <v>5697</v>
      </c>
      <c r="R1326" t="s">
        <v>2344</v>
      </c>
      <c r="S1326" t="s">
        <v>2036</v>
      </c>
      <c r="T1326">
        <v>202208</v>
      </c>
      <c r="U1326" t="s">
        <v>180</v>
      </c>
      <c r="V1326">
        <v>120</v>
      </c>
    </row>
    <row r="1327" spans="1:22">
      <c r="A1327">
        <v>5352</v>
      </c>
      <c r="B1327" t="s">
        <v>2625</v>
      </c>
      <c r="C1327">
        <v>5697</v>
      </c>
      <c r="D1327" t="s">
        <v>2344</v>
      </c>
      <c r="E1327" t="s">
        <v>2036</v>
      </c>
      <c r="F1327">
        <v>202111</v>
      </c>
      <c r="G1327" t="s">
        <v>180</v>
      </c>
      <c r="H1327">
        <v>930</v>
      </c>
      <c r="O1327">
        <v>5352</v>
      </c>
      <c r="P1327" t="s">
        <v>2625</v>
      </c>
      <c r="Q1327">
        <v>5697</v>
      </c>
      <c r="R1327" t="s">
        <v>2344</v>
      </c>
      <c r="S1327" t="s">
        <v>2036</v>
      </c>
      <c r="T1327">
        <v>202208</v>
      </c>
      <c r="U1327" t="s">
        <v>182</v>
      </c>
      <c r="V1327">
        <v>11896</v>
      </c>
    </row>
    <row r="1328" spans="1:22">
      <c r="A1328">
        <v>5352</v>
      </c>
      <c r="B1328" t="s">
        <v>2625</v>
      </c>
      <c r="C1328">
        <v>5697</v>
      </c>
      <c r="D1328" t="s">
        <v>2344</v>
      </c>
      <c r="E1328" t="s">
        <v>2036</v>
      </c>
      <c r="F1328">
        <v>202111</v>
      </c>
      <c r="G1328" t="s">
        <v>182</v>
      </c>
      <c r="H1328">
        <v>182419</v>
      </c>
      <c r="O1328">
        <v>5352</v>
      </c>
      <c r="P1328" t="s">
        <v>2625</v>
      </c>
      <c r="Q1328">
        <v>5697</v>
      </c>
      <c r="R1328" t="s">
        <v>2344</v>
      </c>
      <c r="S1328" t="s">
        <v>2036</v>
      </c>
      <c r="T1328">
        <v>202208</v>
      </c>
      <c r="U1328" t="s">
        <v>184</v>
      </c>
      <c r="V1328">
        <v>1830</v>
      </c>
    </row>
    <row r="1329" spans="1:22">
      <c r="A1329">
        <v>5352</v>
      </c>
      <c r="B1329" t="s">
        <v>2625</v>
      </c>
      <c r="C1329">
        <v>5697</v>
      </c>
      <c r="D1329" t="s">
        <v>2344</v>
      </c>
      <c r="E1329" t="s">
        <v>2036</v>
      </c>
      <c r="F1329">
        <v>202111</v>
      </c>
      <c r="G1329" t="s">
        <v>184</v>
      </c>
      <c r="H1329">
        <v>27142</v>
      </c>
      <c r="O1329">
        <v>5352</v>
      </c>
      <c r="P1329" t="s">
        <v>2625</v>
      </c>
      <c r="Q1329">
        <v>5697</v>
      </c>
      <c r="R1329" t="s">
        <v>2344</v>
      </c>
      <c r="S1329" t="s">
        <v>2036</v>
      </c>
      <c r="T1329">
        <v>202208</v>
      </c>
      <c r="U1329" t="s">
        <v>186</v>
      </c>
      <c r="V1329">
        <v>0</v>
      </c>
    </row>
    <row r="1330" spans="1:22">
      <c r="A1330">
        <v>5352</v>
      </c>
      <c r="B1330" t="s">
        <v>2625</v>
      </c>
      <c r="C1330">
        <v>5697</v>
      </c>
      <c r="D1330" t="s">
        <v>2344</v>
      </c>
      <c r="E1330" t="s">
        <v>2036</v>
      </c>
      <c r="F1330">
        <v>202111</v>
      </c>
      <c r="G1330" t="s">
        <v>192</v>
      </c>
      <c r="H1330">
        <v>0</v>
      </c>
      <c r="O1330">
        <v>5352</v>
      </c>
      <c r="P1330" t="s">
        <v>2625</v>
      </c>
      <c r="Q1330">
        <v>5697</v>
      </c>
      <c r="R1330" t="s">
        <v>2344</v>
      </c>
      <c r="S1330" t="s">
        <v>2036</v>
      </c>
      <c r="T1330">
        <v>202208</v>
      </c>
      <c r="U1330" t="s">
        <v>190</v>
      </c>
      <c r="V1330">
        <v>84749</v>
      </c>
    </row>
    <row r="1331" spans="1:22">
      <c r="A1331">
        <v>5352</v>
      </c>
      <c r="B1331" t="s">
        <v>2625</v>
      </c>
      <c r="C1331">
        <v>5697</v>
      </c>
      <c r="D1331" t="s">
        <v>2344</v>
      </c>
      <c r="E1331" t="s">
        <v>2036</v>
      </c>
      <c r="F1331">
        <v>202111</v>
      </c>
      <c r="G1331" t="s">
        <v>2170</v>
      </c>
      <c r="H1331">
        <v>2598.71</v>
      </c>
      <c r="O1331">
        <v>5352</v>
      </c>
      <c r="P1331" t="s">
        <v>2625</v>
      </c>
      <c r="Q1331">
        <v>5697</v>
      </c>
      <c r="R1331" t="s">
        <v>2344</v>
      </c>
      <c r="S1331" t="s">
        <v>2036</v>
      </c>
      <c r="T1331">
        <v>202208</v>
      </c>
      <c r="U1331" t="s">
        <v>191</v>
      </c>
      <c r="V1331">
        <v>13033</v>
      </c>
    </row>
    <row r="1332" spans="1:22">
      <c r="A1332">
        <v>5352</v>
      </c>
      <c r="B1332" t="s">
        <v>2625</v>
      </c>
      <c r="C1332">
        <v>5697</v>
      </c>
      <c r="D1332" t="s">
        <v>2344</v>
      </c>
      <c r="E1332" t="s">
        <v>2036</v>
      </c>
      <c r="F1332">
        <v>202111</v>
      </c>
      <c r="G1332" t="s">
        <v>186</v>
      </c>
      <c r="H1332">
        <v>0</v>
      </c>
      <c r="O1332">
        <v>5352</v>
      </c>
      <c r="P1332" t="s">
        <v>2625</v>
      </c>
      <c r="Q1332">
        <v>5697</v>
      </c>
      <c r="R1332" t="s">
        <v>2344</v>
      </c>
      <c r="S1332" t="s">
        <v>2036</v>
      </c>
      <c r="T1332">
        <v>202208</v>
      </c>
      <c r="U1332" t="s">
        <v>178</v>
      </c>
      <c r="V1332">
        <v>510</v>
      </c>
    </row>
    <row r="1333" spans="1:22">
      <c r="A1333">
        <v>5352</v>
      </c>
      <c r="B1333" t="s">
        <v>2625</v>
      </c>
      <c r="C1333">
        <v>5697</v>
      </c>
      <c r="D1333" t="s">
        <v>2344</v>
      </c>
      <c r="E1333" t="s">
        <v>2036</v>
      </c>
      <c r="F1333">
        <v>202111</v>
      </c>
      <c r="G1333" t="s">
        <v>2169</v>
      </c>
      <c r="H1333">
        <v>182.65</v>
      </c>
      <c r="O1333">
        <v>5352</v>
      </c>
      <c r="P1333" t="s">
        <v>2625</v>
      </c>
      <c r="Q1333">
        <v>5697</v>
      </c>
      <c r="R1333" t="s">
        <v>2344</v>
      </c>
      <c r="S1333" t="s">
        <v>2036</v>
      </c>
      <c r="T1333">
        <v>202208</v>
      </c>
      <c r="U1333" t="s">
        <v>180</v>
      </c>
      <c r="V1333">
        <v>570</v>
      </c>
    </row>
    <row r="1334" spans="1:22">
      <c r="A1334">
        <v>5352</v>
      </c>
      <c r="B1334" t="s">
        <v>2625</v>
      </c>
      <c r="C1334">
        <v>5697</v>
      </c>
      <c r="D1334" t="s">
        <v>2344</v>
      </c>
      <c r="E1334" t="s">
        <v>2036</v>
      </c>
      <c r="F1334">
        <v>202111</v>
      </c>
      <c r="G1334" t="s">
        <v>2166</v>
      </c>
      <c r="H1334">
        <v>11.83</v>
      </c>
      <c r="O1334">
        <v>5352</v>
      </c>
      <c r="P1334" t="s">
        <v>2625</v>
      </c>
      <c r="Q1334">
        <v>5697</v>
      </c>
      <c r="R1334" t="s">
        <v>2344</v>
      </c>
      <c r="S1334" t="s">
        <v>2036</v>
      </c>
      <c r="T1334">
        <v>202208</v>
      </c>
      <c r="U1334" t="s">
        <v>182</v>
      </c>
      <c r="V1334">
        <v>84749</v>
      </c>
    </row>
    <row r="1335" spans="1:22">
      <c r="A1335">
        <v>5352</v>
      </c>
      <c r="B1335" t="s">
        <v>2625</v>
      </c>
      <c r="C1335">
        <v>5697</v>
      </c>
      <c r="D1335" t="s">
        <v>2344</v>
      </c>
      <c r="E1335" t="s">
        <v>2036</v>
      </c>
      <c r="F1335">
        <v>202111</v>
      </c>
      <c r="G1335" t="s">
        <v>2167</v>
      </c>
      <c r="H1335">
        <v>21.22</v>
      </c>
      <c r="O1335">
        <v>5352</v>
      </c>
      <c r="P1335" t="s">
        <v>2625</v>
      </c>
      <c r="Q1335">
        <v>5697</v>
      </c>
      <c r="R1335" t="s">
        <v>2344</v>
      </c>
      <c r="S1335" t="s">
        <v>2036</v>
      </c>
      <c r="T1335">
        <v>202208</v>
      </c>
      <c r="U1335" t="s">
        <v>184</v>
      </c>
      <c r="V1335">
        <v>13033</v>
      </c>
    </row>
    <row r="1336" spans="1:22">
      <c r="A1336">
        <v>5352</v>
      </c>
      <c r="B1336" t="s">
        <v>2625</v>
      </c>
      <c r="C1336">
        <v>5697</v>
      </c>
      <c r="D1336" t="s">
        <v>2344</v>
      </c>
      <c r="E1336" t="s">
        <v>2036</v>
      </c>
      <c r="F1336">
        <v>202111</v>
      </c>
      <c r="G1336" t="s">
        <v>2168</v>
      </c>
      <c r="H1336">
        <v>14.37</v>
      </c>
      <c r="O1336">
        <v>5352</v>
      </c>
      <c r="P1336" t="s">
        <v>2625</v>
      </c>
      <c r="Q1336">
        <v>5697</v>
      </c>
      <c r="R1336" t="s">
        <v>2344</v>
      </c>
      <c r="S1336" t="s">
        <v>2036</v>
      </c>
      <c r="T1336">
        <v>202208</v>
      </c>
      <c r="U1336" t="s">
        <v>186</v>
      </c>
      <c r="V1336">
        <v>0</v>
      </c>
    </row>
    <row r="1337" spans="1:22">
      <c r="A1337">
        <v>5352</v>
      </c>
      <c r="B1337" t="s">
        <v>2625</v>
      </c>
      <c r="C1337">
        <v>5697</v>
      </c>
      <c r="D1337" t="s">
        <v>2344</v>
      </c>
      <c r="E1337" t="s">
        <v>2036</v>
      </c>
      <c r="F1337">
        <v>202111</v>
      </c>
      <c r="G1337" t="s">
        <v>2171</v>
      </c>
      <c r="H1337">
        <v>74693.490000000005</v>
      </c>
      <c r="O1337">
        <v>5352</v>
      </c>
      <c r="P1337" t="s">
        <v>2625</v>
      </c>
      <c r="Q1337">
        <v>5697</v>
      </c>
      <c r="R1337" t="s">
        <v>2344</v>
      </c>
      <c r="S1337" t="s">
        <v>2036</v>
      </c>
      <c r="T1337">
        <v>202208</v>
      </c>
      <c r="U1337" t="s">
        <v>190</v>
      </c>
      <c r="V1337">
        <v>207176</v>
      </c>
    </row>
    <row r="1338" spans="1:22">
      <c r="A1338">
        <v>5352</v>
      </c>
      <c r="B1338" t="s">
        <v>2625</v>
      </c>
      <c r="C1338">
        <v>5697</v>
      </c>
      <c r="D1338" t="s">
        <v>2344</v>
      </c>
      <c r="E1338" t="s">
        <v>2036</v>
      </c>
      <c r="F1338">
        <v>202111</v>
      </c>
      <c r="G1338" t="s">
        <v>190</v>
      </c>
      <c r="H1338">
        <v>55389</v>
      </c>
      <c r="O1338">
        <v>5352</v>
      </c>
      <c r="P1338" t="s">
        <v>2625</v>
      </c>
      <c r="Q1338">
        <v>5697</v>
      </c>
      <c r="R1338" t="s">
        <v>2344</v>
      </c>
      <c r="S1338" t="s">
        <v>2036</v>
      </c>
      <c r="T1338">
        <v>202208</v>
      </c>
      <c r="U1338" t="s">
        <v>191</v>
      </c>
      <c r="V1338">
        <v>31197</v>
      </c>
    </row>
    <row r="1339" spans="1:22">
      <c r="A1339">
        <v>5352</v>
      </c>
      <c r="B1339" t="s">
        <v>2625</v>
      </c>
      <c r="C1339">
        <v>5697</v>
      </c>
      <c r="D1339" t="s">
        <v>2344</v>
      </c>
      <c r="E1339" t="s">
        <v>2036</v>
      </c>
      <c r="F1339">
        <v>202111</v>
      </c>
      <c r="G1339" t="s">
        <v>191</v>
      </c>
      <c r="H1339">
        <v>7699</v>
      </c>
      <c r="O1339">
        <v>5352</v>
      </c>
      <c r="P1339" t="s">
        <v>2625</v>
      </c>
      <c r="Q1339">
        <v>5697</v>
      </c>
      <c r="R1339" t="s">
        <v>2344</v>
      </c>
      <c r="S1339" t="s">
        <v>2036</v>
      </c>
      <c r="T1339">
        <v>202208</v>
      </c>
      <c r="U1339" t="s">
        <v>178</v>
      </c>
      <c r="V1339">
        <v>700</v>
      </c>
    </row>
    <row r="1340" spans="1:22">
      <c r="A1340">
        <v>5352</v>
      </c>
      <c r="B1340" t="s">
        <v>2625</v>
      </c>
      <c r="C1340">
        <v>5697</v>
      </c>
      <c r="D1340" t="s">
        <v>2344</v>
      </c>
      <c r="E1340" t="s">
        <v>2036</v>
      </c>
      <c r="F1340">
        <v>202111</v>
      </c>
      <c r="G1340" t="s">
        <v>176</v>
      </c>
      <c r="H1340">
        <v>0</v>
      </c>
      <c r="O1340">
        <v>5352</v>
      </c>
      <c r="P1340" t="s">
        <v>2625</v>
      </c>
      <c r="Q1340">
        <v>5697</v>
      </c>
      <c r="R1340" t="s">
        <v>2344</v>
      </c>
      <c r="S1340" t="s">
        <v>2036</v>
      </c>
      <c r="T1340">
        <v>202208</v>
      </c>
      <c r="U1340" t="s">
        <v>180</v>
      </c>
      <c r="V1340">
        <v>612.28</v>
      </c>
    </row>
    <row r="1341" spans="1:22">
      <c r="A1341">
        <v>5352</v>
      </c>
      <c r="B1341" t="s">
        <v>2625</v>
      </c>
      <c r="C1341">
        <v>5697</v>
      </c>
      <c r="D1341" t="s">
        <v>2344</v>
      </c>
      <c r="E1341" t="s">
        <v>2036</v>
      </c>
      <c r="F1341">
        <v>202111</v>
      </c>
      <c r="G1341" t="s">
        <v>178</v>
      </c>
      <c r="H1341">
        <v>250</v>
      </c>
      <c r="O1341">
        <v>5352</v>
      </c>
      <c r="P1341" t="s">
        <v>2625</v>
      </c>
      <c r="Q1341">
        <v>5697</v>
      </c>
      <c r="R1341" t="s">
        <v>2344</v>
      </c>
      <c r="S1341" t="s">
        <v>2036</v>
      </c>
      <c r="T1341">
        <v>202208</v>
      </c>
      <c r="U1341" t="s">
        <v>182</v>
      </c>
      <c r="V1341">
        <v>207176</v>
      </c>
    </row>
    <row r="1342" spans="1:22">
      <c r="A1342">
        <v>5352</v>
      </c>
      <c r="B1342" t="s">
        <v>2625</v>
      </c>
      <c r="C1342">
        <v>5697</v>
      </c>
      <c r="D1342" t="s">
        <v>2344</v>
      </c>
      <c r="E1342" t="s">
        <v>2036</v>
      </c>
      <c r="F1342">
        <v>202111</v>
      </c>
      <c r="G1342" t="s">
        <v>180</v>
      </c>
      <c r="H1342">
        <v>250</v>
      </c>
      <c r="O1342">
        <v>5352</v>
      </c>
      <c r="P1342" t="s">
        <v>2625</v>
      </c>
      <c r="Q1342">
        <v>5697</v>
      </c>
      <c r="R1342" t="s">
        <v>2344</v>
      </c>
      <c r="S1342" t="s">
        <v>2036</v>
      </c>
      <c r="T1342">
        <v>202208</v>
      </c>
      <c r="U1342" t="s">
        <v>184</v>
      </c>
      <c r="V1342">
        <v>31197</v>
      </c>
    </row>
    <row r="1343" spans="1:22">
      <c r="A1343">
        <v>5352</v>
      </c>
      <c r="B1343" t="s">
        <v>2625</v>
      </c>
      <c r="C1343">
        <v>5697</v>
      </c>
      <c r="D1343" t="s">
        <v>2344</v>
      </c>
      <c r="E1343" t="s">
        <v>2036</v>
      </c>
      <c r="F1343">
        <v>202111</v>
      </c>
      <c r="G1343" t="s">
        <v>182</v>
      </c>
      <c r="H1343">
        <v>55389</v>
      </c>
      <c r="O1343">
        <v>5352</v>
      </c>
      <c r="P1343" t="s">
        <v>2625</v>
      </c>
      <c r="Q1343">
        <v>5697</v>
      </c>
      <c r="R1343" t="s">
        <v>2344</v>
      </c>
      <c r="S1343" t="s">
        <v>2036</v>
      </c>
      <c r="T1343">
        <v>202208</v>
      </c>
      <c r="U1343" t="s">
        <v>186</v>
      </c>
      <c r="V1343">
        <v>0</v>
      </c>
    </row>
    <row r="1344" spans="1:22">
      <c r="A1344">
        <v>5352</v>
      </c>
      <c r="B1344" t="s">
        <v>2625</v>
      </c>
      <c r="C1344">
        <v>5697</v>
      </c>
      <c r="D1344" t="s">
        <v>2344</v>
      </c>
      <c r="E1344" t="s">
        <v>2036</v>
      </c>
      <c r="F1344">
        <v>202111</v>
      </c>
      <c r="G1344" t="s">
        <v>184</v>
      </c>
      <c r="H1344">
        <v>7699</v>
      </c>
      <c r="O1344">
        <v>5352</v>
      </c>
      <c r="P1344" t="s">
        <v>2625</v>
      </c>
      <c r="Q1344">
        <v>5697</v>
      </c>
      <c r="R1344" t="s">
        <v>2344</v>
      </c>
      <c r="S1344" t="s">
        <v>2036</v>
      </c>
      <c r="T1344">
        <v>202208</v>
      </c>
      <c r="U1344" t="s">
        <v>190</v>
      </c>
      <c r="V1344">
        <v>843414</v>
      </c>
    </row>
    <row r="1345" spans="1:22">
      <c r="A1345">
        <v>5352</v>
      </c>
      <c r="B1345" t="s">
        <v>2625</v>
      </c>
      <c r="C1345">
        <v>5697</v>
      </c>
      <c r="D1345" t="s">
        <v>2344</v>
      </c>
      <c r="E1345" t="s">
        <v>2036</v>
      </c>
      <c r="F1345">
        <v>202111</v>
      </c>
      <c r="G1345" t="s">
        <v>192</v>
      </c>
      <c r="H1345">
        <v>0</v>
      </c>
      <c r="O1345">
        <v>5352</v>
      </c>
      <c r="P1345" t="s">
        <v>2625</v>
      </c>
      <c r="Q1345">
        <v>5697</v>
      </c>
      <c r="R1345" t="s">
        <v>2344</v>
      </c>
      <c r="S1345" t="s">
        <v>2036</v>
      </c>
      <c r="T1345">
        <v>202208</v>
      </c>
      <c r="U1345" t="s">
        <v>191</v>
      </c>
      <c r="V1345">
        <v>134662</v>
      </c>
    </row>
    <row r="1346" spans="1:22">
      <c r="A1346">
        <v>5352</v>
      </c>
      <c r="B1346" t="s">
        <v>2625</v>
      </c>
      <c r="C1346">
        <v>5697</v>
      </c>
      <c r="D1346" t="s">
        <v>2344</v>
      </c>
      <c r="E1346" t="s">
        <v>2036</v>
      </c>
      <c r="F1346">
        <v>202111</v>
      </c>
      <c r="G1346" t="s">
        <v>2170</v>
      </c>
      <c r="H1346">
        <v>761.61</v>
      </c>
      <c r="O1346">
        <v>5352</v>
      </c>
      <c r="P1346" t="s">
        <v>2625</v>
      </c>
      <c r="Q1346">
        <v>5697</v>
      </c>
      <c r="R1346" t="s">
        <v>2344</v>
      </c>
      <c r="S1346" t="s">
        <v>2036</v>
      </c>
      <c r="T1346">
        <v>202208</v>
      </c>
      <c r="U1346" t="s">
        <v>178</v>
      </c>
      <c r="V1346">
        <v>2750</v>
      </c>
    </row>
    <row r="1347" spans="1:22">
      <c r="A1347">
        <v>5352</v>
      </c>
      <c r="B1347" t="s">
        <v>2625</v>
      </c>
      <c r="C1347">
        <v>5697</v>
      </c>
      <c r="D1347" t="s">
        <v>2344</v>
      </c>
      <c r="E1347" t="s">
        <v>2036</v>
      </c>
      <c r="F1347">
        <v>202111</v>
      </c>
      <c r="G1347" t="s">
        <v>186</v>
      </c>
      <c r="H1347">
        <v>0</v>
      </c>
      <c r="O1347">
        <v>5352</v>
      </c>
      <c r="P1347" t="s">
        <v>2625</v>
      </c>
      <c r="Q1347">
        <v>5697</v>
      </c>
      <c r="R1347" t="s">
        <v>2344</v>
      </c>
      <c r="S1347" t="s">
        <v>2036</v>
      </c>
      <c r="T1347">
        <v>202208</v>
      </c>
      <c r="U1347" t="s">
        <v>180</v>
      </c>
      <c r="V1347">
        <v>2750</v>
      </c>
    </row>
    <row r="1348" spans="1:22">
      <c r="A1348">
        <v>5352</v>
      </c>
      <c r="B1348" t="s">
        <v>2625</v>
      </c>
      <c r="C1348">
        <v>5697</v>
      </c>
      <c r="D1348" t="s">
        <v>2344</v>
      </c>
      <c r="E1348" t="s">
        <v>2036</v>
      </c>
      <c r="F1348">
        <v>202111</v>
      </c>
      <c r="G1348" t="s">
        <v>2169</v>
      </c>
      <c r="H1348">
        <v>182.65</v>
      </c>
      <c r="O1348">
        <v>5352</v>
      </c>
      <c r="P1348" t="s">
        <v>2625</v>
      </c>
      <c r="Q1348">
        <v>5697</v>
      </c>
      <c r="R1348" t="s">
        <v>2344</v>
      </c>
      <c r="S1348" t="s">
        <v>2036</v>
      </c>
      <c r="T1348">
        <v>202208</v>
      </c>
      <c r="U1348" t="s">
        <v>182</v>
      </c>
      <c r="V1348">
        <v>918156</v>
      </c>
    </row>
    <row r="1349" spans="1:22">
      <c r="A1349">
        <v>5352</v>
      </c>
      <c r="B1349" t="s">
        <v>2625</v>
      </c>
      <c r="C1349">
        <v>5697</v>
      </c>
      <c r="D1349" t="s">
        <v>2344</v>
      </c>
      <c r="E1349" t="s">
        <v>2036</v>
      </c>
      <c r="F1349">
        <v>202111</v>
      </c>
      <c r="G1349" t="s">
        <v>2166</v>
      </c>
      <c r="H1349">
        <v>11.83</v>
      </c>
      <c r="O1349">
        <v>5352</v>
      </c>
      <c r="P1349" t="s">
        <v>2625</v>
      </c>
      <c r="Q1349">
        <v>5697</v>
      </c>
      <c r="R1349" t="s">
        <v>2344</v>
      </c>
      <c r="S1349" t="s">
        <v>2036</v>
      </c>
      <c r="T1349">
        <v>202208</v>
      </c>
      <c r="U1349" t="s">
        <v>184</v>
      </c>
      <c r="V1349">
        <v>134662</v>
      </c>
    </row>
    <row r="1350" spans="1:22">
      <c r="A1350">
        <v>5352</v>
      </c>
      <c r="B1350" t="s">
        <v>2625</v>
      </c>
      <c r="C1350">
        <v>5697</v>
      </c>
      <c r="D1350" t="s">
        <v>2344</v>
      </c>
      <c r="E1350" t="s">
        <v>2036</v>
      </c>
      <c r="F1350">
        <v>202111</v>
      </c>
      <c r="G1350" t="s">
        <v>2167</v>
      </c>
      <c r="H1350">
        <v>21.22</v>
      </c>
      <c r="O1350">
        <v>5352</v>
      </c>
      <c r="P1350" t="s">
        <v>2625</v>
      </c>
      <c r="Q1350">
        <v>5697</v>
      </c>
      <c r="R1350" t="s">
        <v>2344</v>
      </c>
      <c r="S1350" t="s">
        <v>2036</v>
      </c>
      <c r="T1350">
        <v>202208</v>
      </c>
      <c r="U1350" t="s">
        <v>186</v>
      </c>
      <c r="V1350">
        <v>74742</v>
      </c>
    </row>
    <row r="1351" spans="1:22">
      <c r="A1351">
        <v>5352</v>
      </c>
      <c r="B1351" t="s">
        <v>2625</v>
      </c>
      <c r="C1351">
        <v>5697</v>
      </c>
      <c r="D1351" t="s">
        <v>2344</v>
      </c>
      <c r="E1351" t="s">
        <v>2036</v>
      </c>
      <c r="F1351">
        <v>202111</v>
      </c>
      <c r="G1351" t="s">
        <v>2168</v>
      </c>
      <c r="H1351">
        <v>14.37</v>
      </c>
      <c r="O1351">
        <v>5352</v>
      </c>
      <c r="P1351" t="s">
        <v>2625</v>
      </c>
      <c r="Q1351">
        <v>5697</v>
      </c>
      <c r="R1351" t="s">
        <v>2344</v>
      </c>
      <c r="S1351" t="s">
        <v>2036</v>
      </c>
      <c r="T1351">
        <v>202208</v>
      </c>
      <c r="U1351" t="s">
        <v>190</v>
      </c>
      <c r="V1351">
        <v>174118</v>
      </c>
    </row>
    <row r="1352" spans="1:22">
      <c r="A1352">
        <v>5352</v>
      </c>
      <c r="B1352" t="s">
        <v>2625</v>
      </c>
      <c r="C1352">
        <v>5697</v>
      </c>
      <c r="D1352" t="s">
        <v>2344</v>
      </c>
      <c r="E1352" t="s">
        <v>2036</v>
      </c>
      <c r="F1352">
        <v>202111</v>
      </c>
      <c r="G1352" t="s">
        <v>2171</v>
      </c>
      <c r="H1352">
        <v>25319.18</v>
      </c>
      <c r="O1352">
        <v>5352</v>
      </c>
      <c r="P1352" t="s">
        <v>2625</v>
      </c>
      <c r="Q1352">
        <v>5697</v>
      </c>
      <c r="R1352" t="s">
        <v>2344</v>
      </c>
      <c r="S1352" t="s">
        <v>2036</v>
      </c>
      <c r="T1352">
        <v>202208</v>
      </c>
      <c r="U1352" t="s">
        <v>191</v>
      </c>
      <c r="V1352">
        <v>23541</v>
      </c>
    </row>
    <row r="1353" spans="1:22">
      <c r="A1353">
        <v>5352</v>
      </c>
      <c r="B1353" t="s">
        <v>2625</v>
      </c>
      <c r="C1353">
        <v>5697</v>
      </c>
      <c r="D1353" t="s">
        <v>2344</v>
      </c>
      <c r="E1353" t="s">
        <v>2036</v>
      </c>
      <c r="F1353">
        <v>202111</v>
      </c>
      <c r="G1353" t="s">
        <v>190</v>
      </c>
      <c r="H1353">
        <v>89920</v>
      </c>
      <c r="O1353">
        <v>5352</v>
      </c>
      <c r="P1353" t="s">
        <v>2625</v>
      </c>
      <c r="Q1353">
        <v>5697</v>
      </c>
      <c r="R1353" t="s">
        <v>2344</v>
      </c>
      <c r="S1353" t="s">
        <v>2036</v>
      </c>
      <c r="T1353">
        <v>202208</v>
      </c>
      <c r="U1353" t="s">
        <v>178</v>
      </c>
      <c r="V1353">
        <v>600</v>
      </c>
    </row>
    <row r="1354" spans="1:22">
      <c r="A1354">
        <v>5352</v>
      </c>
      <c r="B1354" t="s">
        <v>2625</v>
      </c>
      <c r="C1354">
        <v>5697</v>
      </c>
      <c r="D1354" t="s">
        <v>2344</v>
      </c>
      <c r="E1354" t="s">
        <v>2036</v>
      </c>
      <c r="F1354">
        <v>202111</v>
      </c>
      <c r="G1354" t="s">
        <v>191</v>
      </c>
      <c r="H1354">
        <v>12891</v>
      </c>
      <c r="O1354">
        <v>5352</v>
      </c>
      <c r="P1354" t="s">
        <v>2625</v>
      </c>
      <c r="Q1354">
        <v>5697</v>
      </c>
      <c r="R1354" t="s">
        <v>2344</v>
      </c>
      <c r="S1354" t="s">
        <v>2036</v>
      </c>
      <c r="T1354">
        <v>202208</v>
      </c>
      <c r="U1354" t="s">
        <v>180</v>
      </c>
      <c r="V1354">
        <v>600</v>
      </c>
    </row>
    <row r="1355" spans="1:22">
      <c r="A1355">
        <v>5352</v>
      </c>
      <c r="B1355" t="s">
        <v>2625</v>
      </c>
      <c r="C1355">
        <v>5697</v>
      </c>
      <c r="D1355" t="s">
        <v>2344</v>
      </c>
      <c r="E1355" t="s">
        <v>2036</v>
      </c>
      <c r="F1355">
        <v>202111</v>
      </c>
      <c r="G1355" t="s">
        <v>176</v>
      </c>
      <c r="H1355">
        <v>0</v>
      </c>
      <c r="O1355">
        <v>5352</v>
      </c>
      <c r="P1355" t="s">
        <v>2625</v>
      </c>
      <c r="Q1355">
        <v>5697</v>
      </c>
      <c r="R1355" t="s">
        <v>2344</v>
      </c>
      <c r="S1355" t="s">
        <v>2036</v>
      </c>
      <c r="T1355">
        <v>202208</v>
      </c>
      <c r="U1355" t="s">
        <v>182</v>
      </c>
      <c r="V1355">
        <v>174118</v>
      </c>
    </row>
    <row r="1356" spans="1:22">
      <c r="A1356">
        <v>5352</v>
      </c>
      <c r="B1356" t="s">
        <v>2625</v>
      </c>
      <c r="C1356">
        <v>5697</v>
      </c>
      <c r="D1356" t="s">
        <v>2344</v>
      </c>
      <c r="E1356" t="s">
        <v>2036</v>
      </c>
      <c r="F1356">
        <v>202111</v>
      </c>
      <c r="G1356" t="s">
        <v>178</v>
      </c>
      <c r="H1356">
        <v>350</v>
      </c>
      <c r="O1356">
        <v>5352</v>
      </c>
      <c r="P1356" t="s">
        <v>2625</v>
      </c>
      <c r="Q1356">
        <v>5697</v>
      </c>
      <c r="R1356" t="s">
        <v>2344</v>
      </c>
      <c r="S1356" t="s">
        <v>2036</v>
      </c>
      <c r="T1356">
        <v>202208</v>
      </c>
      <c r="U1356" t="s">
        <v>184</v>
      </c>
      <c r="V1356">
        <v>23541</v>
      </c>
    </row>
    <row r="1357" spans="1:22">
      <c r="A1357">
        <v>5352</v>
      </c>
      <c r="B1357" t="s">
        <v>2625</v>
      </c>
      <c r="C1357">
        <v>5697</v>
      </c>
      <c r="D1357" t="s">
        <v>2344</v>
      </c>
      <c r="E1357" t="s">
        <v>2036</v>
      </c>
      <c r="F1357">
        <v>202111</v>
      </c>
      <c r="G1357" t="s">
        <v>180</v>
      </c>
      <c r="H1357">
        <v>350</v>
      </c>
      <c r="O1357">
        <v>5352</v>
      </c>
      <c r="P1357" t="s">
        <v>2625</v>
      </c>
      <c r="Q1357">
        <v>5697</v>
      </c>
      <c r="R1357" t="s">
        <v>2344</v>
      </c>
      <c r="S1357" t="s">
        <v>2036</v>
      </c>
      <c r="T1357">
        <v>202208</v>
      </c>
      <c r="U1357" t="s">
        <v>186</v>
      </c>
      <c r="V1357">
        <v>0</v>
      </c>
    </row>
    <row r="1358" spans="1:22">
      <c r="A1358">
        <v>5352</v>
      </c>
      <c r="B1358" t="s">
        <v>2625</v>
      </c>
      <c r="C1358">
        <v>5697</v>
      </c>
      <c r="D1358" t="s">
        <v>2344</v>
      </c>
      <c r="E1358" t="s">
        <v>2036</v>
      </c>
      <c r="F1358">
        <v>202111</v>
      </c>
      <c r="G1358" t="s">
        <v>182</v>
      </c>
      <c r="H1358">
        <v>89920</v>
      </c>
      <c r="O1358">
        <v>5352</v>
      </c>
      <c r="P1358" t="s">
        <v>2625</v>
      </c>
      <c r="Q1358">
        <v>5697</v>
      </c>
      <c r="R1358" t="s">
        <v>2344</v>
      </c>
      <c r="S1358" t="s">
        <v>2036</v>
      </c>
      <c r="T1358">
        <v>202208</v>
      </c>
      <c r="U1358" t="s">
        <v>190</v>
      </c>
      <c r="V1358">
        <v>178277</v>
      </c>
    </row>
    <row r="1359" spans="1:22">
      <c r="A1359">
        <v>5352</v>
      </c>
      <c r="B1359" t="s">
        <v>2625</v>
      </c>
      <c r="C1359">
        <v>5697</v>
      </c>
      <c r="D1359" t="s">
        <v>2344</v>
      </c>
      <c r="E1359" t="s">
        <v>2036</v>
      </c>
      <c r="F1359">
        <v>202111</v>
      </c>
      <c r="G1359" t="s">
        <v>184</v>
      </c>
      <c r="H1359">
        <v>12891</v>
      </c>
      <c r="O1359">
        <v>5352</v>
      </c>
      <c r="P1359" t="s">
        <v>2625</v>
      </c>
      <c r="Q1359">
        <v>5697</v>
      </c>
      <c r="R1359" t="s">
        <v>2344</v>
      </c>
      <c r="S1359" t="s">
        <v>2036</v>
      </c>
      <c r="T1359">
        <v>202208</v>
      </c>
      <c r="U1359" t="s">
        <v>191</v>
      </c>
      <c r="V1359">
        <v>28572</v>
      </c>
    </row>
    <row r="1360" spans="1:22">
      <c r="A1360">
        <v>5352</v>
      </c>
      <c r="B1360" t="s">
        <v>2625</v>
      </c>
      <c r="C1360">
        <v>5697</v>
      </c>
      <c r="D1360" t="s">
        <v>2344</v>
      </c>
      <c r="E1360" t="s">
        <v>2036</v>
      </c>
      <c r="F1360">
        <v>202111</v>
      </c>
      <c r="G1360" t="s">
        <v>192</v>
      </c>
      <c r="H1360">
        <v>0</v>
      </c>
      <c r="O1360">
        <v>5352</v>
      </c>
      <c r="P1360" t="s">
        <v>2625</v>
      </c>
      <c r="Q1360">
        <v>5697</v>
      </c>
      <c r="R1360" t="s">
        <v>2344</v>
      </c>
      <c r="S1360" t="s">
        <v>2036</v>
      </c>
      <c r="T1360">
        <v>202208</v>
      </c>
      <c r="U1360" t="s">
        <v>178</v>
      </c>
      <c r="V1360">
        <v>1300</v>
      </c>
    </row>
    <row r="1361" spans="1:22">
      <c r="A1361">
        <v>5352</v>
      </c>
      <c r="B1361" t="s">
        <v>2625</v>
      </c>
      <c r="C1361">
        <v>5697</v>
      </c>
      <c r="D1361" t="s">
        <v>2344</v>
      </c>
      <c r="E1361" t="s">
        <v>2036</v>
      </c>
      <c r="F1361">
        <v>202111</v>
      </c>
      <c r="G1361" t="s">
        <v>2170</v>
      </c>
      <c r="H1361">
        <v>1171.31</v>
      </c>
      <c r="O1361">
        <v>5352</v>
      </c>
      <c r="P1361" t="s">
        <v>2625</v>
      </c>
      <c r="Q1361">
        <v>5697</v>
      </c>
      <c r="R1361" t="s">
        <v>2344</v>
      </c>
      <c r="S1361" t="s">
        <v>2036</v>
      </c>
      <c r="T1361">
        <v>202208</v>
      </c>
      <c r="U1361" t="s">
        <v>180</v>
      </c>
      <c r="V1361">
        <v>1350</v>
      </c>
    </row>
    <row r="1362" spans="1:22">
      <c r="A1362">
        <v>5352</v>
      </c>
      <c r="B1362" t="s">
        <v>2625</v>
      </c>
      <c r="C1362">
        <v>5697</v>
      </c>
      <c r="D1362" t="s">
        <v>2344</v>
      </c>
      <c r="E1362" t="s">
        <v>2036</v>
      </c>
      <c r="F1362">
        <v>202111</v>
      </c>
      <c r="G1362" t="s">
        <v>186</v>
      </c>
      <c r="H1362">
        <v>0</v>
      </c>
      <c r="O1362">
        <v>5352</v>
      </c>
      <c r="P1362" t="s">
        <v>2625</v>
      </c>
      <c r="Q1362">
        <v>5697</v>
      </c>
      <c r="R1362" t="s">
        <v>2344</v>
      </c>
      <c r="S1362" t="s">
        <v>2036</v>
      </c>
      <c r="T1362">
        <v>202208</v>
      </c>
      <c r="U1362" t="s">
        <v>182</v>
      </c>
      <c r="V1362">
        <v>178277</v>
      </c>
    </row>
    <row r="1363" spans="1:22">
      <c r="A1363">
        <v>5352</v>
      </c>
      <c r="B1363" t="s">
        <v>2625</v>
      </c>
      <c r="C1363">
        <v>5697</v>
      </c>
      <c r="D1363" t="s">
        <v>2344</v>
      </c>
      <c r="E1363" t="s">
        <v>2036</v>
      </c>
      <c r="F1363">
        <v>202111</v>
      </c>
      <c r="G1363" t="s">
        <v>2169</v>
      </c>
      <c r="H1363">
        <v>182.65</v>
      </c>
      <c r="O1363">
        <v>5352</v>
      </c>
      <c r="P1363" t="s">
        <v>2625</v>
      </c>
      <c r="Q1363">
        <v>5697</v>
      </c>
      <c r="R1363" t="s">
        <v>2344</v>
      </c>
      <c r="S1363" t="s">
        <v>2036</v>
      </c>
      <c r="T1363">
        <v>202208</v>
      </c>
      <c r="U1363" t="s">
        <v>184</v>
      </c>
      <c r="V1363">
        <v>28572</v>
      </c>
    </row>
    <row r="1364" spans="1:22">
      <c r="A1364">
        <v>5352</v>
      </c>
      <c r="B1364" t="s">
        <v>2625</v>
      </c>
      <c r="C1364">
        <v>5697</v>
      </c>
      <c r="D1364" t="s">
        <v>2344</v>
      </c>
      <c r="E1364" t="s">
        <v>2036</v>
      </c>
      <c r="F1364">
        <v>202111</v>
      </c>
      <c r="G1364" t="s">
        <v>2166</v>
      </c>
      <c r="H1364">
        <v>11.83</v>
      </c>
      <c r="O1364">
        <v>5352</v>
      </c>
      <c r="P1364" t="s">
        <v>2625</v>
      </c>
      <c r="Q1364">
        <v>5697</v>
      </c>
      <c r="R1364" t="s">
        <v>2344</v>
      </c>
      <c r="S1364" t="s">
        <v>2036</v>
      </c>
      <c r="T1364">
        <v>202208</v>
      </c>
      <c r="U1364" t="s">
        <v>186</v>
      </c>
      <c r="V1364">
        <v>0</v>
      </c>
    </row>
    <row r="1365" spans="1:22">
      <c r="A1365">
        <v>5352</v>
      </c>
      <c r="B1365" t="s">
        <v>2625</v>
      </c>
      <c r="C1365">
        <v>5697</v>
      </c>
      <c r="D1365" t="s">
        <v>2344</v>
      </c>
      <c r="E1365" t="s">
        <v>2036</v>
      </c>
      <c r="F1365">
        <v>202111</v>
      </c>
      <c r="G1365" t="s">
        <v>2167</v>
      </c>
      <c r="H1365">
        <v>21.22</v>
      </c>
      <c r="O1365">
        <v>5352</v>
      </c>
      <c r="P1365" t="s">
        <v>2625</v>
      </c>
      <c r="Q1365">
        <v>5697</v>
      </c>
      <c r="R1365" t="s">
        <v>2344</v>
      </c>
      <c r="S1365" t="s">
        <v>2036</v>
      </c>
      <c r="T1365">
        <v>202208</v>
      </c>
      <c r="U1365" t="s">
        <v>190</v>
      </c>
      <c r="V1365">
        <v>183214</v>
      </c>
    </row>
    <row r="1366" spans="1:22">
      <c r="A1366">
        <v>5352</v>
      </c>
      <c r="B1366" t="s">
        <v>2625</v>
      </c>
      <c r="C1366">
        <v>5697</v>
      </c>
      <c r="D1366" t="s">
        <v>2344</v>
      </c>
      <c r="E1366" t="s">
        <v>2036</v>
      </c>
      <c r="F1366">
        <v>202111</v>
      </c>
      <c r="G1366" t="s">
        <v>2168</v>
      </c>
      <c r="H1366">
        <v>14.37</v>
      </c>
      <c r="O1366">
        <v>5352</v>
      </c>
      <c r="P1366" t="s">
        <v>2625</v>
      </c>
      <c r="Q1366">
        <v>5697</v>
      </c>
      <c r="R1366" t="s">
        <v>2344</v>
      </c>
      <c r="S1366" t="s">
        <v>2036</v>
      </c>
      <c r="T1366">
        <v>202208</v>
      </c>
      <c r="U1366" t="s">
        <v>191</v>
      </c>
      <c r="V1366">
        <v>29971</v>
      </c>
    </row>
    <row r="1367" spans="1:22">
      <c r="A1367">
        <v>5352</v>
      </c>
      <c r="B1367" t="s">
        <v>2625</v>
      </c>
      <c r="C1367">
        <v>5697</v>
      </c>
      <c r="D1367" t="s">
        <v>2344</v>
      </c>
      <c r="E1367" t="s">
        <v>2036</v>
      </c>
      <c r="F1367">
        <v>202111</v>
      </c>
      <c r="G1367" t="s">
        <v>2171</v>
      </c>
      <c r="H1367">
        <v>32994.620000000003</v>
      </c>
      <c r="O1367">
        <v>5352</v>
      </c>
      <c r="P1367" t="s">
        <v>2625</v>
      </c>
      <c r="Q1367">
        <v>5697</v>
      </c>
      <c r="R1367" t="s">
        <v>2344</v>
      </c>
      <c r="S1367" t="s">
        <v>2036</v>
      </c>
      <c r="T1367">
        <v>202208</v>
      </c>
      <c r="U1367" t="s">
        <v>178</v>
      </c>
      <c r="V1367">
        <v>810</v>
      </c>
    </row>
    <row r="1368" spans="1:22">
      <c r="A1368">
        <v>5352</v>
      </c>
      <c r="B1368" t="s">
        <v>2625</v>
      </c>
      <c r="C1368">
        <v>5697</v>
      </c>
      <c r="D1368" t="s">
        <v>2344</v>
      </c>
      <c r="E1368" t="s">
        <v>2036</v>
      </c>
      <c r="F1368">
        <v>202111</v>
      </c>
      <c r="G1368" t="s">
        <v>190</v>
      </c>
      <c r="H1368">
        <v>329707</v>
      </c>
      <c r="O1368">
        <v>5352</v>
      </c>
      <c r="P1368" t="s">
        <v>2625</v>
      </c>
      <c r="Q1368">
        <v>5697</v>
      </c>
      <c r="R1368" t="s">
        <v>2344</v>
      </c>
      <c r="S1368" t="s">
        <v>2036</v>
      </c>
      <c r="T1368">
        <v>202208</v>
      </c>
      <c r="U1368" t="s">
        <v>180</v>
      </c>
      <c r="V1368">
        <v>930</v>
      </c>
    </row>
    <row r="1369" spans="1:22">
      <c r="A1369">
        <v>5352</v>
      </c>
      <c r="B1369" t="s">
        <v>2625</v>
      </c>
      <c r="C1369">
        <v>5697</v>
      </c>
      <c r="D1369" t="s">
        <v>2344</v>
      </c>
      <c r="E1369" t="s">
        <v>2036</v>
      </c>
      <c r="F1369">
        <v>202111</v>
      </c>
      <c r="G1369" t="s">
        <v>191</v>
      </c>
      <c r="H1369">
        <v>45355</v>
      </c>
      <c r="O1369">
        <v>5352</v>
      </c>
      <c r="P1369" t="s">
        <v>2625</v>
      </c>
      <c r="Q1369">
        <v>5697</v>
      </c>
      <c r="R1369" t="s">
        <v>2344</v>
      </c>
      <c r="S1369" t="s">
        <v>2036</v>
      </c>
      <c r="T1369">
        <v>202208</v>
      </c>
      <c r="U1369" t="s">
        <v>182</v>
      </c>
      <c r="V1369">
        <v>183214</v>
      </c>
    </row>
    <row r="1370" spans="1:22">
      <c r="A1370">
        <v>5352</v>
      </c>
      <c r="B1370" t="s">
        <v>2625</v>
      </c>
      <c r="C1370">
        <v>5697</v>
      </c>
      <c r="D1370" t="s">
        <v>2344</v>
      </c>
      <c r="E1370" t="s">
        <v>2036</v>
      </c>
      <c r="F1370">
        <v>202111</v>
      </c>
      <c r="G1370" t="s">
        <v>176</v>
      </c>
      <c r="H1370">
        <v>0</v>
      </c>
      <c r="O1370">
        <v>5352</v>
      </c>
      <c r="P1370" t="s">
        <v>2625</v>
      </c>
      <c r="Q1370">
        <v>5697</v>
      </c>
      <c r="R1370" t="s">
        <v>2344</v>
      </c>
      <c r="S1370" t="s">
        <v>2036</v>
      </c>
      <c r="T1370">
        <v>202208</v>
      </c>
      <c r="U1370" t="s">
        <v>184</v>
      </c>
      <c r="V1370">
        <v>29971</v>
      </c>
    </row>
    <row r="1371" spans="1:22">
      <c r="A1371">
        <v>5352</v>
      </c>
      <c r="B1371" t="s">
        <v>2625</v>
      </c>
      <c r="C1371">
        <v>5697</v>
      </c>
      <c r="D1371" t="s">
        <v>2344</v>
      </c>
      <c r="E1371" t="s">
        <v>2036</v>
      </c>
      <c r="F1371">
        <v>202111</v>
      </c>
      <c r="G1371" t="s">
        <v>178</v>
      </c>
      <c r="H1371">
        <v>889</v>
      </c>
      <c r="O1371">
        <v>5352</v>
      </c>
      <c r="P1371" t="s">
        <v>2625</v>
      </c>
      <c r="Q1371">
        <v>5697</v>
      </c>
      <c r="R1371" t="s">
        <v>2344</v>
      </c>
      <c r="S1371" t="s">
        <v>2036</v>
      </c>
      <c r="T1371">
        <v>202208</v>
      </c>
      <c r="U1371" t="s">
        <v>186</v>
      </c>
      <c r="V1371">
        <v>0</v>
      </c>
    </row>
    <row r="1372" spans="1:22">
      <c r="A1372">
        <v>5352</v>
      </c>
      <c r="B1372" t="s">
        <v>2625</v>
      </c>
      <c r="C1372">
        <v>5697</v>
      </c>
      <c r="D1372" t="s">
        <v>2344</v>
      </c>
      <c r="E1372" t="s">
        <v>2036</v>
      </c>
      <c r="F1372">
        <v>202111</v>
      </c>
      <c r="G1372" t="s">
        <v>180</v>
      </c>
      <c r="H1372">
        <v>898</v>
      </c>
      <c r="O1372">
        <v>5352</v>
      </c>
      <c r="P1372" t="s">
        <v>2625</v>
      </c>
      <c r="Q1372">
        <v>5697</v>
      </c>
      <c r="R1372" t="s">
        <v>2344</v>
      </c>
      <c r="S1372" t="s">
        <v>2036</v>
      </c>
      <c r="T1372">
        <v>202208</v>
      </c>
      <c r="U1372" t="s">
        <v>190</v>
      </c>
      <c r="V1372">
        <v>56262</v>
      </c>
    </row>
    <row r="1373" spans="1:22">
      <c r="A1373">
        <v>5352</v>
      </c>
      <c r="B1373" t="s">
        <v>2625</v>
      </c>
      <c r="C1373">
        <v>5697</v>
      </c>
      <c r="D1373" t="s">
        <v>2344</v>
      </c>
      <c r="E1373" t="s">
        <v>2036</v>
      </c>
      <c r="F1373">
        <v>202111</v>
      </c>
      <c r="G1373" t="s">
        <v>182</v>
      </c>
      <c r="H1373">
        <v>329707</v>
      </c>
      <c r="O1373">
        <v>5352</v>
      </c>
      <c r="P1373" t="s">
        <v>2625</v>
      </c>
      <c r="Q1373">
        <v>5697</v>
      </c>
      <c r="R1373" t="s">
        <v>2344</v>
      </c>
      <c r="S1373" t="s">
        <v>2036</v>
      </c>
      <c r="T1373">
        <v>202208</v>
      </c>
      <c r="U1373" t="s">
        <v>191</v>
      </c>
      <c r="V1373">
        <v>9380</v>
      </c>
    </row>
    <row r="1374" spans="1:22">
      <c r="A1374">
        <v>5352</v>
      </c>
      <c r="B1374" t="s">
        <v>2625</v>
      </c>
      <c r="C1374">
        <v>5697</v>
      </c>
      <c r="D1374" t="s">
        <v>2344</v>
      </c>
      <c r="E1374" t="s">
        <v>2036</v>
      </c>
      <c r="F1374">
        <v>202111</v>
      </c>
      <c r="G1374" t="s">
        <v>184</v>
      </c>
      <c r="H1374">
        <v>45355</v>
      </c>
      <c r="O1374">
        <v>5352</v>
      </c>
      <c r="P1374" t="s">
        <v>2625</v>
      </c>
      <c r="Q1374">
        <v>5697</v>
      </c>
      <c r="R1374" t="s">
        <v>2344</v>
      </c>
      <c r="S1374" t="s">
        <v>2036</v>
      </c>
      <c r="T1374">
        <v>202208</v>
      </c>
      <c r="U1374" t="s">
        <v>178</v>
      </c>
      <c r="V1374">
        <v>250</v>
      </c>
    </row>
    <row r="1375" spans="1:22">
      <c r="A1375">
        <v>5352</v>
      </c>
      <c r="B1375" t="s">
        <v>2625</v>
      </c>
      <c r="C1375">
        <v>5697</v>
      </c>
      <c r="D1375" t="s">
        <v>2344</v>
      </c>
      <c r="E1375" t="s">
        <v>2036</v>
      </c>
      <c r="F1375">
        <v>202111</v>
      </c>
      <c r="G1375" t="s">
        <v>192</v>
      </c>
      <c r="H1375">
        <v>0</v>
      </c>
      <c r="O1375">
        <v>5352</v>
      </c>
      <c r="P1375" t="s">
        <v>2625</v>
      </c>
      <c r="Q1375">
        <v>5697</v>
      </c>
      <c r="R1375" t="s">
        <v>2344</v>
      </c>
      <c r="S1375" t="s">
        <v>2036</v>
      </c>
      <c r="T1375">
        <v>202208</v>
      </c>
      <c r="U1375" t="s">
        <v>180</v>
      </c>
      <c r="V1375">
        <v>250</v>
      </c>
    </row>
    <row r="1376" spans="1:22">
      <c r="A1376">
        <v>5352</v>
      </c>
      <c r="B1376" t="s">
        <v>2625</v>
      </c>
      <c r="C1376">
        <v>5697</v>
      </c>
      <c r="D1376" t="s">
        <v>2344</v>
      </c>
      <c r="E1376" t="s">
        <v>2036</v>
      </c>
      <c r="F1376">
        <v>202111</v>
      </c>
      <c r="G1376" t="s">
        <v>2170</v>
      </c>
      <c r="H1376">
        <v>3985.29</v>
      </c>
      <c r="O1376">
        <v>5352</v>
      </c>
      <c r="P1376" t="s">
        <v>2625</v>
      </c>
      <c r="Q1376">
        <v>5697</v>
      </c>
      <c r="R1376" t="s">
        <v>2344</v>
      </c>
      <c r="S1376" t="s">
        <v>2036</v>
      </c>
      <c r="T1376">
        <v>202208</v>
      </c>
      <c r="U1376" t="s">
        <v>182</v>
      </c>
      <c r="V1376">
        <v>56262</v>
      </c>
    </row>
    <row r="1377" spans="1:22">
      <c r="A1377">
        <v>5352</v>
      </c>
      <c r="B1377" t="s">
        <v>2625</v>
      </c>
      <c r="C1377">
        <v>5697</v>
      </c>
      <c r="D1377" t="s">
        <v>2344</v>
      </c>
      <c r="E1377" t="s">
        <v>2036</v>
      </c>
      <c r="F1377">
        <v>202111</v>
      </c>
      <c r="G1377" t="s">
        <v>186</v>
      </c>
      <c r="H1377">
        <v>0</v>
      </c>
      <c r="O1377">
        <v>5352</v>
      </c>
      <c r="P1377" t="s">
        <v>2625</v>
      </c>
      <c r="Q1377">
        <v>5697</v>
      </c>
      <c r="R1377" t="s">
        <v>2344</v>
      </c>
      <c r="S1377" t="s">
        <v>2036</v>
      </c>
      <c r="T1377">
        <v>202208</v>
      </c>
      <c r="U1377" t="s">
        <v>184</v>
      </c>
      <c r="V1377">
        <v>9380</v>
      </c>
    </row>
    <row r="1378" spans="1:22">
      <c r="A1378">
        <v>5352</v>
      </c>
      <c r="B1378" t="s">
        <v>2625</v>
      </c>
      <c r="C1378">
        <v>5697</v>
      </c>
      <c r="D1378" t="s">
        <v>2344</v>
      </c>
      <c r="E1378" t="s">
        <v>2036</v>
      </c>
      <c r="F1378">
        <v>202111</v>
      </c>
      <c r="G1378" t="s">
        <v>2169</v>
      </c>
      <c r="H1378">
        <v>182.65</v>
      </c>
      <c r="O1378">
        <v>5352</v>
      </c>
      <c r="P1378" t="s">
        <v>2625</v>
      </c>
      <c r="Q1378">
        <v>5697</v>
      </c>
      <c r="R1378" t="s">
        <v>2344</v>
      </c>
      <c r="S1378" t="s">
        <v>2036</v>
      </c>
      <c r="T1378">
        <v>202208</v>
      </c>
      <c r="U1378" t="s">
        <v>186</v>
      </c>
      <c r="V1378">
        <v>0</v>
      </c>
    </row>
    <row r="1379" spans="1:22">
      <c r="A1379">
        <v>5352</v>
      </c>
      <c r="B1379" t="s">
        <v>2625</v>
      </c>
      <c r="C1379">
        <v>5697</v>
      </c>
      <c r="D1379" t="s">
        <v>2344</v>
      </c>
      <c r="E1379" t="s">
        <v>2036</v>
      </c>
      <c r="F1379">
        <v>202111</v>
      </c>
      <c r="G1379" t="s">
        <v>2166</v>
      </c>
      <c r="H1379">
        <v>11.83</v>
      </c>
      <c r="O1379">
        <v>5352</v>
      </c>
      <c r="P1379" t="s">
        <v>2625</v>
      </c>
      <c r="Q1379">
        <v>5697</v>
      </c>
      <c r="R1379" t="s">
        <v>2344</v>
      </c>
      <c r="S1379" t="s">
        <v>2036</v>
      </c>
      <c r="T1379">
        <v>202208</v>
      </c>
      <c r="U1379" t="s">
        <v>190</v>
      </c>
      <c r="V1379">
        <v>184305</v>
      </c>
    </row>
    <row r="1380" spans="1:22">
      <c r="A1380">
        <v>5352</v>
      </c>
      <c r="B1380" t="s">
        <v>2625</v>
      </c>
      <c r="C1380">
        <v>5697</v>
      </c>
      <c r="D1380" t="s">
        <v>2344</v>
      </c>
      <c r="E1380" t="s">
        <v>2036</v>
      </c>
      <c r="F1380">
        <v>202111</v>
      </c>
      <c r="G1380" t="s">
        <v>2167</v>
      </c>
      <c r="H1380">
        <v>21.22</v>
      </c>
      <c r="O1380">
        <v>5352</v>
      </c>
      <c r="P1380" t="s">
        <v>2625</v>
      </c>
      <c r="Q1380">
        <v>5697</v>
      </c>
      <c r="R1380" t="s">
        <v>2344</v>
      </c>
      <c r="S1380" t="s">
        <v>2036</v>
      </c>
      <c r="T1380">
        <v>202208</v>
      </c>
      <c r="U1380" t="s">
        <v>191</v>
      </c>
      <c r="V1380">
        <v>28004</v>
      </c>
    </row>
    <row r="1381" spans="1:22">
      <c r="A1381">
        <v>5352</v>
      </c>
      <c r="B1381" t="s">
        <v>2625</v>
      </c>
      <c r="C1381">
        <v>5697</v>
      </c>
      <c r="D1381" t="s">
        <v>2344</v>
      </c>
      <c r="E1381" t="s">
        <v>2036</v>
      </c>
      <c r="F1381">
        <v>202111</v>
      </c>
      <c r="G1381" t="s">
        <v>2168</v>
      </c>
      <c r="H1381">
        <v>14.37</v>
      </c>
      <c r="O1381">
        <v>5352</v>
      </c>
      <c r="P1381" t="s">
        <v>2625</v>
      </c>
      <c r="Q1381">
        <v>5697</v>
      </c>
      <c r="R1381" t="s">
        <v>2344</v>
      </c>
      <c r="S1381" t="s">
        <v>2036</v>
      </c>
      <c r="T1381">
        <v>202208</v>
      </c>
      <c r="U1381" t="s">
        <v>178</v>
      </c>
      <c r="V1381">
        <v>900</v>
      </c>
    </row>
    <row r="1382" spans="1:22">
      <c r="A1382">
        <v>5352</v>
      </c>
      <c r="B1382" t="s">
        <v>2625</v>
      </c>
      <c r="C1382">
        <v>5697</v>
      </c>
      <c r="D1382" t="s">
        <v>2344</v>
      </c>
      <c r="E1382" t="s">
        <v>2036</v>
      </c>
      <c r="F1382">
        <v>202111</v>
      </c>
      <c r="G1382" t="s">
        <v>2171</v>
      </c>
      <c r="H1382">
        <v>112261.39</v>
      </c>
      <c r="O1382">
        <v>5352</v>
      </c>
      <c r="P1382" t="s">
        <v>2625</v>
      </c>
      <c r="Q1382">
        <v>5697</v>
      </c>
      <c r="R1382" t="s">
        <v>2344</v>
      </c>
      <c r="S1382" t="s">
        <v>2036</v>
      </c>
      <c r="T1382">
        <v>202208</v>
      </c>
      <c r="U1382" t="s">
        <v>180</v>
      </c>
      <c r="V1382">
        <v>850</v>
      </c>
    </row>
    <row r="1383" spans="1:22">
      <c r="A1383">
        <v>5352</v>
      </c>
      <c r="B1383" t="s">
        <v>2625</v>
      </c>
      <c r="C1383">
        <v>5697</v>
      </c>
      <c r="D1383" t="s">
        <v>2344</v>
      </c>
      <c r="E1383" t="s">
        <v>2036</v>
      </c>
      <c r="F1383">
        <v>202111</v>
      </c>
      <c r="G1383" t="s">
        <v>190</v>
      </c>
      <c r="H1383">
        <v>144467</v>
      </c>
      <c r="O1383">
        <v>5352</v>
      </c>
      <c r="P1383" t="s">
        <v>2625</v>
      </c>
      <c r="Q1383">
        <v>5697</v>
      </c>
      <c r="R1383" t="s">
        <v>2344</v>
      </c>
      <c r="S1383" t="s">
        <v>2036</v>
      </c>
      <c r="T1383">
        <v>202208</v>
      </c>
      <c r="U1383" t="s">
        <v>182</v>
      </c>
      <c r="V1383">
        <v>184305</v>
      </c>
    </row>
    <row r="1384" spans="1:22">
      <c r="A1384">
        <v>5352</v>
      </c>
      <c r="B1384" t="s">
        <v>2625</v>
      </c>
      <c r="C1384">
        <v>5697</v>
      </c>
      <c r="D1384" t="s">
        <v>2344</v>
      </c>
      <c r="E1384" t="s">
        <v>2036</v>
      </c>
      <c r="F1384">
        <v>202111</v>
      </c>
      <c r="G1384" t="s">
        <v>191</v>
      </c>
      <c r="H1384">
        <v>20297</v>
      </c>
      <c r="O1384">
        <v>5352</v>
      </c>
      <c r="P1384" t="s">
        <v>2625</v>
      </c>
      <c r="Q1384">
        <v>5697</v>
      </c>
      <c r="R1384" t="s">
        <v>2344</v>
      </c>
      <c r="S1384" t="s">
        <v>2036</v>
      </c>
      <c r="T1384">
        <v>202208</v>
      </c>
      <c r="U1384" t="s">
        <v>184</v>
      </c>
      <c r="V1384">
        <v>28004</v>
      </c>
    </row>
    <row r="1385" spans="1:22">
      <c r="A1385">
        <v>5352</v>
      </c>
      <c r="B1385" t="s">
        <v>2625</v>
      </c>
      <c r="C1385">
        <v>5697</v>
      </c>
      <c r="D1385" t="s">
        <v>2344</v>
      </c>
      <c r="E1385" t="s">
        <v>2036</v>
      </c>
      <c r="F1385">
        <v>202111</v>
      </c>
      <c r="G1385" t="s">
        <v>176</v>
      </c>
      <c r="H1385">
        <v>0</v>
      </c>
      <c r="O1385">
        <v>5352</v>
      </c>
      <c r="P1385" t="s">
        <v>2625</v>
      </c>
      <c r="Q1385">
        <v>5697</v>
      </c>
      <c r="R1385" t="s">
        <v>2344</v>
      </c>
      <c r="S1385" t="s">
        <v>2036</v>
      </c>
      <c r="T1385">
        <v>202208</v>
      </c>
      <c r="U1385" t="s">
        <v>186</v>
      </c>
      <c r="V1385">
        <v>0</v>
      </c>
    </row>
    <row r="1386" spans="1:22">
      <c r="A1386">
        <v>5352</v>
      </c>
      <c r="B1386" t="s">
        <v>2625</v>
      </c>
      <c r="C1386">
        <v>5697</v>
      </c>
      <c r="D1386" t="s">
        <v>2344</v>
      </c>
      <c r="E1386" t="s">
        <v>2036</v>
      </c>
      <c r="F1386">
        <v>202111</v>
      </c>
      <c r="G1386" t="s">
        <v>178</v>
      </c>
      <c r="H1386">
        <v>470</v>
      </c>
      <c r="O1386">
        <v>5352</v>
      </c>
      <c r="P1386" t="s">
        <v>2625</v>
      </c>
      <c r="Q1386">
        <v>5697</v>
      </c>
      <c r="R1386" t="s">
        <v>2344</v>
      </c>
      <c r="S1386" t="s">
        <v>2036</v>
      </c>
      <c r="T1386">
        <v>202208</v>
      </c>
      <c r="U1386" t="s">
        <v>190</v>
      </c>
      <c r="V1386">
        <v>145646</v>
      </c>
    </row>
    <row r="1387" spans="1:22">
      <c r="A1387">
        <v>5352</v>
      </c>
      <c r="B1387" t="s">
        <v>2625</v>
      </c>
      <c r="C1387">
        <v>5697</v>
      </c>
      <c r="D1387" t="s">
        <v>2344</v>
      </c>
      <c r="E1387" t="s">
        <v>2036</v>
      </c>
      <c r="F1387">
        <v>202111</v>
      </c>
      <c r="G1387" t="s">
        <v>180</v>
      </c>
      <c r="H1387">
        <v>530</v>
      </c>
      <c r="O1387">
        <v>5352</v>
      </c>
      <c r="P1387" t="s">
        <v>2625</v>
      </c>
      <c r="Q1387">
        <v>5697</v>
      </c>
      <c r="R1387" t="s">
        <v>2344</v>
      </c>
      <c r="S1387" t="s">
        <v>2036</v>
      </c>
      <c r="T1387">
        <v>202208</v>
      </c>
      <c r="U1387" t="s">
        <v>191</v>
      </c>
      <c r="V1387">
        <v>21463</v>
      </c>
    </row>
    <row r="1388" spans="1:22">
      <c r="A1388">
        <v>5352</v>
      </c>
      <c r="B1388" t="s">
        <v>2625</v>
      </c>
      <c r="C1388">
        <v>5697</v>
      </c>
      <c r="D1388" t="s">
        <v>2344</v>
      </c>
      <c r="E1388" t="s">
        <v>2036</v>
      </c>
      <c r="F1388">
        <v>202111</v>
      </c>
      <c r="G1388" t="s">
        <v>182</v>
      </c>
      <c r="H1388">
        <v>144467</v>
      </c>
      <c r="O1388">
        <v>5352</v>
      </c>
      <c r="P1388" t="s">
        <v>2625</v>
      </c>
      <c r="Q1388">
        <v>5697</v>
      </c>
      <c r="R1388" t="s">
        <v>2344</v>
      </c>
      <c r="S1388" t="s">
        <v>2036</v>
      </c>
      <c r="T1388">
        <v>202208</v>
      </c>
      <c r="U1388" t="s">
        <v>178</v>
      </c>
      <c r="V1388">
        <v>480</v>
      </c>
    </row>
    <row r="1389" spans="1:22">
      <c r="A1389">
        <v>5352</v>
      </c>
      <c r="B1389" t="s">
        <v>2625</v>
      </c>
      <c r="C1389">
        <v>5697</v>
      </c>
      <c r="D1389" t="s">
        <v>2344</v>
      </c>
      <c r="E1389" t="s">
        <v>2036</v>
      </c>
      <c r="F1389">
        <v>202111</v>
      </c>
      <c r="G1389" t="s">
        <v>184</v>
      </c>
      <c r="H1389">
        <v>20297</v>
      </c>
      <c r="O1389">
        <v>5352</v>
      </c>
      <c r="P1389" t="s">
        <v>2625</v>
      </c>
      <c r="Q1389">
        <v>5697</v>
      </c>
      <c r="R1389" t="s">
        <v>2344</v>
      </c>
      <c r="S1389" t="s">
        <v>2036</v>
      </c>
      <c r="T1389">
        <v>202208</v>
      </c>
      <c r="U1389" t="s">
        <v>180</v>
      </c>
      <c r="V1389">
        <v>550</v>
      </c>
    </row>
    <row r="1390" spans="1:22">
      <c r="A1390">
        <v>5352</v>
      </c>
      <c r="B1390" t="s">
        <v>2625</v>
      </c>
      <c r="C1390">
        <v>5697</v>
      </c>
      <c r="D1390" t="s">
        <v>2344</v>
      </c>
      <c r="E1390" t="s">
        <v>2036</v>
      </c>
      <c r="F1390">
        <v>202111</v>
      </c>
      <c r="G1390" t="s">
        <v>192</v>
      </c>
      <c r="H1390">
        <v>0</v>
      </c>
      <c r="O1390">
        <v>5352</v>
      </c>
      <c r="P1390" t="s">
        <v>2625</v>
      </c>
      <c r="Q1390">
        <v>5697</v>
      </c>
      <c r="R1390" t="s">
        <v>2344</v>
      </c>
      <c r="S1390" t="s">
        <v>2036</v>
      </c>
      <c r="T1390">
        <v>202208</v>
      </c>
      <c r="U1390" t="s">
        <v>182</v>
      </c>
      <c r="V1390">
        <v>145646</v>
      </c>
    </row>
    <row r="1391" spans="1:22">
      <c r="A1391">
        <v>5352</v>
      </c>
      <c r="B1391" t="s">
        <v>2625</v>
      </c>
      <c r="C1391">
        <v>5697</v>
      </c>
      <c r="D1391" t="s">
        <v>2344</v>
      </c>
      <c r="E1391" t="s">
        <v>2036</v>
      </c>
      <c r="F1391">
        <v>202111</v>
      </c>
      <c r="G1391" t="s">
        <v>2170</v>
      </c>
      <c r="H1391">
        <v>1813.43</v>
      </c>
      <c r="O1391">
        <v>5352</v>
      </c>
      <c r="P1391" t="s">
        <v>2625</v>
      </c>
      <c r="Q1391">
        <v>5697</v>
      </c>
      <c r="R1391" t="s">
        <v>2344</v>
      </c>
      <c r="S1391" t="s">
        <v>2036</v>
      </c>
      <c r="T1391">
        <v>202208</v>
      </c>
      <c r="U1391" t="s">
        <v>184</v>
      </c>
      <c r="V1391">
        <v>21463</v>
      </c>
    </row>
    <row r="1392" spans="1:22">
      <c r="A1392">
        <v>5352</v>
      </c>
      <c r="B1392" t="s">
        <v>2625</v>
      </c>
      <c r="C1392">
        <v>5697</v>
      </c>
      <c r="D1392" t="s">
        <v>2344</v>
      </c>
      <c r="E1392" t="s">
        <v>2036</v>
      </c>
      <c r="F1392">
        <v>202111</v>
      </c>
      <c r="G1392" t="s">
        <v>186</v>
      </c>
      <c r="H1392">
        <v>0</v>
      </c>
      <c r="O1392">
        <v>5352</v>
      </c>
      <c r="P1392" t="s">
        <v>2625</v>
      </c>
      <c r="Q1392">
        <v>5697</v>
      </c>
      <c r="R1392" t="s">
        <v>2344</v>
      </c>
      <c r="S1392" t="s">
        <v>2036</v>
      </c>
      <c r="T1392">
        <v>202208</v>
      </c>
      <c r="U1392" t="s">
        <v>186</v>
      </c>
      <c r="V1392">
        <v>0</v>
      </c>
    </row>
    <row r="1393" spans="1:22">
      <c r="A1393">
        <v>5352</v>
      </c>
      <c r="B1393" t="s">
        <v>2625</v>
      </c>
      <c r="C1393">
        <v>5697</v>
      </c>
      <c r="D1393" t="s">
        <v>2344</v>
      </c>
      <c r="E1393" t="s">
        <v>2036</v>
      </c>
      <c r="F1393">
        <v>202111</v>
      </c>
      <c r="G1393" t="s">
        <v>2169</v>
      </c>
      <c r="H1393">
        <v>182.65</v>
      </c>
      <c r="O1393">
        <v>5352</v>
      </c>
      <c r="P1393" t="s">
        <v>2625</v>
      </c>
      <c r="Q1393">
        <v>5697</v>
      </c>
      <c r="R1393" t="s">
        <v>2344</v>
      </c>
      <c r="S1393" t="s">
        <v>2036</v>
      </c>
      <c r="T1393">
        <v>202208</v>
      </c>
      <c r="U1393" t="s">
        <v>190</v>
      </c>
      <c r="V1393">
        <v>101203</v>
      </c>
    </row>
    <row r="1394" spans="1:22">
      <c r="A1394">
        <v>5352</v>
      </c>
      <c r="B1394" t="s">
        <v>2625</v>
      </c>
      <c r="C1394">
        <v>5697</v>
      </c>
      <c r="D1394" t="s">
        <v>2344</v>
      </c>
      <c r="E1394" t="s">
        <v>2036</v>
      </c>
      <c r="F1394">
        <v>202111</v>
      </c>
      <c r="G1394" t="s">
        <v>2166</v>
      </c>
      <c r="H1394">
        <v>11.83</v>
      </c>
      <c r="O1394">
        <v>5352</v>
      </c>
      <c r="P1394" t="s">
        <v>2625</v>
      </c>
      <c r="Q1394">
        <v>5697</v>
      </c>
      <c r="R1394" t="s">
        <v>2344</v>
      </c>
      <c r="S1394" t="s">
        <v>2036</v>
      </c>
      <c r="T1394">
        <v>202208</v>
      </c>
      <c r="U1394" t="s">
        <v>191</v>
      </c>
      <c r="V1394">
        <v>13505</v>
      </c>
    </row>
    <row r="1395" spans="1:22">
      <c r="A1395">
        <v>5352</v>
      </c>
      <c r="B1395" t="s">
        <v>2625</v>
      </c>
      <c r="C1395">
        <v>5697</v>
      </c>
      <c r="D1395" t="s">
        <v>2344</v>
      </c>
      <c r="E1395" t="s">
        <v>2036</v>
      </c>
      <c r="F1395">
        <v>202111</v>
      </c>
      <c r="G1395" t="s">
        <v>2167</v>
      </c>
      <c r="H1395">
        <v>21.22</v>
      </c>
      <c r="O1395">
        <v>5352</v>
      </c>
      <c r="P1395" t="s">
        <v>2625</v>
      </c>
      <c r="Q1395">
        <v>5697</v>
      </c>
      <c r="R1395" t="s">
        <v>2344</v>
      </c>
      <c r="S1395" t="s">
        <v>2036</v>
      </c>
      <c r="T1395">
        <v>202208</v>
      </c>
      <c r="U1395" t="s">
        <v>178</v>
      </c>
      <c r="V1395">
        <v>320</v>
      </c>
    </row>
    <row r="1396" spans="1:22">
      <c r="A1396">
        <v>5352</v>
      </c>
      <c r="B1396" t="s">
        <v>2625</v>
      </c>
      <c r="C1396">
        <v>5697</v>
      </c>
      <c r="D1396" t="s">
        <v>2344</v>
      </c>
      <c r="E1396" t="s">
        <v>2036</v>
      </c>
      <c r="F1396">
        <v>202111</v>
      </c>
      <c r="G1396" t="s">
        <v>2168</v>
      </c>
      <c r="H1396">
        <v>14.37</v>
      </c>
      <c r="O1396">
        <v>5352</v>
      </c>
      <c r="P1396" t="s">
        <v>2625</v>
      </c>
      <c r="Q1396">
        <v>5697</v>
      </c>
      <c r="R1396" t="s">
        <v>2344</v>
      </c>
      <c r="S1396" t="s">
        <v>2036</v>
      </c>
      <c r="T1396">
        <v>202208</v>
      </c>
      <c r="U1396" t="s">
        <v>180</v>
      </c>
      <c r="V1396">
        <v>320</v>
      </c>
    </row>
    <row r="1397" spans="1:22">
      <c r="A1397">
        <v>5352</v>
      </c>
      <c r="B1397" t="s">
        <v>2625</v>
      </c>
      <c r="C1397">
        <v>5697</v>
      </c>
      <c r="D1397" t="s">
        <v>2344</v>
      </c>
      <c r="E1397" t="s">
        <v>2036</v>
      </c>
      <c r="F1397">
        <v>202111</v>
      </c>
      <c r="G1397" t="s">
        <v>2171</v>
      </c>
      <c r="H1397">
        <v>51081.91</v>
      </c>
      <c r="O1397">
        <v>5352</v>
      </c>
      <c r="P1397" t="s">
        <v>2625</v>
      </c>
      <c r="Q1397">
        <v>5697</v>
      </c>
      <c r="R1397" t="s">
        <v>2344</v>
      </c>
      <c r="S1397" t="s">
        <v>2036</v>
      </c>
      <c r="T1397">
        <v>202208</v>
      </c>
      <c r="U1397" t="s">
        <v>182</v>
      </c>
      <c r="V1397">
        <v>101203</v>
      </c>
    </row>
    <row r="1398" spans="1:22">
      <c r="A1398">
        <v>5352</v>
      </c>
      <c r="B1398" t="s">
        <v>2625</v>
      </c>
      <c r="C1398">
        <v>5697</v>
      </c>
      <c r="D1398" t="s">
        <v>2344</v>
      </c>
      <c r="E1398" t="s">
        <v>2036</v>
      </c>
      <c r="F1398">
        <v>202111</v>
      </c>
      <c r="G1398" t="s">
        <v>190</v>
      </c>
      <c r="H1398">
        <v>183642</v>
      </c>
      <c r="O1398">
        <v>5352</v>
      </c>
      <c r="P1398" t="s">
        <v>2625</v>
      </c>
      <c r="Q1398">
        <v>5697</v>
      </c>
      <c r="R1398" t="s">
        <v>2344</v>
      </c>
      <c r="S1398" t="s">
        <v>2036</v>
      </c>
      <c r="T1398">
        <v>202208</v>
      </c>
      <c r="U1398" t="s">
        <v>184</v>
      </c>
      <c r="V1398">
        <v>13505</v>
      </c>
    </row>
    <row r="1399" spans="1:22">
      <c r="A1399">
        <v>5352</v>
      </c>
      <c r="B1399" t="s">
        <v>2625</v>
      </c>
      <c r="C1399">
        <v>5697</v>
      </c>
      <c r="D1399" t="s">
        <v>2344</v>
      </c>
      <c r="E1399" t="s">
        <v>2036</v>
      </c>
      <c r="F1399">
        <v>202111</v>
      </c>
      <c r="G1399" t="s">
        <v>191</v>
      </c>
      <c r="H1399">
        <v>25921</v>
      </c>
      <c r="O1399">
        <v>5352</v>
      </c>
      <c r="P1399" t="s">
        <v>2625</v>
      </c>
      <c r="Q1399">
        <v>5697</v>
      </c>
      <c r="R1399" t="s">
        <v>2344</v>
      </c>
      <c r="S1399" t="s">
        <v>2036</v>
      </c>
      <c r="T1399">
        <v>202208</v>
      </c>
      <c r="U1399" t="s">
        <v>186</v>
      </c>
      <c r="V1399">
        <v>0</v>
      </c>
    </row>
    <row r="1400" spans="1:22">
      <c r="A1400">
        <v>5352</v>
      </c>
      <c r="B1400" t="s">
        <v>2625</v>
      </c>
      <c r="C1400">
        <v>5697</v>
      </c>
      <c r="D1400" t="s">
        <v>2344</v>
      </c>
      <c r="E1400" t="s">
        <v>2036</v>
      </c>
      <c r="F1400">
        <v>202111</v>
      </c>
      <c r="G1400" t="s">
        <v>176</v>
      </c>
      <c r="H1400">
        <v>-9455.67</v>
      </c>
      <c r="O1400">
        <v>5352</v>
      </c>
      <c r="P1400" t="s">
        <v>2625</v>
      </c>
      <c r="Q1400">
        <v>5697</v>
      </c>
      <c r="R1400" t="s">
        <v>2344</v>
      </c>
      <c r="S1400" t="s">
        <v>2036</v>
      </c>
      <c r="T1400">
        <v>202208</v>
      </c>
      <c r="U1400" t="s">
        <v>190</v>
      </c>
      <c r="V1400">
        <v>170963</v>
      </c>
    </row>
    <row r="1401" spans="1:22">
      <c r="A1401">
        <v>5352</v>
      </c>
      <c r="B1401" t="s">
        <v>2625</v>
      </c>
      <c r="C1401">
        <v>5697</v>
      </c>
      <c r="D1401" t="s">
        <v>2344</v>
      </c>
      <c r="E1401" t="s">
        <v>2036</v>
      </c>
      <c r="F1401">
        <v>202111</v>
      </c>
      <c r="G1401" t="s">
        <v>178</v>
      </c>
      <c r="H1401">
        <v>560</v>
      </c>
      <c r="O1401">
        <v>5352</v>
      </c>
      <c r="P1401" t="s">
        <v>2625</v>
      </c>
      <c r="Q1401">
        <v>5697</v>
      </c>
      <c r="R1401" t="s">
        <v>2344</v>
      </c>
      <c r="S1401" t="s">
        <v>2036</v>
      </c>
      <c r="T1401">
        <v>202208</v>
      </c>
      <c r="U1401" t="s">
        <v>191</v>
      </c>
      <c r="V1401">
        <v>23466</v>
      </c>
    </row>
    <row r="1402" spans="1:22">
      <c r="A1402">
        <v>5352</v>
      </c>
      <c r="B1402" t="s">
        <v>2625</v>
      </c>
      <c r="C1402">
        <v>5697</v>
      </c>
      <c r="D1402" t="s">
        <v>2344</v>
      </c>
      <c r="E1402" t="s">
        <v>2036</v>
      </c>
      <c r="F1402">
        <v>202111</v>
      </c>
      <c r="G1402" t="s">
        <v>180</v>
      </c>
      <c r="H1402">
        <v>560</v>
      </c>
      <c r="O1402">
        <v>5352</v>
      </c>
      <c r="P1402" t="s">
        <v>2625</v>
      </c>
      <c r="Q1402">
        <v>5697</v>
      </c>
      <c r="R1402" t="s">
        <v>2344</v>
      </c>
      <c r="S1402" t="s">
        <v>2036</v>
      </c>
      <c r="T1402">
        <v>202208</v>
      </c>
      <c r="U1402" t="s">
        <v>178</v>
      </c>
      <c r="V1402">
        <v>600</v>
      </c>
    </row>
    <row r="1403" spans="1:22">
      <c r="A1403">
        <v>5352</v>
      </c>
      <c r="B1403" t="s">
        <v>2625</v>
      </c>
      <c r="C1403">
        <v>5697</v>
      </c>
      <c r="D1403" t="s">
        <v>2344</v>
      </c>
      <c r="E1403" t="s">
        <v>2036</v>
      </c>
      <c r="F1403">
        <v>202111</v>
      </c>
      <c r="G1403" t="s">
        <v>182</v>
      </c>
      <c r="H1403">
        <v>183642</v>
      </c>
      <c r="O1403">
        <v>5352</v>
      </c>
      <c r="P1403" t="s">
        <v>2625</v>
      </c>
      <c r="Q1403">
        <v>5697</v>
      </c>
      <c r="R1403" t="s">
        <v>2344</v>
      </c>
      <c r="S1403" t="s">
        <v>2036</v>
      </c>
      <c r="T1403">
        <v>202208</v>
      </c>
      <c r="U1403" t="s">
        <v>180</v>
      </c>
      <c r="V1403">
        <v>600</v>
      </c>
    </row>
    <row r="1404" spans="1:22">
      <c r="A1404">
        <v>5352</v>
      </c>
      <c r="B1404" t="s">
        <v>2625</v>
      </c>
      <c r="C1404">
        <v>5697</v>
      </c>
      <c r="D1404" t="s">
        <v>2344</v>
      </c>
      <c r="E1404" t="s">
        <v>2036</v>
      </c>
      <c r="F1404">
        <v>202111</v>
      </c>
      <c r="G1404" t="s">
        <v>184</v>
      </c>
      <c r="H1404">
        <v>25921</v>
      </c>
      <c r="O1404">
        <v>5352</v>
      </c>
      <c r="P1404" t="s">
        <v>2625</v>
      </c>
      <c r="Q1404">
        <v>5697</v>
      </c>
      <c r="R1404" t="s">
        <v>2344</v>
      </c>
      <c r="S1404" t="s">
        <v>2036</v>
      </c>
      <c r="T1404">
        <v>202208</v>
      </c>
      <c r="U1404" t="s">
        <v>182</v>
      </c>
      <c r="V1404">
        <v>170963</v>
      </c>
    </row>
    <row r="1405" spans="1:22">
      <c r="A1405">
        <v>5352</v>
      </c>
      <c r="B1405" t="s">
        <v>2625</v>
      </c>
      <c r="C1405">
        <v>5697</v>
      </c>
      <c r="D1405" t="s">
        <v>2344</v>
      </c>
      <c r="E1405" t="s">
        <v>2036</v>
      </c>
      <c r="F1405">
        <v>202111</v>
      </c>
      <c r="G1405" t="s">
        <v>192</v>
      </c>
      <c r="H1405">
        <v>0</v>
      </c>
      <c r="O1405">
        <v>5352</v>
      </c>
      <c r="P1405" t="s">
        <v>2625</v>
      </c>
      <c r="Q1405">
        <v>5697</v>
      </c>
      <c r="R1405" t="s">
        <v>2344</v>
      </c>
      <c r="S1405" t="s">
        <v>2036</v>
      </c>
      <c r="T1405">
        <v>202208</v>
      </c>
      <c r="U1405" t="s">
        <v>184</v>
      </c>
      <c r="V1405">
        <v>23466</v>
      </c>
    </row>
    <row r="1406" spans="1:22">
      <c r="A1406">
        <v>5352</v>
      </c>
      <c r="B1406" t="s">
        <v>2625</v>
      </c>
      <c r="C1406">
        <v>5697</v>
      </c>
      <c r="D1406" t="s">
        <v>2344</v>
      </c>
      <c r="E1406" t="s">
        <v>2036</v>
      </c>
      <c r="F1406">
        <v>202111</v>
      </c>
      <c r="G1406" t="s">
        <v>2170</v>
      </c>
      <c r="H1406">
        <v>2200.87</v>
      </c>
      <c r="O1406">
        <v>5352</v>
      </c>
      <c r="P1406" t="s">
        <v>2625</v>
      </c>
      <c r="Q1406">
        <v>5697</v>
      </c>
      <c r="R1406" t="s">
        <v>2344</v>
      </c>
      <c r="S1406" t="s">
        <v>2036</v>
      </c>
      <c r="T1406">
        <v>202208</v>
      </c>
      <c r="U1406" t="s">
        <v>186</v>
      </c>
      <c r="V1406">
        <v>0</v>
      </c>
    </row>
    <row r="1407" spans="1:22">
      <c r="A1407">
        <v>5352</v>
      </c>
      <c r="B1407" t="s">
        <v>2625</v>
      </c>
      <c r="C1407">
        <v>5697</v>
      </c>
      <c r="D1407" t="s">
        <v>2344</v>
      </c>
      <c r="E1407" t="s">
        <v>2036</v>
      </c>
      <c r="F1407">
        <v>202111</v>
      </c>
      <c r="G1407" t="s">
        <v>186</v>
      </c>
      <c r="H1407">
        <v>0</v>
      </c>
      <c r="O1407">
        <v>5352</v>
      </c>
      <c r="P1407" t="s">
        <v>2625</v>
      </c>
      <c r="Q1407">
        <v>5697</v>
      </c>
      <c r="R1407" t="s">
        <v>2344</v>
      </c>
      <c r="S1407" t="s">
        <v>2036</v>
      </c>
      <c r="T1407">
        <v>202208</v>
      </c>
      <c r="U1407" t="s">
        <v>190</v>
      </c>
      <c r="V1407">
        <v>131040</v>
      </c>
    </row>
    <row r="1408" spans="1:22">
      <c r="A1408">
        <v>5352</v>
      </c>
      <c r="B1408" t="s">
        <v>2625</v>
      </c>
      <c r="C1408">
        <v>5697</v>
      </c>
      <c r="D1408" t="s">
        <v>2344</v>
      </c>
      <c r="E1408" t="s">
        <v>2036</v>
      </c>
      <c r="F1408">
        <v>202111</v>
      </c>
      <c r="G1408" t="s">
        <v>2169</v>
      </c>
      <c r="H1408">
        <v>182.65</v>
      </c>
      <c r="O1408">
        <v>5352</v>
      </c>
      <c r="P1408" t="s">
        <v>2625</v>
      </c>
      <c r="Q1408">
        <v>5697</v>
      </c>
      <c r="R1408" t="s">
        <v>2344</v>
      </c>
      <c r="S1408" t="s">
        <v>2036</v>
      </c>
      <c r="T1408">
        <v>202208</v>
      </c>
      <c r="U1408" t="s">
        <v>191</v>
      </c>
      <c r="V1408">
        <v>17643</v>
      </c>
    </row>
    <row r="1409" spans="1:22">
      <c r="A1409">
        <v>5352</v>
      </c>
      <c r="B1409" t="s">
        <v>2625</v>
      </c>
      <c r="C1409">
        <v>5697</v>
      </c>
      <c r="D1409" t="s">
        <v>2344</v>
      </c>
      <c r="E1409" t="s">
        <v>2036</v>
      </c>
      <c r="F1409">
        <v>202111</v>
      </c>
      <c r="G1409" t="s">
        <v>2166</v>
      </c>
      <c r="H1409">
        <v>11.83</v>
      </c>
      <c r="O1409">
        <v>5352</v>
      </c>
      <c r="P1409" t="s">
        <v>2625</v>
      </c>
      <c r="Q1409">
        <v>5697</v>
      </c>
      <c r="R1409" t="s">
        <v>2344</v>
      </c>
      <c r="S1409" t="s">
        <v>2036</v>
      </c>
      <c r="T1409">
        <v>202208</v>
      </c>
      <c r="U1409" t="s">
        <v>178</v>
      </c>
      <c r="V1409">
        <v>450</v>
      </c>
    </row>
    <row r="1410" spans="1:22">
      <c r="A1410">
        <v>5352</v>
      </c>
      <c r="B1410" t="s">
        <v>2625</v>
      </c>
      <c r="C1410">
        <v>5697</v>
      </c>
      <c r="D1410" t="s">
        <v>2344</v>
      </c>
      <c r="E1410" t="s">
        <v>2036</v>
      </c>
      <c r="F1410">
        <v>202111</v>
      </c>
      <c r="G1410" t="s">
        <v>2167</v>
      </c>
      <c r="H1410">
        <v>21.22</v>
      </c>
      <c r="O1410">
        <v>5352</v>
      </c>
      <c r="P1410" t="s">
        <v>2625</v>
      </c>
      <c r="Q1410">
        <v>5697</v>
      </c>
      <c r="R1410" t="s">
        <v>2344</v>
      </c>
      <c r="S1410" t="s">
        <v>2036</v>
      </c>
      <c r="T1410">
        <v>202208</v>
      </c>
      <c r="U1410" t="s">
        <v>180</v>
      </c>
      <c r="V1410">
        <v>450</v>
      </c>
    </row>
    <row r="1411" spans="1:22">
      <c r="A1411">
        <v>5352</v>
      </c>
      <c r="B1411" t="s">
        <v>2625</v>
      </c>
      <c r="C1411">
        <v>5697</v>
      </c>
      <c r="D1411" t="s">
        <v>2344</v>
      </c>
      <c r="E1411" t="s">
        <v>2036</v>
      </c>
      <c r="F1411">
        <v>202111</v>
      </c>
      <c r="G1411" t="s">
        <v>2168</v>
      </c>
      <c r="H1411">
        <v>14.37</v>
      </c>
      <c r="O1411">
        <v>5352</v>
      </c>
      <c r="P1411" t="s">
        <v>2625</v>
      </c>
      <c r="Q1411">
        <v>5697</v>
      </c>
      <c r="R1411" t="s">
        <v>2344</v>
      </c>
      <c r="S1411" t="s">
        <v>2036</v>
      </c>
      <c r="T1411">
        <v>202208</v>
      </c>
      <c r="U1411" t="s">
        <v>182</v>
      </c>
      <c r="V1411">
        <v>131040</v>
      </c>
    </row>
    <row r="1412" spans="1:22">
      <c r="A1412">
        <v>5352</v>
      </c>
      <c r="B1412" t="s">
        <v>2625</v>
      </c>
      <c r="C1412">
        <v>5697</v>
      </c>
      <c r="D1412" t="s">
        <v>2344</v>
      </c>
      <c r="E1412" t="s">
        <v>2036</v>
      </c>
      <c r="F1412">
        <v>202111</v>
      </c>
      <c r="G1412" t="s">
        <v>2171</v>
      </c>
      <c r="H1412">
        <v>52541.29</v>
      </c>
      <c r="O1412">
        <v>5352</v>
      </c>
      <c r="P1412" t="s">
        <v>2625</v>
      </c>
      <c r="Q1412">
        <v>5697</v>
      </c>
      <c r="R1412" t="s">
        <v>2344</v>
      </c>
      <c r="S1412" t="s">
        <v>2036</v>
      </c>
      <c r="T1412">
        <v>202208</v>
      </c>
      <c r="U1412" t="s">
        <v>184</v>
      </c>
      <c r="V1412">
        <v>17643</v>
      </c>
    </row>
    <row r="1413" spans="1:22">
      <c r="A1413">
        <v>5352</v>
      </c>
      <c r="B1413" t="s">
        <v>2625</v>
      </c>
      <c r="C1413">
        <v>5697</v>
      </c>
      <c r="D1413" t="s">
        <v>2344</v>
      </c>
      <c r="E1413" t="s">
        <v>2036</v>
      </c>
      <c r="F1413">
        <v>202111</v>
      </c>
      <c r="G1413" t="s">
        <v>190</v>
      </c>
      <c r="H1413">
        <v>162394</v>
      </c>
      <c r="O1413">
        <v>5352</v>
      </c>
      <c r="P1413" t="s">
        <v>2625</v>
      </c>
      <c r="Q1413">
        <v>5697</v>
      </c>
      <c r="R1413" t="s">
        <v>2344</v>
      </c>
      <c r="S1413" t="s">
        <v>2036</v>
      </c>
      <c r="T1413">
        <v>202208</v>
      </c>
      <c r="U1413" t="s">
        <v>186</v>
      </c>
      <c r="V1413">
        <v>0</v>
      </c>
    </row>
    <row r="1414" spans="1:22">
      <c r="A1414">
        <v>5352</v>
      </c>
      <c r="B1414" t="s">
        <v>2625</v>
      </c>
      <c r="C1414">
        <v>5697</v>
      </c>
      <c r="D1414" t="s">
        <v>2344</v>
      </c>
      <c r="E1414" t="s">
        <v>2036</v>
      </c>
      <c r="F1414">
        <v>202111</v>
      </c>
      <c r="G1414" t="s">
        <v>191</v>
      </c>
      <c r="H1414">
        <v>21043</v>
      </c>
      <c r="O1414">
        <v>5352</v>
      </c>
      <c r="P1414" t="s">
        <v>2625</v>
      </c>
      <c r="Q1414">
        <v>5697</v>
      </c>
      <c r="R1414" t="s">
        <v>2344</v>
      </c>
      <c r="S1414" t="s">
        <v>2036</v>
      </c>
      <c r="T1414">
        <v>202208</v>
      </c>
      <c r="U1414" t="s">
        <v>190</v>
      </c>
      <c r="V1414">
        <v>278205</v>
      </c>
    </row>
    <row r="1415" spans="1:22">
      <c r="A1415">
        <v>5352</v>
      </c>
      <c r="B1415" t="s">
        <v>2625</v>
      </c>
      <c r="C1415">
        <v>5697</v>
      </c>
      <c r="D1415" t="s">
        <v>2344</v>
      </c>
      <c r="E1415" t="s">
        <v>2036</v>
      </c>
      <c r="F1415">
        <v>202111</v>
      </c>
      <c r="G1415" t="s">
        <v>176</v>
      </c>
      <c r="H1415">
        <v>-346.88</v>
      </c>
      <c r="O1415">
        <v>5352</v>
      </c>
      <c r="P1415" t="s">
        <v>2625</v>
      </c>
      <c r="Q1415">
        <v>5697</v>
      </c>
      <c r="R1415" t="s">
        <v>2344</v>
      </c>
      <c r="S1415" t="s">
        <v>2036</v>
      </c>
      <c r="T1415">
        <v>202208</v>
      </c>
      <c r="U1415" t="s">
        <v>191</v>
      </c>
      <c r="V1415">
        <v>37017</v>
      </c>
    </row>
    <row r="1416" spans="1:22">
      <c r="A1416">
        <v>5352</v>
      </c>
      <c r="B1416" t="s">
        <v>2625</v>
      </c>
      <c r="C1416">
        <v>5697</v>
      </c>
      <c r="D1416" t="s">
        <v>2344</v>
      </c>
      <c r="E1416" t="s">
        <v>2036</v>
      </c>
      <c r="F1416">
        <v>202111</v>
      </c>
      <c r="G1416" t="s">
        <v>178</v>
      </c>
      <c r="H1416">
        <v>580</v>
      </c>
      <c r="O1416">
        <v>5352</v>
      </c>
      <c r="P1416" t="s">
        <v>2625</v>
      </c>
      <c r="Q1416">
        <v>5697</v>
      </c>
      <c r="R1416" t="s">
        <v>2344</v>
      </c>
      <c r="S1416" t="s">
        <v>2036</v>
      </c>
      <c r="T1416">
        <v>202208</v>
      </c>
      <c r="U1416" t="s">
        <v>178</v>
      </c>
      <c r="V1416">
        <v>820</v>
      </c>
    </row>
    <row r="1417" spans="1:22">
      <c r="A1417">
        <v>5352</v>
      </c>
      <c r="B1417" t="s">
        <v>2625</v>
      </c>
      <c r="C1417">
        <v>5697</v>
      </c>
      <c r="D1417" t="s">
        <v>2344</v>
      </c>
      <c r="E1417" t="s">
        <v>2036</v>
      </c>
      <c r="F1417">
        <v>202111</v>
      </c>
      <c r="G1417" t="s">
        <v>180</v>
      </c>
      <c r="H1417">
        <v>580</v>
      </c>
      <c r="O1417">
        <v>5352</v>
      </c>
      <c r="P1417" t="s">
        <v>2625</v>
      </c>
      <c r="Q1417">
        <v>5697</v>
      </c>
      <c r="R1417" t="s">
        <v>2344</v>
      </c>
      <c r="S1417" t="s">
        <v>2036</v>
      </c>
      <c r="T1417">
        <v>202208</v>
      </c>
      <c r="U1417" t="s">
        <v>180</v>
      </c>
      <c r="V1417">
        <v>820</v>
      </c>
    </row>
    <row r="1418" spans="1:22">
      <c r="A1418">
        <v>5352</v>
      </c>
      <c r="B1418" t="s">
        <v>2625</v>
      </c>
      <c r="C1418">
        <v>5697</v>
      </c>
      <c r="D1418" t="s">
        <v>2344</v>
      </c>
      <c r="E1418" t="s">
        <v>2036</v>
      </c>
      <c r="F1418">
        <v>202111</v>
      </c>
      <c r="G1418" t="s">
        <v>182</v>
      </c>
      <c r="H1418">
        <v>162394</v>
      </c>
      <c r="O1418">
        <v>5352</v>
      </c>
      <c r="P1418" t="s">
        <v>2625</v>
      </c>
      <c r="Q1418">
        <v>5697</v>
      </c>
      <c r="R1418" t="s">
        <v>2344</v>
      </c>
      <c r="S1418" t="s">
        <v>2036</v>
      </c>
      <c r="T1418">
        <v>202208</v>
      </c>
      <c r="U1418" t="s">
        <v>182</v>
      </c>
      <c r="V1418">
        <v>278205</v>
      </c>
    </row>
    <row r="1419" spans="1:22">
      <c r="A1419">
        <v>5352</v>
      </c>
      <c r="B1419" t="s">
        <v>2625</v>
      </c>
      <c r="C1419">
        <v>5697</v>
      </c>
      <c r="D1419" t="s">
        <v>2344</v>
      </c>
      <c r="E1419" t="s">
        <v>2036</v>
      </c>
      <c r="F1419">
        <v>202111</v>
      </c>
      <c r="G1419" t="s">
        <v>184</v>
      </c>
      <c r="H1419">
        <v>21043</v>
      </c>
      <c r="O1419">
        <v>5352</v>
      </c>
      <c r="P1419" t="s">
        <v>2625</v>
      </c>
      <c r="Q1419">
        <v>5697</v>
      </c>
      <c r="R1419" t="s">
        <v>2344</v>
      </c>
      <c r="S1419" t="s">
        <v>2036</v>
      </c>
      <c r="T1419">
        <v>202208</v>
      </c>
      <c r="U1419" t="s">
        <v>184</v>
      </c>
      <c r="V1419">
        <v>37017</v>
      </c>
    </row>
    <row r="1420" spans="1:22">
      <c r="A1420">
        <v>5352</v>
      </c>
      <c r="B1420" t="s">
        <v>2625</v>
      </c>
      <c r="C1420">
        <v>5697</v>
      </c>
      <c r="D1420" t="s">
        <v>2344</v>
      </c>
      <c r="E1420" t="s">
        <v>2036</v>
      </c>
      <c r="F1420">
        <v>202111</v>
      </c>
      <c r="G1420" t="s">
        <v>192</v>
      </c>
      <c r="H1420">
        <v>0</v>
      </c>
      <c r="O1420">
        <v>5352</v>
      </c>
      <c r="P1420" t="s">
        <v>2625</v>
      </c>
      <c r="Q1420">
        <v>5697</v>
      </c>
      <c r="R1420" t="s">
        <v>2344</v>
      </c>
      <c r="S1420" t="s">
        <v>2036</v>
      </c>
      <c r="T1420">
        <v>202208</v>
      </c>
      <c r="U1420" t="s">
        <v>186</v>
      </c>
      <c r="V1420">
        <v>0</v>
      </c>
    </row>
    <row r="1421" spans="1:22">
      <c r="A1421">
        <v>5352</v>
      </c>
      <c r="B1421" t="s">
        <v>2625</v>
      </c>
      <c r="C1421">
        <v>5697</v>
      </c>
      <c r="D1421" t="s">
        <v>2344</v>
      </c>
      <c r="E1421" t="s">
        <v>2036</v>
      </c>
      <c r="F1421">
        <v>202111</v>
      </c>
      <c r="G1421" t="s">
        <v>2170</v>
      </c>
      <c r="H1421">
        <v>2035.77</v>
      </c>
      <c r="O1421">
        <v>5352</v>
      </c>
      <c r="P1421" t="s">
        <v>2625</v>
      </c>
      <c r="Q1421">
        <v>5697</v>
      </c>
      <c r="R1421" t="s">
        <v>2344</v>
      </c>
      <c r="S1421" t="s">
        <v>2036</v>
      </c>
      <c r="T1421">
        <v>202208</v>
      </c>
      <c r="U1421" t="s">
        <v>190</v>
      </c>
      <c r="V1421">
        <v>758582</v>
      </c>
    </row>
    <row r="1422" spans="1:22">
      <c r="A1422">
        <v>5352</v>
      </c>
      <c r="B1422" t="s">
        <v>2625</v>
      </c>
      <c r="C1422">
        <v>5697</v>
      </c>
      <c r="D1422" t="s">
        <v>2344</v>
      </c>
      <c r="E1422" t="s">
        <v>2036</v>
      </c>
      <c r="F1422">
        <v>202111</v>
      </c>
      <c r="G1422" t="s">
        <v>186</v>
      </c>
      <c r="H1422">
        <v>0</v>
      </c>
      <c r="O1422">
        <v>5352</v>
      </c>
      <c r="P1422" t="s">
        <v>2625</v>
      </c>
      <c r="Q1422">
        <v>5697</v>
      </c>
      <c r="R1422" t="s">
        <v>2344</v>
      </c>
      <c r="S1422" t="s">
        <v>2036</v>
      </c>
      <c r="T1422">
        <v>202208</v>
      </c>
      <c r="U1422" t="s">
        <v>191</v>
      </c>
      <c r="V1422">
        <v>48081</v>
      </c>
    </row>
    <row r="1423" spans="1:22">
      <c r="A1423">
        <v>5352</v>
      </c>
      <c r="B1423" t="s">
        <v>2625</v>
      </c>
      <c r="C1423">
        <v>5697</v>
      </c>
      <c r="D1423" t="s">
        <v>2344</v>
      </c>
      <c r="E1423" t="s">
        <v>2036</v>
      </c>
      <c r="F1423">
        <v>202111</v>
      </c>
      <c r="G1423" t="s">
        <v>2169</v>
      </c>
      <c r="H1423">
        <v>182.65</v>
      </c>
      <c r="O1423">
        <v>5352</v>
      </c>
      <c r="P1423" t="s">
        <v>2625</v>
      </c>
      <c r="Q1423">
        <v>5697</v>
      </c>
      <c r="R1423" t="s">
        <v>2344</v>
      </c>
      <c r="S1423" t="s">
        <v>2036</v>
      </c>
      <c r="T1423">
        <v>202208</v>
      </c>
      <c r="U1423" t="s">
        <v>178</v>
      </c>
      <c r="V1423">
        <v>1450</v>
      </c>
    </row>
    <row r="1424" spans="1:22">
      <c r="A1424">
        <v>5352</v>
      </c>
      <c r="B1424" t="s">
        <v>2625</v>
      </c>
      <c r="C1424">
        <v>5697</v>
      </c>
      <c r="D1424" t="s">
        <v>2344</v>
      </c>
      <c r="E1424" t="s">
        <v>2036</v>
      </c>
      <c r="F1424">
        <v>202111</v>
      </c>
      <c r="G1424" t="s">
        <v>2166</v>
      </c>
      <c r="H1424">
        <v>11.83</v>
      </c>
      <c r="O1424">
        <v>5352</v>
      </c>
      <c r="P1424" t="s">
        <v>2625</v>
      </c>
      <c r="Q1424">
        <v>5697</v>
      </c>
      <c r="R1424" t="s">
        <v>2344</v>
      </c>
      <c r="S1424" t="s">
        <v>2036</v>
      </c>
      <c r="T1424">
        <v>202208</v>
      </c>
      <c r="U1424" t="s">
        <v>180</v>
      </c>
      <c r="V1424">
        <v>1450</v>
      </c>
    </row>
    <row r="1425" spans="1:22">
      <c r="A1425">
        <v>5352</v>
      </c>
      <c r="B1425" t="s">
        <v>2625</v>
      </c>
      <c r="C1425">
        <v>5697</v>
      </c>
      <c r="D1425" t="s">
        <v>2344</v>
      </c>
      <c r="E1425" t="s">
        <v>2036</v>
      </c>
      <c r="F1425">
        <v>202111</v>
      </c>
      <c r="G1425" t="s">
        <v>2167</v>
      </c>
      <c r="H1425">
        <v>21.22</v>
      </c>
      <c r="O1425">
        <v>5352</v>
      </c>
      <c r="P1425" t="s">
        <v>2625</v>
      </c>
      <c r="Q1425">
        <v>5697</v>
      </c>
      <c r="R1425" t="s">
        <v>2344</v>
      </c>
      <c r="S1425" t="s">
        <v>2036</v>
      </c>
      <c r="T1425">
        <v>202208</v>
      </c>
      <c r="U1425" t="s">
        <v>182</v>
      </c>
      <c r="V1425">
        <v>758582</v>
      </c>
    </row>
    <row r="1426" spans="1:22">
      <c r="A1426">
        <v>5352</v>
      </c>
      <c r="B1426" t="s">
        <v>2625</v>
      </c>
      <c r="C1426">
        <v>5697</v>
      </c>
      <c r="D1426" t="s">
        <v>2344</v>
      </c>
      <c r="E1426" t="s">
        <v>2036</v>
      </c>
      <c r="F1426">
        <v>202111</v>
      </c>
      <c r="G1426" t="s">
        <v>2168</v>
      </c>
      <c r="H1426">
        <v>14.37</v>
      </c>
      <c r="O1426">
        <v>5352</v>
      </c>
      <c r="P1426" t="s">
        <v>2625</v>
      </c>
      <c r="Q1426">
        <v>5697</v>
      </c>
      <c r="R1426" t="s">
        <v>2344</v>
      </c>
      <c r="S1426" t="s">
        <v>2036</v>
      </c>
      <c r="T1426">
        <v>202208</v>
      </c>
      <c r="U1426" t="s">
        <v>184</v>
      </c>
      <c r="V1426">
        <v>48081</v>
      </c>
    </row>
    <row r="1427" spans="1:22">
      <c r="A1427">
        <v>5352</v>
      </c>
      <c r="B1427" t="s">
        <v>2625</v>
      </c>
      <c r="C1427">
        <v>5697</v>
      </c>
      <c r="D1427" t="s">
        <v>2344</v>
      </c>
      <c r="E1427" t="s">
        <v>2036</v>
      </c>
      <c r="F1427">
        <v>202111</v>
      </c>
      <c r="G1427" t="s">
        <v>2171</v>
      </c>
      <c r="H1427">
        <v>56998.63</v>
      </c>
      <c r="O1427">
        <v>5352</v>
      </c>
      <c r="P1427" t="s">
        <v>2625</v>
      </c>
      <c r="Q1427">
        <v>5697</v>
      </c>
      <c r="R1427" t="s">
        <v>2344</v>
      </c>
      <c r="S1427" t="s">
        <v>2036</v>
      </c>
      <c r="T1427">
        <v>202208</v>
      </c>
      <c r="U1427" t="s">
        <v>186</v>
      </c>
      <c r="V1427">
        <v>0</v>
      </c>
    </row>
    <row r="1428" spans="1:22">
      <c r="A1428">
        <v>5352</v>
      </c>
      <c r="B1428" t="s">
        <v>2625</v>
      </c>
      <c r="C1428">
        <v>5697</v>
      </c>
      <c r="D1428" t="s">
        <v>2344</v>
      </c>
      <c r="E1428" t="s">
        <v>2036</v>
      </c>
      <c r="F1428">
        <v>202111</v>
      </c>
      <c r="G1428" t="s">
        <v>190</v>
      </c>
      <c r="H1428">
        <v>27437</v>
      </c>
    </row>
    <row r="1429" spans="1:22">
      <c r="A1429">
        <v>5352</v>
      </c>
      <c r="B1429" t="s">
        <v>2625</v>
      </c>
      <c r="C1429">
        <v>5697</v>
      </c>
      <c r="D1429" t="s">
        <v>2344</v>
      </c>
      <c r="E1429" t="s">
        <v>2036</v>
      </c>
      <c r="F1429">
        <v>202111</v>
      </c>
      <c r="G1429" t="s">
        <v>191</v>
      </c>
      <c r="H1429">
        <v>4078</v>
      </c>
    </row>
    <row r="1430" spans="1:22">
      <c r="A1430">
        <v>5352</v>
      </c>
      <c r="B1430" t="s">
        <v>2625</v>
      </c>
      <c r="C1430">
        <v>5697</v>
      </c>
      <c r="D1430" t="s">
        <v>2344</v>
      </c>
      <c r="E1430" t="s">
        <v>2036</v>
      </c>
      <c r="F1430">
        <v>202111</v>
      </c>
      <c r="G1430" t="s">
        <v>176</v>
      </c>
      <c r="H1430">
        <v>-539.66</v>
      </c>
    </row>
    <row r="1431" spans="1:22">
      <c r="A1431">
        <v>5352</v>
      </c>
      <c r="B1431" t="s">
        <v>2625</v>
      </c>
      <c r="C1431">
        <v>5697</v>
      </c>
      <c r="D1431" t="s">
        <v>2344</v>
      </c>
      <c r="E1431" t="s">
        <v>2036</v>
      </c>
      <c r="F1431">
        <v>202111</v>
      </c>
      <c r="G1431" t="s">
        <v>178</v>
      </c>
      <c r="H1431">
        <v>96</v>
      </c>
    </row>
    <row r="1432" spans="1:22">
      <c r="A1432">
        <v>5352</v>
      </c>
      <c r="B1432" t="s">
        <v>2625</v>
      </c>
      <c r="C1432">
        <v>5697</v>
      </c>
      <c r="D1432" t="s">
        <v>2344</v>
      </c>
      <c r="E1432" t="s">
        <v>2036</v>
      </c>
      <c r="F1432">
        <v>202111</v>
      </c>
      <c r="G1432" t="s">
        <v>180</v>
      </c>
      <c r="H1432">
        <v>107</v>
      </c>
    </row>
    <row r="1433" spans="1:22">
      <c r="A1433">
        <v>5352</v>
      </c>
      <c r="B1433" t="s">
        <v>2625</v>
      </c>
      <c r="C1433">
        <v>5697</v>
      </c>
      <c r="D1433" t="s">
        <v>2344</v>
      </c>
      <c r="E1433" t="s">
        <v>2036</v>
      </c>
      <c r="F1433">
        <v>202111</v>
      </c>
      <c r="G1433" t="s">
        <v>182</v>
      </c>
      <c r="H1433">
        <v>27437</v>
      </c>
    </row>
    <row r="1434" spans="1:22">
      <c r="A1434">
        <v>5352</v>
      </c>
      <c r="B1434" t="s">
        <v>2625</v>
      </c>
      <c r="C1434">
        <v>5697</v>
      </c>
      <c r="D1434" t="s">
        <v>2344</v>
      </c>
      <c r="E1434" t="s">
        <v>2036</v>
      </c>
      <c r="F1434">
        <v>202111</v>
      </c>
      <c r="G1434" t="s">
        <v>184</v>
      </c>
      <c r="H1434">
        <v>4078</v>
      </c>
    </row>
    <row r="1435" spans="1:22">
      <c r="A1435">
        <v>5352</v>
      </c>
      <c r="B1435" t="s">
        <v>2625</v>
      </c>
      <c r="C1435">
        <v>5697</v>
      </c>
      <c r="D1435" t="s">
        <v>2344</v>
      </c>
      <c r="E1435" t="s">
        <v>2036</v>
      </c>
      <c r="F1435">
        <v>202111</v>
      </c>
      <c r="G1435" t="s">
        <v>192</v>
      </c>
      <c r="H1435">
        <v>0</v>
      </c>
    </row>
    <row r="1436" spans="1:22">
      <c r="A1436">
        <v>5352</v>
      </c>
      <c r="B1436" t="s">
        <v>2625</v>
      </c>
      <c r="C1436">
        <v>5697</v>
      </c>
      <c r="D1436" t="s">
        <v>2344</v>
      </c>
      <c r="E1436" t="s">
        <v>2036</v>
      </c>
      <c r="F1436">
        <v>202111</v>
      </c>
      <c r="G1436" t="s">
        <v>2170</v>
      </c>
      <c r="H1436">
        <v>425.51</v>
      </c>
    </row>
    <row r="1437" spans="1:22">
      <c r="A1437">
        <v>5352</v>
      </c>
      <c r="B1437" t="s">
        <v>2625</v>
      </c>
      <c r="C1437">
        <v>5697</v>
      </c>
      <c r="D1437" t="s">
        <v>2344</v>
      </c>
      <c r="E1437" t="s">
        <v>2036</v>
      </c>
      <c r="F1437">
        <v>202111</v>
      </c>
      <c r="G1437" t="s">
        <v>186</v>
      </c>
      <c r="H1437">
        <v>0</v>
      </c>
    </row>
    <row r="1438" spans="1:22">
      <c r="A1438">
        <v>5352</v>
      </c>
      <c r="B1438" t="s">
        <v>2625</v>
      </c>
      <c r="C1438">
        <v>5697</v>
      </c>
      <c r="D1438" t="s">
        <v>2344</v>
      </c>
      <c r="E1438" t="s">
        <v>2036</v>
      </c>
      <c r="F1438">
        <v>202111</v>
      </c>
      <c r="G1438" t="s">
        <v>2169</v>
      </c>
      <c r="H1438">
        <v>182.65</v>
      </c>
    </row>
    <row r="1439" spans="1:22">
      <c r="A1439">
        <v>5352</v>
      </c>
      <c r="B1439" t="s">
        <v>2625</v>
      </c>
      <c r="C1439">
        <v>5697</v>
      </c>
      <c r="D1439" t="s">
        <v>2344</v>
      </c>
      <c r="E1439" t="s">
        <v>2036</v>
      </c>
      <c r="F1439">
        <v>202111</v>
      </c>
      <c r="G1439" t="s">
        <v>2166</v>
      </c>
      <c r="H1439">
        <v>11.83</v>
      </c>
    </row>
    <row r="1440" spans="1:22">
      <c r="A1440">
        <v>5352</v>
      </c>
      <c r="B1440" t="s">
        <v>2625</v>
      </c>
      <c r="C1440">
        <v>5697</v>
      </c>
      <c r="D1440" t="s">
        <v>2344</v>
      </c>
      <c r="E1440" t="s">
        <v>2036</v>
      </c>
      <c r="F1440">
        <v>202111</v>
      </c>
      <c r="G1440" t="s">
        <v>2167</v>
      </c>
      <c r="H1440">
        <v>21.22</v>
      </c>
    </row>
    <row r="1441" spans="1:8">
      <c r="A1441">
        <v>5352</v>
      </c>
      <c r="B1441" t="s">
        <v>2625</v>
      </c>
      <c r="C1441">
        <v>5697</v>
      </c>
      <c r="D1441" t="s">
        <v>2344</v>
      </c>
      <c r="E1441" t="s">
        <v>2036</v>
      </c>
      <c r="F1441">
        <v>202111</v>
      </c>
      <c r="G1441" t="s">
        <v>2168</v>
      </c>
      <c r="H1441">
        <v>14.37</v>
      </c>
    </row>
    <row r="1442" spans="1:8">
      <c r="A1442">
        <v>5352</v>
      </c>
      <c r="B1442" t="s">
        <v>2625</v>
      </c>
      <c r="C1442">
        <v>5697</v>
      </c>
      <c r="D1442" t="s">
        <v>2344</v>
      </c>
      <c r="E1442" t="s">
        <v>2036</v>
      </c>
      <c r="F1442">
        <v>202111</v>
      </c>
      <c r="G1442" t="s">
        <v>2171</v>
      </c>
      <c r="H1442">
        <v>11446.5</v>
      </c>
    </row>
    <row r="1443" spans="1:8">
      <c r="A1443">
        <v>5352</v>
      </c>
      <c r="B1443" t="s">
        <v>2625</v>
      </c>
      <c r="C1443">
        <v>5697</v>
      </c>
      <c r="D1443" t="s">
        <v>2344</v>
      </c>
      <c r="E1443" t="s">
        <v>2036</v>
      </c>
      <c r="F1443">
        <v>202111</v>
      </c>
      <c r="G1443" t="s">
        <v>190</v>
      </c>
      <c r="H1443">
        <v>127641</v>
      </c>
    </row>
    <row r="1444" spans="1:8">
      <c r="A1444">
        <v>5352</v>
      </c>
      <c r="B1444" t="s">
        <v>2625</v>
      </c>
      <c r="C1444">
        <v>5697</v>
      </c>
      <c r="D1444" t="s">
        <v>2344</v>
      </c>
      <c r="E1444" t="s">
        <v>2036</v>
      </c>
      <c r="F1444">
        <v>202111</v>
      </c>
      <c r="G1444" t="s">
        <v>191</v>
      </c>
      <c r="H1444">
        <v>16022</v>
      </c>
    </row>
    <row r="1445" spans="1:8">
      <c r="A1445">
        <v>5352</v>
      </c>
      <c r="B1445" t="s">
        <v>2625</v>
      </c>
      <c r="C1445">
        <v>5697</v>
      </c>
      <c r="D1445" t="s">
        <v>2344</v>
      </c>
      <c r="E1445" t="s">
        <v>2036</v>
      </c>
      <c r="F1445">
        <v>202111</v>
      </c>
      <c r="G1445" t="s">
        <v>176</v>
      </c>
      <c r="H1445">
        <v>0</v>
      </c>
    </row>
    <row r="1446" spans="1:8">
      <c r="A1446">
        <v>5352</v>
      </c>
      <c r="B1446" t="s">
        <v>2625</v>
      </c>
      <c r="C1446">
        <v>5697</v>
      </c>
      <c r="D1446" t="s">
        <v>2344</v>
      </c>
      <c r="E1446" t="s">
        <v>2036</v>
      </c>
      <c r="F1446">
        <v>202111</v>
      </c>
      <c r="G1446" t="s">
        <v>178</v>
      </c>
      <c r="H1446">
        <v>450</v>
      </c>
    </row>
    <row r="1447" spans="1:8">
      <c r="A1447">
        <v>5352</v>
      </c>
      <c r="B1447" t="s">
        <v>2625</v>
      </c>
      <c r="C1447">
        <v>5697</v>
      </c>
      <c r="D1447" t="s">
        <v>2344</v>
      </c>
      <c r="E1447" t="s">
        <v>2036</v>
      </c>
      <c r="F1447">
        <v>202111</v>
      </c>
      <c r="G1447" t="s">
        <v>180</v>
      </c>
      <c r="H1447">
        <v>450</v>
      </c>
    </row>
    <row r="1448" spans="1:8">
      <c r="A1448">
        <v>5352</v>
      </c>
      <c r="B1448" t="s">
        <v>2625</v>
      </c>
      <c r="C1448">
        <v>5697</v>
      </c>
      <c r="D1448" t="s">
        <v>2344</v>
      </c>
      <c r="E1448" t="s">
        <v>2036</v>
      </c>
      <c r="F1448">
        <v>202111</v>
      </c>
      <c r="G1448" t="s">
        <v>182</v>
      </c>
      <c r="H1448">
        <v>127641</v>
      </c>
    </row>
    <row r="1449" spans="1:8">
      <c r="A1449">
        <v>5352</v>
      </c>
      <c r="B1449" t="s">
        <v>2625</v>
      </c>
      <c r="C1449">
        <v>5697</v>
      </c>
      <c r="D1449" t="s">
        <v>2344</v>
      </c>
      <c r="E1449" t="s">
        <v>2036</v>
      </c>
      <c r="F1449">
        <v>202111</v>
      </c>
      <c r="G1449" t="s">
        <v>184</v>
      </c>
      <c r="H1449">
        <v>16022</v>
      </c>
    </row>
    <row r="1450" spans="1:8">
      <c r="A1450">
        <v>5352</v>
      </c>
      <c r="B1450" t="s">
        <v>2625</v>
      </c>
      <c r="C1450">
        <v>5697</v>
      </c>
      <c r="D1450" t="s">
        <v>2344</v>
      </c>
      <c r="E1450" t="s">
        <v>2036</v>
      </c>
      <c r="F1450">
        <v>202111</v>
      </c>
      <c r="G1450" t="s">
        <v>192</v>
      </c>
      <c r="H1450">
        <v>0</v>
      </c>
    </row>
    <row r="1451" spans="1:8">
      <c r="A1451">
        <v>5352</v>
      </c>
      <c r="B1451" t="s">
        <v>2625</v>
      </c>
      <c r="C1451">
        <v>5697</v>
      </c>
      <c r="D1451" t="s">
        <v>2344</v>
      </c>
      <c r="E1451" t="s">
        <v>2036</v>
      </c>
      <c r="F1451">
        <v>202111</v>
      </c>
      <c r="G1451" t="s">
        <v>2170</v>
      </c>
      <c r="H1451">
        <v>1589.18</v>
      </c>
    </row>
    <row r="1452" spans="1:8">
      <c r="A1452">
        <v>5352</v>
      </c>
      <c r="B1452" t="s">
        <v>2625</v>
      </c>
      <c r="C1452">
        <v>5697</v>
      </c>
      <c r="D1452" t="s">
        <v>2344</v>
      </c>
      <c r="E1452" t="s">
        <v>2036</v>
      </c>
      <c r="F1452">
        <v>202111</v>
      </c>
      <c r="G1452" t="s">
        <v>186</v>
      </c>
      <c r="H1452">
        <v>0</v>
      </c>
    </row>
    <row r="1453" spans="1:8">
      <c r="A1453">
        <v>5352</v>
      </c>
      <c r="B1453" t="s">
        <v>2625</v>
      </c>
      <c r="C1453">
        <v>5697</v>
      </c>
      <c r="D1453" t="s">
        <v>2344</v>
      </c>
      <c r="E1453" t="s">
        <v>2036</v>
      </c>
      <c r="F1453">
        <v>202111</v>
      </c>
      <c r="G1453" t="s">
        <v>2169</v>
      </c>
      <c r="H1453">
        <v>182.65</v>
      </c>
    </row>
    <row r="1454" spans="1:8">
      <c r="A1454">
        <v>5352</v>
      </c>
      <c r="B1454" t="s">
        <v>2625</v>
      </c>
      <c r="C1454">
        <v>5697</v>
      </c>
      <c r="D1454" t="s">
        <v>2344</v>
      </c>
      <c r="E1454" t="s">
        <v>2036</v>
      </c>
      <c r="F1454">
        <v>202111</v>
      </c>
      <c r="G1454" t="s">
        <v>2166</v>
      </c>
      <c r="H1454">
        <v>11.83</v>
      </c>
    </row>
    <row r="1455" spans="1:8">
      <c r="A1455">
        <v>5352</v>
      </c>
      <c r="B1455" t="s">
        <v>2625</v>
      </c>
      <c r="C1455">
        <v>5697</v>
      </c>
      <c r="D1455" t="s">
        <v>2344</v>
      </c>
      <c r="E1455" t="s">
        <v>2036</v>
      </c>
      <c r="F1455">
        <v>202111</v>
      </c>
      <c r="G1455" t="s">
        <v>2167</v>
      </c>
      <c r="H1455">
        <v>21.22</v>
      </c>
    </row>
    <row r="1456" spans="1:8">
      <c r="A1456">
        <v>5352</v>
      </c>
      <c r="B1456" t="s">
        <v>2625</v>
      </c>
      <c r="C1456">
        <v>5697</v>
      </c>
      <c r="D1456" t="s">
        <v>2344</v>
      </c>
      <c r="E1456" t="s">
        <v>2036</v>
      </c>
      <c r="F1456">
        <v>202111</v>
      </c>
      <c r="G1456" t="s">
        <v>2168</v>
      </c>
      <c r="H1456">
        <v>14.37</v>
      </c>
    </row>
    <row r="1457" spans="1:8">
      <c r="A1457">
        <v>5352</v>
      </c>
      <c r="B1457" t="s">
        <v>2625</v>
      </c>
      <c r="C1457">
        <v>5697</v>
      </c>
      <c r="D1457" t="s">
        <v>2344</v>
      </c>
      <c r="E1457" t="s">
        <v>2036</v>
      </c>
      <c r="F1457">
        <v>202111</v>
      </c>
      <c r="G1457" t="s">
        <v>2171</v>
      </c>
      <c r="H1457">
        <v>44766.14</v>
      </c>
    </row>
    <row r="1458" spans="1:8">
      <c r="A1458">
        <v>5352</v>
      </c>
      <c r="B1458" t="s">
        <v>2625</v>
      </c>
      <c r="C1458">
        <v>5697</v>
      </c>
      <c r="D1458" t="s">
        <v>2344</v>
      </c>
      <c r="E1458" t="s">
        <v>2036</v>
      </c>
      <c r="F1458">
        <v>202111</v>
      </c>
      <c r="G1458" t="s">
        <v>190</v>
      </c>
      <c r="H1458">
        <v>102457</v>
      </c>
    </row>
    <row r="1459" spans="1:8">
      <c r="A1459">
        <v>5352</v>
      </c>
      <c r="B1459" t="s">
        <v>2625</v>
      </c>
      <c r="C1459">
        <v>5697</v>
      </c>
      <c r="D1459" t="s">
        <v>2344</v>
      </c>
      <c r="E1459" t="s">
        <v>2036</v>
      </c>
      <c r="F1459">
        <v>202111</v>
      </c>
      <c r="G1459" t="s">
        <v>191</v>
      </c>
      <c r="H1459">
        <v>13227</v>
      </c>
    </row>
    <row r="1460" spans="1:8">
      <c r="A1460">
        <v>5352</v>
      </c>
      <c r="B1460" t="s">
        <v>2625</v>
      </c>
      <c r="C1460">
        <v>5697</v>
      </c>
      <c r="D1460" t="s">
        <v>2344</v>
      </c>
      <c r="E1460" t="s">
        <v>2036</v>
      </c>
      <c r="F1460">
        <v>202111</v>
      </c>
      <c r="G1460" t="s">
        <v>176</v>
      </c>
      <c r="H1460">
        <v>0</v>
      </c>
    </row>
    <row r="1461" spans="1:8">
      <c r="A1461">
        <v>5352</v>
      </c>
      <c r="B1461" t="s">
        <v>2625</v>
      </c>
      <c r="C1461">
        <v>5697</v>
      </c>
      <c r="D1461" t="s">
        <v>2344</v>
      </c>
      <c r="E1461" t="s">
        <v>2036</v>
      </c>
      <c r="F1461">
        <v>202111</v>
      </c>
      <c r="G1461" t="s">
        <v>178</v>
      </c>
      <c r="H1461">
        <v>320</v>
      </c>
    </row>
    <row r="1462" spans="1:8">
      <c r="A1462">
        <v>5352</v>
      </c>
      <c r="B1462" t="s">
        <v>2625</v>
      </c>
      <c r="C1462">
        <v>5697</v>
      </c>
      <c r="D1462" t="s">
        <v>2344</v>
      </c>
      <c r="E1462" t="s">
        <v>2036</v>
      </c>
      <c r="F1462">
        <v>202111</v>
      </c>
      <c r="G1462" t="s">
        <v>180</v>
      </c>
      <c r="H1462">
        <v>320</v>
      </c>
    </row>
    <row r="1463" spans="1:8">
      <c r="A1463">
        <v>5352</v>
      </c>
      <c r="B1463" t="s">
        <v>2625</v>
      </c>
      <c r="C1463">
        <v>5697</v>
      </c>
      <c r="D1463" t="s">
        <v>2344</v>
      </c>
      <c r="E1463" t="s">
        <v>2036</v>
      </c>
      <c r="F1463">
        <v>202111</v>
      </c>
      <c r="G1463" t="s">
        <v>182</v>
      </c>
      <c r="H1463">
        <v>102457</v>
      </c>
    </row>
    <row r="1464" spans="1:8">
      <c r="A1464">
        <v>5352</v>
      </c>
      <c r="B1464" t="s">
        <v>2625</v>
      </c>
      <c r="C1464">
        <v>5697</v>
      </c>
      <c r="D1464" t="s">
        <v>2344</v>
      </c>
      <c r="E1464" t="s">
        <v>2036</v>
      </c>
      <c r="F1464">
        <v>202111</v>
      </c>
      <c r="G1464" t="s">
        <v>184</v>
      </c>
      <c r="H1464">
        <v>13227</v>
      </c>
    </row>
    <row r="1465" spans="1:8">
      <c r="A1465">
        <v>5352</v>
      </c>
      <c r="B1465" t="s">
        <v>2625</v>
      </c>
      <c r="C1465">
        <v>5697</v>
      </c>
      <c r="D1465" t="s">
        <v>2344</v>
      </c>
      <c r="E1465" t="s">
        <v>2036</v>
      </c>
      <c r="F1465">
        <v>202111</v>
      </c>
      <c r="G1465" t="s">
        <v>192</v>
      </c>
      <c r="H1465">
        <v>0</v>
      </c>
    </row>
    <row r="1466" spans="1:8">
      <c r="A1466">
        <v>5352</v>
      </c>
      <c r="B1466" t="s">
        <v>2625</v>
      </c>
      <c r="C1466">
        <v>5697</v>
      </c>
      <c r="D1466" t="s">
        <v>2344</v>
      </c>
      <c r="E1466" t="s">
        <v>2036</v>
      </c>
      <c r="F1466">
        <v>202111</v>
      </c>
      <c r="G1466" t="s">
        <v>2170</v>
      </c>
      <c r="H1466">
        <v>1228.1600000000001</v>
      </c>
    </row>
    <row r="1467" spans="1:8">
      <c r="A1467">
        <v>5352</v>
      </c>
      <c r="B1467" t="s">
        <v>2625</v>
      </c>
      <c r="C1467">
        <v>5697</v>
      </c>
      <c r="D1467" t="s">
        <v>2344</v>
      </c>
      <c r="E1467" t="s">
        <v>2036</v>
      </c>
      <c r="F1467">
        <v>202111</v>
      </c>
      <c r="G1467" t="s">
        <v>186</v>
      </c>
      <c r="H1467">
        <v>0</v>
      </c>
    </row>
    <row r="1468" spans="1:8">
      <c r="A1468">
        <v>5352</v>
      </c>
      <c r="B1468" t="s">
        <v>2625</v>
      </c>
      <c r="C1468">
        <v>5697</v>
      </c>
      <c r="D1468" t="s">
        <v>2344</v>
      </c>
      <c r="E1468" t="s">
        <v>2036</v>
      </c>
      <c r="F1468">
        <v>202111</v>
      </c>
      <c r="G1468" t="s">
        <v>2169</v>
      </c>
      <c r="H1468">
        <v>182.65</v>
      </c>
    </row>
    <row r="1469" spans="1:8">
      <c r="A1469">
        <v>5352</v>
      </c>
      <c r="B1469" t="s">
        <v>2625</v>
      </c>
      <c r="C1469">
        <v>5697</v>
      </c>
      <c r="D1469" t="s">
        <v>2344</v>
      </c>
      <c r="E1469" t="s">
        <v>2036</v>
      </c>
      <c r="F1469">
        <v>202111</v>
      </c>
      <c r="G1469" t="s">
        <v>2166</v>
      </c>
      <c r="H1469">
        <v>11.83</v>
      </c>
    </row>
    <row r="1470" spans="1:8">
      <c r="A1470">
        <v>5352</v>
      </c>
      <c r="B1470" t="s">
        <v>2625</v>
      </c>
      <c r="C1470">
        <v>5697</v>
      </c>
      <c r="D1470" t="s">
        <v>2344</v>
      </c>
      <c r="E1470" t="s">
        <v>2036</v>
      </c>
      <c r="F1470">
        <v>202111</v>
      </c>
      <c r="G1470" t="s">
        <v>2167</v>
      </c>
      <c r="H1470">
        <v>21.22</v>
      </c>
    </row>
    <row r="1471" spans="1:8">
      <c r="A1471">
        <v>5352</v>
      </c>
      <c r="B1471" t="s">
        <v>2625</v>
      </c>
      <c r="C1471">
        <v>5697</v>
      </c>
      <c r="D1471" t="s">
        <v>2344</v>
      </c>
      <c r="E1471" t="s">
        <v>2036</v>
      </c>
      <c r="F1471">
        <v>202111</v>
      </c>
      <c r="G1471" t="s">
        <v>2168</v>
      </c>
      <c r="H1471">
        <v>14.37</v>
      </c>
    </row>
    <row r="1472" spans="1:8">
      <c r="A1472">
        <v>5352</v>
      </c>
      <c r="B1472" t="s">
        <v>2625</v>
      </c>
      <c r="C1472">
        <v>5697</v>
      </c>
      <c r="D1472" t="s">
        <v>2344</v>
      </c>
      <c r="E1472" t="s">
        <v>2036</v>
      </c>
      <c r="F1472">
        <v>202111</v>
      </c>
      <c r="G1472" t="s">
        <v>2171</v>
      </c>
      <c r="H1472">
        <v>34596.21</v>
      </c>
    </row>
    <row r="1473" spans="1:8">
      <c r="A1473">
        <v>5352</v>
      </c>
      <c r="B1473" t="s">
        <v>2625</v>
      </c>
      <c r="C1473">
        <v>5697</v>
      </c>
      <c r="D1473" t="s">
        <v>2344</v>
      </c>
      <c r="E1473" t="s">
        <v>2036</v>
      </c>
      <c r="F1473">
        <v>202111</v>
      </c>
      <c r="G1473" t="s">
        <v>190</v>
      </c>
      <c r="H1473">
        <v>280690</v>
      </c>
    </row>
    <row r="1474" spans="1:8">
      <c r="A1474">
        <v>5352</v>
      </c>
      <c r="B1474" t="s">
        <v>2625</v>
      </c>
      <c r="C1474">
        <v>5697</v>
      </c>
      <c r="D1474" t="s">
        <v>2344</v>
      </c>
      <c r="E1474" t="s">
        <v>2036</v>
      </c>
      <c r="F1474">
        <v>202111</v>
      </c>
      <c r="G1474" t="s">
        <v>191</v>
      </c>
      <c r="H1474">
        <v>35017</v>
      </c>
    </row>
    <row r="1475" spans="1:8">
      <c r="A1475">
        <v>5352</v>
      </c>
      <c r="B1475" t="s">
        <v>2625</v>
      </c>
      <c r="C1475">
        <v>5697</v>
      </c>
      <c r="D1475" t="s">
        <v>2344</v>
      </c>
      <c r="E1475" t="s">
        <v>2036</v>
      </c>
      <c r="F1475">
        <v>202111</v>
      </c>
      <c r="G1475" t="s">
        <v>176</v>
      </c>
      <c r="H1475">
        <v>0</v>
      </c>
    </row>
    <row r="1476" spans="1:8">
      <c r="A1476">
        <v>5352</v>
      </c>
      <c r="B1476" t="s">
        <v>2625</v>
      </c>
      <c r="C1476">
        <v>5697</v>
      </c>
      <c r="D1476" t="s">
        <v>2344</v>
      </c>
      <c r="E1476" t="s">
        <v>2036</v>
      </c>
      <c r="F1476">
        <v>202111</v>
      </c>
      <c r="G1476" t="s">
        <v>178</v>
      </c>
      <c r="H1476">
        <v>820</v>
      </c>
    </row>
    <row r="1477" spans="1:8">
      <c r="A1477">
        <v>5352</v>
      </c>
      <c r="B1477" t="s">
        <v>2625</v>
      </c>
      <c r="C1477">
        <v>5697</v>
      </c>
      <c r="D1477" t="s">
        <v>2344</v>
      </c>
      <c r="E1477" t="s">
        <v>2036</v>
      </c>
      <c r="F1477">
        <v>202111</v>
      </c>
      <c r="G1477" t="s">
        <v>180</v>
      </c>
      <c r="H1477">
        <v>820</v>
      </c>
    </row>
    <row r="1478" spans="1:8">
      <c r="A1478">
        <v>5352</v>
      </c>
      <c r="B1478" t="s">
        <v>2625</v>
      </c>
      <c r="C1478">
        <v>5697</v>
      </c>
      <c r="D1478" t="s">
        <v>2344</v>
      </c>
      <c r="E1478" t="s">
        <v>2036</v>
      </c>
      <c r="F1478">
        <v>202111</v>
      </c>
      <c r="G1478" t="s">
        <v>182</v>
      </c>
      <c r="H1478">
        <v>280690</v>
      </c>
    </row>
    <row r="1479" spans="1:8">
      <c r="A1479">
        <v>5352</v>
      </c>
      <c r="B1479" t="s">
        <v>2625</v>
      </c>
      <c r="C1479">
        <v>5697</v>
      </c>
      <c r="D1479" t="s">
        <v>2344</v>
      </c>
      <c r="E1479" t="s">
        <v>2036</v>
      </c>
      <c r="F1479">
        <v>202111</v>
      </c>
      <c r="G1479" t="s">
        <v>184</v>
      </c>
      <c r="H1479">
        <v>35017</v>
      </c>
    </row>
    <row r="1480" spans="1:8">
      <c r="A1480">
        <v>5352</v>
      </c>
      <c r="B1480" t="s">
        <v>2625</v>
      </c>
      <c r="C1480">
        <v>5697</v>
      </c>
      <c r="D1480" t="s">
        <v>2344</v>
      </c>
      <c r="E1480" t="s">
        <v>2036</v>
      </c>
      <c r="F1480">
        <v>202111</v>
      </c>
      <c r="G1480" t="s">
        <v>192</v>
      </c>
      <c r="H1480">
        <v>0</v>
      </c>
    </row>
    <row r="1481" spans="1:8">
      <c r="A1481">
        <v>5352</v>
      </c>
      <c r="B1481" t="s">
        <v>2625</v>
      </c>
      <c r="C1481">
        <v>5697</v>
      </c>
      <c r="D1481" t="s">
        <v>2344</v>
      </c>
      <c r="E1481" t="s">
        <v>2036</v>
      </c>
      <c r="F1481">
        <v>202111</v>
      </c>
      <c r="G1481" t="s">
        <v>2170</v>
      </c>
      <c r="H1481">
        <v>3286.89</v>
      </c>
    </row>
    <row r="1482" spans="1:8">
      <c r="A1482">
        <v>5352</v>
      </c>
      <c r="B1482" t="s">
        <v>2625</v>
      </c>
      <c r="C1482">
        <v>5697</v>
      </c>
      <c r="D1482" t="s">
        <v>2344</v>
      </c>
      <c r="E1482" t="s">
        <v>2036</v>
      </c>
      <c r="F1482">
        <v>202111</v>
      </c>
      <c r="G1482" t="s">
        <v>186</v>
      </c>
      <c r="H1482">
        <v>0</v>
      </c>
    </row>
    <row r="1483" spans="1:8">
      <c r="A1483">
        <v>5352</v>
      </c>
      <c r="B1483" t="s">
        <v>2625</v>
      </c>
      <c r="C1483">
        <v>5697</v>
      </c>
      <c r="D1483" t="s">
        <v>2344</v>
      </c>
      <c r="E1483" t="s">
        <v>2036</v>
      </c>
      <c r="F1483">
        <v>202111</v>
      </c>
      <c r="G1483" t="s">
        <v>2169</v>
      </c>
      <c r="H1483">
        <v>182.65</v>
      </c>
    </row>
    <row r="1484" spans="1:8">
      <c r="A1484">
        <v>5352</v>
      </c>
      <c r="B1484" t="s">
        <v>2625</v>
      </c>
      <c r="C1484">
        <v>5697</v>
      </c>
      <c r="D1484" t="s">
        <v>2344</v>
      </c>
      <c r="E1484" t="s">
        <v>2036</v>
      </c>
      <c r="F1484">
        <v>202111</v>
      </c>
      <c r="G1484" t="s">
        <v>2166</v>
      </c>
      <c r="H1484">
        <v>11.83</v>
      </c>
    </row>
    <row r="1485" spans="1:8">
      <c r="A1485">
        <v>5352</v>
      </c>
      <c r="B1485" t="s">
        <v>2625</v>
      </c>
      <c r="C1485">
        <v>5697</v>
      </c>
      <c r="D1485" t="s">
        <v>2344</v>
      </c>
      <c r="E1485" t="s">
        <v>2036</v>
      </c>
      <c r="F1485">
        <v>202111</v>
      </c>
      <c r="G1485" t="s">
        <v>2167</v>
      </c>
      <c r="H1485">
        <v>21.22</v>
      </c>
    </row>
    <row r="1486" spans="1:8">
      <c r="A1486">
        <v>5352</v>
      </c>
      <c r="B1486" t="s">
        <v>2625</v>
      </c>
      <c r="C1486">
        <v>5697</v>
      </c>
      <c r="D1486" t="s">
        <v>2344</v>
      </c>
      <c r="E1486" t="s">
        <v>2036</v>
      </c>
      <c r="F1486">
        <v>202111</v>
      </c>
      <c r="G1486" t="s">
        <v>2168</v>
      </c>
      <c r="H1486">
        <v>14.37</v>
      </c>
    </row>
    <row r="1487" spans="1:8">
      <c r="A1487">
        <v>5352</v>
      </c>
      <c r="B1487" t="s">
        <v>2625</v>
      </c>
      <c r="C1487">
        <v>5697</v>
      </c>
      <c r="D1487" t="s">
        <v>2344</v>
      </c>
      <c r="E1487" t="s">
        <v>2036</v>
      </c>
      <c r="F1487">
        <v>202111</v>
      </c>
      <c r="G1487" t="s">
        <v>2171</v>
      </c>
      <c r="H1487">
        <v>92588.46</v>
      </c>
    </row>
    <row r="1488" spans="1:8">
      <c r="A1488">
        <v>5352</v>
      </c>
      <c r="B1488" t="s">
        <v>2625</v>
      </c>
      <c r="C1488">
        <v>5697</v>
      </c>
      <c r="D1488" t="s">
        <v>2344</v>
      </c>
      <c r="E1488" t="s">
        <v>2036</v>
      </c>
      <c r="F1488">
        <v>202111</v>
      </c>
      <c r="G1488" t="s">
        <v>190</v>
      </c>
      <c r="H1488">
        <v>141800</v>
      </c>
    </row>
    <row r="1489" spans="1:8">
      <c r="A1489">
        <v>5352</v>
      </c>
      <c r="B1489" t="s">
        <v>2625</v>
      </c>
      <c r="C1489">
        <v>5697</v>
      </c>
      <c r="D1489" t="s">
        <v>2344</v>
      </c>
      <c r="E1489" t="s">
        <v>2036</v>
      </c>
      <c r="F1489">
        <v>202111</v>
      </c>
      <c r="G1489" t="s">
        <v>191</v>
      </c>
      <c r="H1489">
        <v>18664</v>
      </c>
    </row>
    <row r="1490" spans="1:8">
      <c r="A1490">
        <v>5352</v>
      </c>
      <c r="B1490" t="s">
        <v>2625</v>
      </c>
      <c r="C1490">
        <v>5697</v>
      </c>
      <c r="D1490" t="s">
        <v>2344</v>
      </c>
      <c r="E1490" t="s">
        <v>2036</v>
      </c>
      <c r="F1490">
        <v>202111</v>
      </c>
      <c r="G1490" t="s">
        <v>176</v>
      </c>
      <c r="H1490">
        <v>0</v>
      </c>
    </row>
    <row r="1491" spans="1:8">
      <c r="A1491">
        <v>5352</v>
      </c>
      <c r="B1491" t="s">
        <v>2625</v>
      </c>
      <c r="C1491">
        <v>5697</v>
      </c>
      <c r="D1491" t="s">
        <v>2344</v>
      </c>
      <c r="E1491" t="s">
        <v>2036</v>
      </c>
      <c r="F1491">
        <v>202111</v>
      </c>
      <c r="G1491" t="s">
        <v>178</v>
      </c>
      <c r="H1491">
        <v>600</v>
      </c>
    </row>
    <row r="1492" spans="1:8">
      <c r="A1492">
        <v>5352</v>
      </c>
      <c r="B1492" t="s">
        <v>2625</v>
      </c>
      <c r="C1492">
        <v>5697</v>
      </c>
      <c r="D1492" t="s">
        <v>2344</v>
      </c>
      <c r="E1492" t="s">
        <v>2036</v>
      </c>
      <c r="F1492">
        <v>202111</v>
      </c>
      <c r="G1492" t="s">
        <v>180</v>
      </c>
      <c r="H1492">
        <v>600</v>
      </c>
    </row>
    <row r="1493" spans="1:8">
      <c r="A1493">
        <v>5352</v>
      </c>
      <c r="B1493" t="s">
        <v>2625</v>
      </c>
      <c r="C1493">
        <v>5697</v>
      </c>
      <c r="D1493" t="s">
        <v>2344</v>
      </c>
      <c r="E1493" t="s">
        <v>2036</v>
      </c>
      <c r="F1493">
        <v>202111</v>
      </c>
      <c r="G1493" t="s">
        <v>182</v>
      </c>
      <c r="H1493">
        <v>141800</v>
      </c>
    </row>
    <row r="1494" spans="1:8">
      <c r="A1494">
        <v>5352</v>
      </c>
      <c r="B1494" t="s">
        <v>2625</v>
      </c>
      <c r="C1494">
        <v>5697</v>
      </c>
      <c r="D1494" t="s">
        <v>2344</v>
      </c>
      <c r="E1494" t="s">
        <v>2036</v>
      </c>
      <c r="F1494">
        <v>202111</v>
      </c>
      <c r="G1494" t="s">
        <v>184</v>
      </c>
      <c r="H1494">
        <v>18664</v>
      </c>
    </row>
    <row r="1495" spans="1:8">
      <c r="A1495">
        <v>5352</v>
      </c>
      <c r="B1495" t="s">
        <v>2625</v>
      </c>
      <c r="C1495">
        <v>5697</v>
      </c>
      <c r="D1495" t="s">
        <v>2344</v>
      </c>
      <c r="E1495" t="s">
        <v>2036</v>
      </c>
      <c r="F1495">
        <v>202111</v>
      </c>
      <c r="G1495" t="s">
        <v>192</v>
      </c>
      <c r="H1495">
        <v>0</v>
      </c>
    </row>
    <row r="1496" spans="1:8">
      <c r="A1496">
        <v>5352</v>
      </c>
      <c r="B1496" t="s">
        <v>2625</v>
      </c>
      <c r="C1496">
        <v>5697</v>
      </c>
      <c r="D1496" t="s">
        <v>2344</v>
      </c>
      <c r="E1496" t="s">
        <v>2036</v>
      </c>
      <c r="F1496">
        <v>202111</v>
      </c>
      <c r="G1496" t="s">
        <v>2170</v>
      </c>
      <c r="H1496">
        <v>1893.5</v>
      </c>
    </row>
    <row r="1497" spans="1:8">
      <c r="A1497">
        <v>5352</v>
      </c>
      <c r="B1497" t="s">
        <v>2625</v>
      </c>
      <c r="C1497">
        <v>5697</v>
      </c>
      <c r="D1497" t="s">
        <v>2344</v>
      </c>
      <c r="E1497" t="s">
        <v>2036</v>
      </c>
      <c r="F1497">
        <v>202111</v>
      </c>
      <c r="G1497" t="s">
        <v>186</v>
      </c>
      <c r="H1497">
        <v>0</v>
      </c>
    </row>
    <row r="1498" spans="1:8">
      <c r="A1498">
        <v>5352</v>
      </c>
      <c r="B1498" t="s">
        <v>2625</v>
      </c>
      <c r="C1498">
        <v>5697</v>
      </c>
      <c r="D1498" t="s">
        <v>2344</v>
      </c>
      <c r="E1498" t="s">
        <v>2036</v>
      </c>
      <c r="F1498">
        <v>202111</v>
      </c>
      <c r="G1498" t="s">
        <v>2169</v>
      </c>
      <c r="H1498">
        <v>182.65</v>
      </c>
    </row>
    <row r="1499" spans="1:8">
      <c r="A1499">
        <v>5352</v>
      </c>
      <c r="B1499" t="s">
        <v>2625</v>
      </c>
      <c r="C1499">
        <v>5697</v>
      </c>
      <c r="D1499" t="s">
        <v>2344</v>
      </c>
      <c r="E1499" t="s">
        <v>2036</v>
      </c>
      <c r="F1499">
        <v>202111</v>
      </c>
      <c r="G1499" t="s">
        <v>2166</v>
      </c>
      <c r="H1499">
        <v>11.83</v>
      </c>
    </row>
    <row r="1500" spans="1:8">
      <c r="A1500">
        <v>5352</v>
      </c>
      <c r="B1500" t="s">
        <v>2625</v>
      </c>
      <c r="C1500">
        <v>5697</v>
      </c>
      <c r="D1500" t="s">
        <v>2344</v>
      </c>
      <c r="E1500" t="s">
        <v>2036</v>
      </c>
      <c r="F1500">
        <v>202111</v>
      </c>
      <c r="G1500" t="s">
        <v>2167</v>
      </c>
      <c r="H1500">
        <v>21.22</v>
      </c>
    </row>
    <row r="1501" spans="1:8">
      <c r="A1501">
        <v>5352</v>
      </c>
      <c r="B1501" t="s">
        <v>2625</v>
      </c>
      <c r="C1501">
        <v>5697</v>
      </c>
      <c r="D1501" t="s">
        <v>2344</v>
      </c>
      <c r="E1501" t="s">
        <v>2036</v>
      </c>
      <c r="F1501">
        <v>202111</v>
      </c>
      <c r="G1501" t="s">
        <v>2168</v>
      </c>
      <c r="H1501">
        <v>14.37</v>
      </c>
    </row>
    <row r="1502" spans="1:8">
      <c r="A1502">
        <v>5352</v>
      </c>
      <c r="B1502" t="s">
        <v>2625</v>
      </c>
      <c r="C1502">
        <v>5697</v>
      </c>
      <c r="D1502" t="s">
        <v>2344</v>
      </c>
      <c r="E1502" t="s">
        <v>2036</v>
      </c>
      <c r="F1502">
        <v>202111</v>
      </c>
      <c r="G1502" t="s">
        <v>2171</v>
      </c>
      <c r="H1502">
        <v>53338.1</v>
      </c>
    </row>
    <row r="1503" spans="1:8">
      <c r="A1503">
        <v>5352</v>
      </c>
      <c r="B1503" t="s">
        <v>2625</v>
      </c>
      <c r="C1503">
        <v>5697</v>
      </c>
      <c r="D1503" t="s">
        <v>2344</v>
      </c>
      <c r="E1503" t="s">
        <v>2036</v>
      </c>
      <c r="F1503">
        <v>202111</v>
      </c>
      <c r="G1503" t="s">
        <v>190</v>
      </c>
      <c r="H1503">
        <v>256958</v>
      </c>
    </row>
    <row r="1504" spans="1:8">
      <c r="A1504">
        <v>5352</v>
      </c>
      <c r="B1504" t="s">
        <v>2625</v>
      </c>
      <c r="C1504">
        <v>5697</v>
      </c>
      <c r="D1504" t="s">
        <v>2344</v>
      </c>
      <c r="E1504" t="s">
        <v>2036</v>
      </c>
      <c r="F1504">
        <v>202111</v>
      </c>
      <c r="G1504" t="s">
        <v>191</v>
      </c>
      <c r="H1504">
        <v>32241</v>
      </c>
    </row>
    <row r="1505" spans="1:8">
      <c r="A1505">
        <v>5352</v>
      </c>
      <c r="B1505" t="s">
        <v>2625</v>
      </c>
      <c r="C1505">
        <v>5697</v>
      </c>
      <c r="D1505" t="s">
        <v>2344</v>
      </c>
      <c r="E1505" t="s">
        <v>2036</v>
      </c>
      <c r="F1505">
        <v>202111</v>
      </c>
      <c r="G1505" t="s">
        <v>176</v>
      </c>
      <c r="H1505">
        <v>-458.82</v>
      </c>
    </row>
    <row r="1506" spans="1:8">
      <c r="A1506">
        <v>5352</v>
      </c>
      <c r="B1506" t="s">
        <v>2625</v>
      </c>
      <c r="C1506">
        <v>5697</v>
      </c>
      <c r="D1506" t="s">
        <v>2344</v>
      </c>
      <c r="E1506" t="s">
        <v>2036</v>
      </c>
      <c r="F1506">
        <v>202111</v>
      </c>
      <c r="G1506" t="s">
        <v>178</v>
      </c>
      <c r="H1506">
        <v>735</v>
      </c>
    </row>
    <row r="1507" spans="1:8">
      <c r="A1507">
        <v>5352</v>
      </c>
      <c r="B1507" t="s">
        <v>2625</v>
      </c>
      <c r="C1507">
        <v>5697</v>
      </c>
      <c r="D1507" t="s">
        <v>2344</v>
      </c>
      <c r="E1507" t="s">
        <v>2036</v>
      </c>
      <c r="F1507">
        <v>202111</v>
      </c>
      <c r="G1507" t="s">
        <v>180</v>
      </c>
      <c r="H1507">
        <v>699</v>
      </c>
    </row>
    <row r="1508" spans="1:8">
      <c r="A1508">
        <v>5352</v>
      </c>
      <c r="B1508" t="s">
        <v>2625</v>
      </c>
      <c r="C1508">
        <v>5697</v>
      </c>
      <c r="D1508" t="s">
        <v>2344</v>
      </c>
      <c r="E1508" t="s">
        <v>2036</v>
      </c>
      <c r="F1508">
        <v>202111</v>
      </c>
      <c r="G1508" t="s">
        <v>182</v>
      </c>
      <c r="H1508">
        <v>256958</v>
      </c>
    </row>
    <row r="1509" spans="1:8">
      <c r="A1509">
        <v>5352</v>
      </c>
      <c r="B1509" t="s">
        <v>2625</v>
      </c>
      <c r="C1509">
        <v>5697</v>
      </c>
      <c r="D1509" t="s">
        <v>2344</v>
      </c>
      <c r="E1509" t="s">
        <v>2036</v>
      </c>
      <c r="F1509">
        <v>202111</v>
      </c>
      <c r="G1509" t="s">
        <v>184</v>
      </c>
      <c r="H1509">
        <v>32241</v>
      </c>
    </row>
    <row r="1510" spans="1:8">
      <c r="A1510">
        <v>5352</v>
      </c>
      <c r="B1510" t="s">
        <v>2625</v>
      </c>
      <c r="C1510">
        <v>5697</v>
      </c>
      <c r="D1510" t="s">
        <v>2344</v>
      </c>
      <c r="E1510" t="s">
        <v>2036</v>
      </c>
      <c r="F1510">
        <v>202111</v>
      </c>
      <c r="G1510" t="s">
        <v>192</v>
      </c>
      <c r="H1510">
        <v>0</v>
      </c>
    </row>
    <row r="1511" spans="1:8">
      <c r="A1511">
        <v>5352</v>
      </c>
      <c r="B1511" t="s">
        <v>2625</v>
      </c>
      <c r="C1511">
        <v>5697</v>
      </c>
      <c r="D1511" t="s">
        <v>2344</v>
      </c>
      <c r="E1511" t="s">
        <v>2036</v>
      </c>
      <c r="F1511">
        <v>202111</v>
      </c>
      <c r="G1511" t="s">
        <v>2170</v>
      </c>
      <c r="H1511">
        <v>2963.47</v>
      </c>
    </row>
    <row r="1512" spans="1:8">
      <c r="A1512">
        <v>5352</v>
      </c>
      <c r="B1512" t="s">
        <v>2625</v>
      </c>
      <c r="C1512">
        <v>5697</v>
      </c>
      <c r="D1512" t="s">
        <v>2344</v>
      </c>
      <c r="E1512" t="s">
        <v>2036</v>
      </c>
      <c r="F1512">
        <v>202111</v>
      </c>
      <c r="G1512" t="s">
        <v>186</v>
      </c>
      <c r="H1512">
        <v>0</v>
      </c>
    </row>
    <row r="1513" spans="1:8">
      <c r="A1513">
        <v>5352</v>
      </c>
      <c r="B1513" t="s">
        <v>2625</v>
      </c>
      <c r="C1513">
        <v>5697</v>
      </c>
      <c r="D1513" t="s">
        <v>2344</v>
      </c>
      <c r="E1513" t="s">
        <v>2036</v>
      </c>
      <c r="F1513">
        <v>202111</v>
      </c>
      <c r="G1513" t="s">
        <v>2169</v>
      </c>
      <c r="H1513">
        <v>182.65</v>
      </c>
    </row>
    <row r="1514" spans="1:8">
      <c r="A1514">
        <v>5352</v>
      </c>
      <c r="B1514" t="s">
        <v>2625</v>
      </c>
      <c r="C1514">
        <v>5697</v>
      </c>
      <c r="D1514" t="s">
        <v>2344</v>
      </c>
      <c r="E1514" t="s">
        <v>2036</v>
      </c>
      <c r="F1514">
        <v>202111</v>
      </c>
      <c r="G1514" t="s">
        <v>2166</v>
      </c>
      <c r="H1514">
        <v>11.83</v>
      </c>
    </row>
    <row r="1515" spans="1:8">
      <c r="A1515">
        <v>5352</v>
      </c>
      <c r="B1515" t="s">
        <v>2625</v>
      </c>
      <c r="C1515">
        <v>5697</v>
      </c>
      <c r="D1515" t="s">
        <v>2344</v>
      </c>
      <c r="E1515" t="s">
        <v>2036</v>
      </c>
      <c r="F1515">
        <v>202111</v>
      </c>
      <c r="G1515" t="s">
        <v>2167</v>
      </c>
      <c r="H1515">
        <v>21.22</v>
      </c>
    </row>
    <row r="1516" spans="1:8">
      <c r="A1516">
        <v>5352</v>
      </c>
      <c r="B1516" t="s">
        <v>2625</v>
      </c>
      <c r="C1516">
        <v>5697</v>
      </c>
      <c r="D1516" t="s">
        <v>2344</v>
      </c>
      <c r="E1516" t="s">
        <v>2036</v>
      </c>
      <c r="F1516">
        <v>202111</v>
      </c>
      <c r="G1516" t="s">
        <v>2168</v>
      </c>
      <c r="H1516">
        <v>14.37</v>
      </c>
    </row>
    <row r="1517" spans="1:8">
      <c r="A1517">
        <v>5352</v>
      </c>
      <c r="B1517" t="s">
        <v>2625</v>
      </c>
      <c r="C1517">
        <v>5697</v>
      </c>
      <c r="D1517" t="s">
        <v>2344</v>
      </c>
      <c r="E1517" t="s">
        <v>2036</v>
      </c>
      <c r="F1517">
        <v>202111</v>
      </c>
      <c r="G1517" t="s">
        <v>2171</v>
      </c>
      <c r="H1517">
        <v>83018.92</v>
      </c>
    </row>
    <row r="1518" spans="1:8">
      <c r="A1518">
        <v>5352</v>
      </c>
      <c r="B1518" t="s">
        <v>2625</v>
      </c>
      <c r="C1518">
        <v>5697</v>
      </c>
      <c r="D1518" t="s">
        <v>2344</v>
      </c>
      <c r="E1518" t="s">
        <v>2036</v>
      </c>
      <c r="F1518">
        <v>202112</v>
      </c>
      <c r="G1518" t="s">
        <v>190</v>
      </c>
      <c r="H1518">
        <v>143099</v>
      </c>
    </row>
    <row r="1519" spans="1:8">
      <c r="A1519">
        <v>5352</v>
      </c>
      <c r="B1519" t="s">
        <v>2625</v>
      </c>
      <c r="C1519">
        <v>5697</v>
      </c>
      <c r="D1519" t="s">
        <v>2344</v>
      </c>
      <c r="E1519" t="s">
        <v>2036</v>
      </c>
      <c r="F1519">
        <v>202112</v>
      </c>
      <c r="G1519" t="s">
        <v>191</v>
      </c>
      <c r="H1519">
        <v>19614</v>
      </c>
    </row>
    <row r="1520" spans="1:8">
      <c r="A1520">
        <v>5352</v>
      </c>
      <c r="B1520" t="s">
        <v>2625</v>
      </c>
      <c r="C1520">
        <v>5697</v>
      </c>
      <c r="D1520" t="s">
        <v>2344</v>
      </c>
      <c r="E1520" t="s">
        <v>2036</v>
      </c>
      <c r="F1520">
        <v>202112</v>
      </c>
      <c r="G1520" t="s">
        <v>176</v>
      </c>
      <c r="H1520">
        <v>-697.55</v>
      </c>
    </row>
    <row r="1521" spans="1:8">
      <c r="A1521">
        <v>5352</v>
      </c>
      <c r="B1521" t="s">
        <v>2625</v>
      </c>
      <c r="C1521">
        <v>5697</v>
      </c>
      <c r="D1521" t="s">
        <v>2344</v>
      </c>
      <c r="E1521" t="s">
        <v>2036</v>
      </c>
      <c r="F1521">
        <v>202112</v>
      </c>
      <c r="G1521" t="s">
        <v>178</v>
      </c>
      <c r="H1521">
        <v>530</v>
      </c>
    </row>
    <row r="1522" spans="1:8">
      <c r="A1522">
        <v>5352</v>
      </c>
      <c r="B1522" t="s">
        <v>2625</v>
      </c>
      <c r="C1522">
        <v>5697</v>
      </c>
      <c r="D1522" t="s">
        <v>2344</v>
      </c>
      <c r="E1522" t="s">
        <v>2036</v>
      </c>
      <c r="F1522">
        <v>202112</v>
      </c>
      <c r="G1522" t="s">
        <v>180</v>
      </c>
      <c r="H1522">
        <v>470</v>
      </c>
    </row>
    <row r="1523" spans="1:8">
      <c r="A1523">
        <v>5352</v>
      </c>
      <c r="B1523" t="s">
        <v>2625</v>
      </c>
      <c r="C1523">
        <v>5697</v>
      </c>
      <c r="D1523" t="s">
        <v>2344</v>
      </c>
      <c r="E1523" t="s">
        <v>2036</v>
      </c>
      <c r="F1523">
        <v>202112</v>
      </c>
      <c r="G1523" t="s">
        <v>182</v>
      </c>
      <c r="H1523">
        <v>143099</v>
      </c>
    </row>
    <row r="1524" spans="1:8">
      <c r="A1524">
        <v>5352</v>
      </c>
      <c r="B1524" t="s">
        <v>2625</v>
      </c>
      <c r="C1524">
        <v>5697</v>
      </c>
      <c r="D1524" t="s">
        <v>2344</v>
      </c>
      <c r="E1524" t="s">
        <v>2036</v>
      </c>
      <c r="F1524">
        <v>202112</v>
      </c>
      <c r="G1524" t="s">
        <v>184</v>
      </c>
      <c r="H1524">
        <v>19614</v>
      </c>
    </row>
    <row r="1525" spans="1:8">
      <c r="A1525">
        <v>5352</v>
      </c>
      <c r="B1525" t="s">
        <v>2625</v>
      </c>
      <c r="C1525">
        <v>5697</v>
      </c>
      <c r="D1525" t="s">
        <v>2344</v>
      </c>
      <c r="E1525" t="s">
        <v>2036</v>
      </c>
      <c r="F1525">
        <v>202112</v>
      </c>
      <c r="G1525" t="s">
        <v>192</v>
      </c>
      <c r="H1525">
        <v>0</v>
      </c>
    </row>
    <row r="1526" spans="1:8">
      <c r="A1526">
        <v>5352</v>
      </c>
      <c r="B1526" t="s">
        <v>2625</v>
      </c>
      <c r="C1526">
        <v>5697</v>
      </c>
      <c r="D1526" t="s">
        <v>2344</v>
      </c>
      <c r="E1526" t="s">
        <v>2036</v>
      </c>
      <c r="F1526">
        <v>202112</v>
      </c>
      <c r="G1526" t="s">
        <v>2170</v>
      </c>
      <c r="H1526">
        <v>1898.54</v>
      </c>
    </row>
    <row r="1527" spans="1:8">
      <c r="A1527">
        <v>5352</v>
      </c>
      <c r="B1527" t="s">
        <v>2625</v>
      </c>
      <c r="C1527">
        <v>5697</v>
      </c>
      <c r="D1527" t="s">
        <v>2344</v>
      </c>
      <c r="E1527" t="s">
        <v>2036</v>
      </c>
      <c r="F1527">
        <v>202112</v>
      </c>
      <c r="G1527" t="s">
        <v>186</v>
      </c>
      <c r="H1527">
        <v>0</v>
      </c>
    </row>
    <row r="1528" spans="1:8">
      <c r="A1528">
        <v>5352</v>
      </c>
      <c r="B1528" t="s">
        <v>2625</v>
      </c>
      <c r="C1528">
        <v>5697</v>
      </c>
      <c r="D1528" t="s">
        <v>2344</v>
      </c>
      <c r="E1528" t="s">
        <v>2036</v>
      </c>
      <c r="F1528">
        <v>202112</v>
      </c>
      <c r="G1528" t="s">
        <v>2169</v>
      </c>
      <c r="H1528">
        <v>182.65</v>
      </c>
    </row>
    <row r="1529" spans="1:8">
      <c r="A1529">
        <v>5352</v>
      </c>
      <c r="B1529" t="s">
        <v>2625</v>
      </c>
      <c r="C1529">
        <v>5697</v>
      </c>
      <c r="D1529" t="s">
        <v>2344</v>
      </c>
      <c r="E1529" t="s">
        <v>2036</v>
      </c>
      <c r="F1529">
        <v>202112</v>
      </c>
      <c r="G1529" t="s">
        <v>2166</v>
      </c>
      <c r="H1529">
        <v>11.83</v>
      </c>
    </row>
    <row r="1530" spans="1:8">
      <c r="A1530">
        <v>5352</v>
      </c>
      <c r="B1530" t="s">
        <v>2625</v>
      </c>
      <c r="C1530">
        <v>5697</v>
      </c>
      <c r="D1530" t="s">
        <v>2344</v>
      </c>
      <c r="E1530" t="s">
        <v>2036</v>
      </c>
      <c r="F1530">
        <v>202112</v>
      </c>
      <c r="G1530" t="s">
        <v>2167</v>
      </c>
      <c r="H1530">
        <v>21.22</v>
      </c>
    </row>
    <row r="1531" spans="1:8">
      <c r="A1531">
        <v>5352</v>
      </c>
      <c r="B1531" t="s">
        <v>2625</v>
      </c>
      <c r="C1531">
        <v>5697</v>
      </c>
      <c r="D1531" t="s">
        <v>2344</v>
      </c>
      <c r="E1531" t="s">
        <v>2036</v>
      </c>
      <c r="F1531">
        <v>202112</v>
      </c>
      <c r="G1531" t="s">
        <v>2168</v>
      </c>
      <c r="H1531">
        <v>14.37</v>
      </c>
    </row>
    <row r="1532" spans="1:8">
      <c r="A1532">
        <v>5352</v>
      </c>
      <c r="B1532" t="s">
        <v>2625</v>
      </c>
      <c r="C1532">
        <v>5697</v>
      </c>
      <c r="D1532" t="s">
        <v>2344</v>
      </c>
      <c r="E1532" t="s">
        <v>2036</v>
      </c>
      <c r="F1532">
        <v>202112</v>
      </c>
      <c r="G1532" t="s">
        <v>2171</v>
      </c>
      <c r="H1532">
        <v>50065.39</v>
      </c>
    </row>
    <row r="1533" spans="1:8">
      <c r="A1533">
        <v>5352</v>
      </c>
      <c r="B1533" t="s">
        <v>2625</v>
      </c>
      <c r="C1533">
        <v>5697</v>
      </c>
      <c r="D1533" t="s">
        <v>2344</v>
      </c>
      <c r="E1533" t="s">
        <v>2036</v>
      </c>
      <c r="F1533">
        <v>202112</v>
      </c>
      <c r="G1533" t="s">
        <v>190</v>
      </c>
      <c r="H1533">
        <v>516613</v>
      </c>
    </row>
    <row r="1534" spans="1:8">
      <c r="A1534">
        <v>5352</v>
      </c>
      <c r="B1534" t="s">
        <v>2625</v>
      </c>
      <c r="C1534">
        <v>5697</v>
      </c>
      <c r="D1534" t="s">
        <v>2344</v>
      </c>
      <c r="E1534" t="s">
        <v>2036</v>
      </c>
      <c r="F1534">
        <v>202112</v>
      </c>
      <c r="G1534" t="s">
        <v>191</v>
      </c>
      <c r="H1534">
        <v>70651</v>
      </c>
    </row>
    <row r="1535" spans="1:8">
      <c r="A1535">
        <v>5352</v>
      </c>
      <c r="B1535" t="s">
        <v>2625</v>
      </c>
      <c r="C1535">
        <v>5697</v>
      </c>
      <c r="D1535" t="s">
        <v>2344</v>
      </c>
      <c r="E1535" t="s">
        <v>2036</v>
      </c>
      <c r="F1535">
        <v>202112</v>
      </c>
      <c r="G1535" t="s">
        <v>176</v>
      </c>
      <c r="H1535">
        <v>0</v>
      </c>
    </row>
    <row r="1536" spans="1:8">
      <c r="A1536">
        <v>5352</v>
      </c>
      <c r="B1536" t="s">
        <v>2625</v>
      </c>
      <c r="C1536">
        <v>5697</v>
      </c>
      <c r="D1536" t="s">
        <v>2344</v>
      </c>
      <c r="E1536" t="s">
        <v>2036</v>
      </c>
      <c r="F1536">
        <v>202112</v>
      </c>
      <c r="G1536" t="s">
        <v>178</v>
      </c>
      <c r="H1536">
        <v>1342</v>
      </c>
    </row>
    <row r="1537" spans="1:8">
      <c r="A1537">
        <v>5352</v>
      </c>
      <c r="B1537" t="s">
        <v>2625</v>
      </c>
      <c r="C1537">
        <v>5697</v>
      </c>
      <c r="D1537" t="s">
        <v>2344</v>
      </c>
      <c r="E1537" t="s">
        <v>2036</v>
      </c>
      <c r="F1537">
        <v>202112</v>
      </c>
      <c r="G1537" t="s">
        <v>180</v>
      </c>
      <c r="H1537">
        <v>1457</v>
      </c>
    </row>
    <row r="1538" spans="1:8">
      <c r="A1538">
        <v>5352</v>
      </c>
      <c r="B1538" t="s">
        <v>2625</v>
      </c>
      <c r="C1538">
        <v>5697</v>
      </c>
      <c r="D1538" t="s">
        <v>2344</v>
      </c>
      <c r="E1538" t="s">
        <v>2036</v>
      </c>
      <c r="F1538">
        <v>202112</v>
      </c>
      <c r="G1538" t="s">
        <v>182</v>
      </c>
      <c r="H1538">
        <v>516613</v>
      </c>
    </row>
    <row r="1539" spans="1:8">
      <c r="A1539">
        <v>5352</v>
      </c>
      <c r="B1539" t="s">
        <v>2625</v>
      </c>
      <c r="C1539">
        <v>5697</v>
      </c>
      <c r="D1539" t="s">
        <v>2344</v>
      </c>
      <c r="E1539" t="s">
        <v>2036</v>
      </c>
      <c r="F1539">
        <v>202112</v>
      </c>
      <c r="G1539" t="s">
        <v>184</v>
      </c>
      <c r="H1539">
        <v>70651</v>
      </c>
    </row>
    <row r="1540" spans="1:8">
      <c r="A1540">
        <v>5352</v>
      </c>
      <c r="B1540" t="s">
        <v>2625</v>
      </c>
      <c r="C1540">
        <v>5697</v>
      </c>
      <c r="D1540" t="s">
        <v>2344</v>
      </c>
      <c r="E1540" t="s">
        <v>2036</v>
      </c>
      <c r="F1540">
        <v>202112</v>
      </c>
      <c r="G1540" t="s">
        <v>192</v>
      </c>
      <c r="H1540">
        <v>0</v>
      </c>
    </row>
    <row r="1541" spans="1:8">
      <c r="A1541">
        <v>5352</v>
      </c>
      <c r="B1541" t="s">
        <v>2625</v>
      </c>
      <c r="C1541">
        <v>5697</v>
      </c>
      <c r="D1541" t="s">
        <v>2344</v>
      </c>
      <c r="E1541" t="s">
        <v>2036</v>
      </c>
      <c r="F1541">
        <v>202112</v>
      </c>
      <c r="G1541" t="s">
        <v>2170</v>
      </c>
      <c r="H1541">
        <v>6867.15</v>
      </c>
    </row>
    <row r="1542" spans="1:8">
      <c r="A1542">
        <v>5352</v>
      </c>
      <c r="B1542" t="s">
        <v>2625</v>
      </c>
      <c r="C1542">
        <v>5697</v>
      </c>
      <c r="D1542" t="s">
        <v>2344</v>
      </c>
      <c r="E1542" t="s">
        <v>2036</v>
      </c>
      <c r="F1542">
        <v>202112</v>
      </c>
      <c r="G1542" t="s">
        <v>186</v>
      </c>
      <c r="H1542">
        <v>0</v>
      </c>
    </row>
    <row r="1543" spans="1:8">
      <c r="A1543">
        <v>5352</v>
      </c>
      <c r="B1543" t="s">
        <v>2625</v>
      </c>
      <c r="C1543">
        <v>5697</v>
      </c>
      <c r="D1543" t="s">
        <v>2344</v>
      </c>
      <c r="E1543" t="s">
        <v>2036</v>
      </c>
      <c r="F1543">
        <v>202112</v>
      </c>
      <c r="G1543" t="s">
        <v>2169</v>
      </c>
      <c r="H1543">
        <v>182.65</v>
      </c>
    </row>
    <row r="1544" spans="1:8">
      <c r="A1544">
        <v>5352</v>
      </c>
      <c r="B1544" t="s">
        <v>2625</v>
      </c>
      <c r="C1544">
        <v>5697</v>
      </c>
      <c r="D1544" t="s">
        <v>2344</v>
      </c>
      <c r="E1544" t="s">
        <v>2036</v>
      </c>
      <c r="F1544">
        <v>202112</v>
      </c>
      <c r="G1544" t="s">
        <v>2166</v>
      </c>
      <c r="H1544">
        <v>11.83</v>
      </c>
    </row>
    <row r="1545" spans="1:8">
      <c r="A1545">
        <v>5352</v>
      </c>
      <c r="B1545" t="s">
        <v>2625</v>
      </c>
      <c r="C1545">
        <v>5697</v>
      </c>
      <c r="D1545" t="s">
        <v>2344</v>
      </c>
      <c r="E1545" t="s">
        <v>2036</v>
      </c>
      <c r="F1545">
        <v>202112</v>
      </c>
      <c r="G1545" t="s">
        <v>2167</v>
      </c>
      <c r="H1545">
        <v>21.22</v>
      </c>
    </row>
    <row r="1546" spans="1:8">
      <c r="A1546">
        <v>5352</v>
      </c>
      <c r="B1546" t="s">
        <v>2625</v>
      </c>
      <c r="C1546">
        <v>5697</v>
      </c>
      <c r="D1546" t="s">
        <v>2344</v>
      </c>
      <c r="E1546" t="s">
        <v>2036</v>
      </c>
      <c r="F1546">
        <v>202112</v>
      </c>
      <c r="G1546" t="s">
        <v>2168</v>
      </c>
      <c r="H1546">
        <v>14.37</v>
      </c>
    </row>
    <row r="1547" spans="1:8">
      <c r="A1547">
        <v>5352</v>
      </c>
      <c r="B1547" t="s">
        <v>2625</v>
      </c>
      <c r="C1547">
        <v>5697</v>
      </c>
      <c r="D1547" t="s">
        <v>2344</v>
      </c>
      <c r="E1547" t="s">
        <v>2036</v>
      </c>
      <c r="F1547">
        <v>202112</v>
      </c>
      <c r="G1547" t="s">
        <v>2171</v>
      </c>
      <c r="H1547">
        <v>183613.41</v>
      </c>
    </row>
    <row r="1548" spans="1:8">
      <c r="A1548">
        <v>5352</v>
      </c>
      <c r="B1548" t="s">
        <v>2625</v>
      </c>
      <c r="C1548">
        <v>5697</v>
      </c>
      <c r="D1548" t="s">
        <v>2344</v>
      </c>
      <c r="E1548" t="s">
        <v>2036</v>
      </c>
      <c r="F1548">
        <v>202112</v>
      </c>
      <c r="G1548" t="s">
        <v>190</v>
      </c>
      <c r="H1548">
        <v>124381</v>
      </c>
    </row>
    <row r="1549" spans="1:8">
      <c r="A1549">
        <v>5352</v>
      </c>
      <c r="B1549" t="s">
        <v>2625</v>
      </c>
      <c r="C1549">
        <v>5697</v>
      </c>
      <c r="D1549" t="s">
        <v>2344</v>
      </c>
      <c r="E1549" t="s">
        <v>2036</v>
      </c>
      <c r="F1549">
        <v>202112</v>
      </c>
      <c r="G1549" t="s">
        <v>191</v>
      </c>
      <c r="H1549">
        <v>16221</v>
      </c>
    </row>
    <row r="1550" spans="1:8">
      <c r="A1550">
        <v>5352</v>
      </c>
      <c r="B1550" t="s">
        <v>2625</v>
      </c>
      <c r="C1550">
        <v>5697</v>
      </c>
      <c r="D1550" t="s">
        <v>2344</v>
      </c>
      <c r="E1550" t="s">
        <v>2036</v>
      </c>
      <c r="F1550">
        <v>202112</v>
      </c>
      <c r="G1550" t="s">
        <v>176</v>
      </c>
      <c r="H1550">
        <v>-398.09</v>
      </c>
    </row>
    <row r="1551" spans="1:8">
      <c r="A1551">
        <v>5352</v>
      </c>
      <c r="B1551" t="s">
        <v>2625</v>
      </c>
      <c r="C1551">
        <v>5697</v>
      </c>
      <c r="D1551" t="s">
        <v>2344</v>
      </c>
      <c r="E1551" t="s">
        <v>2036</v>
      </c>
      <c r="F1551">
        <v>202112</v>
      </c>
      <c r="G1551" t="s">
        <v>178</v>
      </c>
      <c r="H1551">
        <v>450</v>
      </c>
    </row>
    <row r="1552" spans="1:8">
      <c r="A1552">
        <v>5352</v>
      </c>
      <c r="B1552" t="s">
        <v>2625</v>
      </c>
      <c r="C1552">
        <v>5697</v>
      </c>
      <c r="D1552" t="s">
        <v>2344</v>
      </c>
      <c r="E1552" t="s">
        <v>2036</v>
      </c>
      <c r="F1552">
        <v>202112</v>
      </c>
      <c r="G1552" t="s">
        <v>180</v>
      </c>
      <c r="H1552">
        <v>450</v>
      </c>
    </row>
    <row r="1553" spans="1:8">
      <c r="A1553">
        <v>5352</v>
      </c>
      <c r="B1553" t="s">
        <v>2625</v>
      </c>
      <c r="C1553">
        <v>5697</v>
      </c>
      <c r="D1553" t="s">
        <v>2344</v>
      </c>
      <c r="E1553" t="s">
        <v>2036</v>
      </c>
      <c r="F1553">
        <v>202112</v>
      </c>
      <c r="G1553" t="s">
        <v>182</v>
      </c>
      <c r="H1553">
        <v>124381</v>
      </c>
    </row>
    <row r="1554" spans="1:8">
      <c r="A1554">
        <v>5352</v>
      </c>
      <c r="B1554" t="s">
        <v>2625</v>
      </c>
      <c r="C1554">
        <v>5697</v>
      </c>
      <c r="D1554" t="s">
        <v>2344</v>
      </c>
      <c r="E1554" t="s">
        <v>2036</v>
      </c>
      <c r="F1554">
        <v>202112</v>
      </c>
      <c r="G1554" t="s">
        <v>184</v>
      </c>
      <c r="H1554">
        <v>16221</v>
      </c>
    </row>
    <row r="1555" spans="1:8">
      <c r="A1555">
        <v>5352</v>
      </c>
      <c r="B1555" t="s">
        <v>2625</v>
      </c>
      <c r="C1555">
        <v>5697</v>
      </c>
      <c r="D1555" t="s">
        <v>2344</v>
      </c>
      <c r="E1555" t="s">
        <v>2036</v>
      </c>
      <c r="F1555">
        <v>202112</v>
      </c>
      <c r="G1555" t="s">
        <v>192</v>
      </c>
      <c r="H1555">
        <v>0</v>
      </c>
    </row>
    <row r="1556" spans="1:8">
      <c r="A1556">
        <v>5352</v>
      </c>
      <c r="B1556" t="s">
        <v>2625</v>
      </c>
      <c r="C1556">
        <v>5697</v>
      </c>
      <c r="D1556" t="s">
        <v>2344</v>
      </c>
      <c r="E1556" t="s">
        <v>2036</v>
      </c>
      <c r="F1556">
        <v>202112</v>
      </c>
      <c r="G1556" t="s">
        <v>2170</v>
      </c>
      <c r="H1556">
        <v>1654.11</v>
      </c>
    </row>
    <row r="1557" spans="1:8">
      <c r="A1557">
        <v>5352</v>
      </c>
      <c r="B1557" t="s">
        <v>2625</v>
      </c>
      <c r="C1557">
        <v>5697</v>
      </c>
      <c r="D1557" t="s">
        <v>2344</v>
      </c>
      <c r="E1557" t="s">
        <v>2036</v>
      </c>
      <c r="F1557">
        <v>202112</v>
      </c>
      <c r="G1557" t="s">
        <v>186</v>
      </c>
      <c r="H1557">
        <v>0</v>
      </c>
    </row>
    <row r="1558" spans="1:8">
      <c r="A1558">
        <v>5352</v>
      </c>
      <c r="B1558" t="s">
        <v>2625</v>
      </c>
      <c r="C1558">
        <v>5697</v>
      </c>
      <c r="D1558" t="s">
        <v>2344</v>
      </c>
      <c r="E1558" t="s">
        <v>2036</v>
      </c>
      <c r="F1558">
        <v>202112</v>
      </c>
      <c r="G1558" t="s">
        <v>2169</v>
      </c>
      <c r="H1558">
        <v>182.65</v>
      </c>
    </row>
    <row r="1559" spans="1:8">
      <c r="A1559">
        <v>5352</v>
      </c>
      <c r="B1559" t="s">
        <v>2625</v>
      </c>
      <c r="C1559">
        <v>5697</v>
      </c>
      <c r="D1559" t="s">
        <v>2344</v>
      </c>
      <c r="E1559" t="s">
        <v>2036</v>
      </c>
      <c r="F1559">
        <v>202112</v>
      </c>
      <c r="G1559" t="s">
        <v>2166</v>
      </c>
      <c r="H1559">
        <v>11.83</v>
      </c>
    </row>
    <row r="1560" spans="1:8">
      <c r="A1560">
        <v>5352</v>
      </c>
      <c r="B1560" t="s">
        <v>2625</v>
      </c>
      <c r="C1560">
        <v>5697</v>
      </c>
      <c r="D1560" t="s">
        <v>2344</v>
      </c>
      <c r="E1560" t="s">
        <v>2036</v>
      </c>
      <c r="F1560">
        <v>202112</v>
      </c>
      <c r="G1560" t="s">
        <v>2167</v>
      </c>
      <c r="H1560">
        <v>21.22</v>
      </c>
    </row>
    <row r="1561" spans="1:8">
      <c r="A1561">
        <v>5352</v>
      </c>
      <c r="B1561" t="s">
        <v>2625</v>
      </c>
      <c r="C1561">
        <v>5697</v>
      </c>
      <c r="D1561" t="s">
        <v>2344</v>
      </c>
      <c r="E1561" t="s">
        <v>2036</v>
      </c>
      <c r="F1561">
        <v>202112</v>
      </c>
      <c r="G1561" t="s">
        <v>2168</v>
      </c>
      <c r="H1561">
        <v>14.37</v>
      </c>
    </row>
    <row r="1562" spans="1:8">
      <c r="A1562">
        <v>5352</v>
      </c>
      <c r="B1562" t="s">
        <v>2625</v>
      </c>
      <c r="C1562">
        <v>5697</v>
      </c>
      <c r="D1562" t="s">
        <v>2344</v>
      </c>
      <c r="E1562" t="s">
        <v>2036</v>
      </c>
      <c r="F1562">
        <v>202112</v>
      </c>
      <c r="G1562" t="s">
        <v>2171</v>
      </c>
      <c r="H1562">
        <v>43829.9</v>
      </c>
    </row>
    <row r="1563" spans="1:8">
      <c r="A1563">
        <v>5352</v>
      </c>
      <c r="B1563" t="s">
        <v>2625</v>
      </c>
      <c r="C1563">
        <v>5697</v>
      </c>
      <c r="D1563" t="s">
        <v>2344</v>
      </c>
      <c r="E1563" t="s">
        <v>2036</v>
      </c>
      <c r="F1563">
        <v>202112</v>
      </c>
      <c r="G1563" t="s">
        <v>190</v>
      </c>
      <c r="H1563">
        <v>271354</v>
      </c>
    </row>
    <row r="1564" spans="1:8">
      <c r="A1564">
        <v>5352</v>
      </c>
      <c r="B1564" t="s">
        <v>2625</v>
      </c>
      <c r="C1564">
        <v>5697</v>
      </c>
      <c r="D1564" t="s">
        <v>2344</v>
      </c>
      <c r="E1564" t="s">
        <v>2036</v>
      </c>
      <c r="F1564">
        <v>202112</v>
      </c>
      <c r="G1564" t="s">
        <v>191</v>
      </c>
      <c r="H1564">
        <v>34069</v>
      </c>
    </row>
    <row r="1565" spans="1:8">
      <c r="A1565">
        <v>5352</v>
      </c>
      <c r="B1565" t="s">
        <v>2625</v>
      </c>
      <c r="C1565">
        <v>5697</v>
      </c>
      <c r="D1565" t="s">
        <v>2344</v>
      </c>
      <c r="E1565" t="s">
        <v>2036</v>
      </c>
      <c r="F1565">
        <v>202112</v>
      </c>
      <c r="G1565" t="s">
        <v>176</v>
      </c>
      <c r="H1565">
        <v>-740.52</v>
      </c>
    </row>
    <row r="1566" spans="1:8">
      <c r="A1566">
        <v>5352</v>
      </c>
      <c r="B1566" t="s">
        <v>2625</v>
      </c>
      <c r="C1566">
        <v>5697</v>
      </c>
      <c r="D1566" t="s">
        <v>2344</v>
      </c>
      <c r="E1566" t="s">
        <v>2036</v>
      </c>
      <c r="F1566">
        <v>202112</v>
      </c>
      <c r="G1566" t="s">
        <v>178</v>
      </c>
      <c r="H1566">
        <v>820</v>
      </c>
    </row>
    <row r="1567" spans="1:8">
      <c r="A1567">
        <v>5352</v>
      </c>
      <c r="B1567" t="s">
        <v>2625</v>
      </c>
      <c r="C1567">
        <v>5697</v>
      </c>
      <c r="D1567" t="s">
        <v>2344</v>
      </c>
      <c r="E1567" t="s">
        <v>2036</v>
      </c>
      <c r="F1567">
        <v>202112</v>
      </c>
      <c r="G1567" t="s">
        <v>180</v>
      </c>
      <c r="H1567">
        <v>820</v>
      </c>
    </row>
    <row r="1568" spans="1:8">
      <c r="A1568">
        <v>5352</v>
      </c>
      <c r="B1568" t="s">
        <v>2625</v>
      </c>
      <c r="C1568">
        <v>5697</v>
      </c>
      <c r="D1568" t="s">
        <v>2344</v>
      </c>
      <c r="E1568" t="s">
        <v>2036</v>
      </c>
      <c r="F1568">
        <v>202112</v>
      </c>
      <c r="G1568" t="s">
        <v>182</v>
      </c>
      <c r="H1568">
        <v>271354</v>
      </c>
    </row>
    <row r="1569" spans="1:8">
      <c r="A1569">
        <v>5352</v>
      </c>
      <c r="B1569" t="s">
        <v>2625</v>
      </c>
      <c r="C1569">
        <v>5697</v>
      </c>
      <c r="D1569" t="s">
        <v>2344</v>
      </c>
      <c r="E1569" t="s">
        <v>2036</v>
      </c>
      <c r="F1569">
        <v>202112</v>
      </c>
      <c r="G1569" t="s">
        <v>184</v>
      </c>
      <c r="H1569">
        <v>34069</v>
      </c>
    </row>
    <row r="1570" spans="1:8">
      <c r="A1570">
        <v>5352</v>
      </c>
      <c r="B1570" t="s">
        <v>2625</v>
      </c>
      <c r="C1570">
        <v>5697</v>
      </c>
      <c r="D1570" t="s">
        <v>2344</v>
      </c>
      <c r="E1570" t="s">
        <v>2036</v>
      </c>
      <c r="F1570">
        <v>202112</v>
      </c>
      <c r="G1570" t="s">
        <v>192</v>
      </c>
      <c r="H1570">
        <v>0</v>
      </c>
    </row>
    <row r="1571" spans="1:8">
      <c r="A1571">
        <v>5352</v>
      </c>
      <c r="B1571" t="s">
        <v>2625</v>
      </c>
      <c r="C1571">
        <v>5697</v>
      </c>
      <c r="D1571" t="s">
        <v>2344</v>
      </c>
      <c r="E1571" t="s">
        <v>2036</v>
      </c>
      <c r="F1571">
        <v>202112</v>
      </c>
      <c r="G1571" t="s">
        <v>2170</v>
      </c>
      <c r="H1571">
        <v>3390.92</v>
      </c>
    </row>
    <row r="1572" spans="1:8">
      <c r="A1572">
        <v>5352</v>
      </c>
      <c r="B1572" t="s">
        <v>2625</v>
      </c>
      <c r="C1572">
        <v>5697</v>
      </c>
      <c r="D1572" t="s">
        <v>2344</v>
      </c>
      <c r="E1572" t="s">
        <v>2036</v>
      </c>
      <c r="F1572">
        <v>202112</v>
      </c>
      <c r="G1572" t="s">
        <v>186</v>
      </c>
      <c r="H1572">
        <v>0</v>
      </c>
    </row>
    <row r="1573" spans="1:8">
      <c r="A1573">
        <v>5352</v>
      </c>
      <c r="B1573" t="s">
        <v>2625</v>
      </c>
      <c r="C1573">
        <v>5697</v>
      </c>
      <c r="D1573" t="s">
        <v>2344</v>
      </c>
      <c r="E1573" t="s">
        <v>2036</v>
      </c>
      <c r="F1573">
        <v>202112</v>
      </c>
      <c r="G1573" t="s">
        <v>2169</v>
      </c>
      <c r="H1573">
        <v>182.65</v>
      </c>
    </row>
    <row r="1574" spans="1:8">
      <c r="A1574">
        <v>5352</v>
      </c>
      <c r="B1574" t="s">
        <v>2625</v>
      </c>
      <c r="C1574">
        <v>5697</v>
      </c>
      <c r="D1574" t="s">
        <v>2344</v>
      </c>
      <c r="E1574" t="s">
        <v>2036</v>
      </c>
      <c r="F1574">
        <v>202112</v>
      </c>
      <c r="G1574" t="s">
        <v>2166</v>
      </c>
      <c r="H1574">
        <v>11.83</v>
      </c>
    </row>
    <row r="1575" spans="1:8">
      <c r="A1575">
        <v>5352</v>
      </c>
      <c r="B1575" t="s">
        <v>2625</v>
      </c>
      <c r="C1575">
        <v>5697</v>
      </c>
      <c r="D1575" t="s">
        <v>2344</v>
      </c>
      <c r="E1575" t="s">
        <v>2036</v>
      </c>
      <c r="F1575">
        <v>202112</v>
      </c>
      <c r="G1575" t="s">
        <v>2167</v>
      </c>
      <c r="H1575">
        <v>21.22</v>
      </c>
    </row>
    <row r="1576" spans="1:8">
      <c r="A1576">
        <v>5352</v>
      </c>
      <c r="B1576" t="s">
        <v>2625</v>
      </c>
      <c r="C1576">
        <v>5697</v>
      </c>
      <c r="D1576" t="s">
        <v>2344</v>
      </c>
      <c r="E1576" t="s">
        <v>2036</v>
      </c>
      <c r="F1576">
        <v>202112</v>
      </c>
      <c r="G1576" t="s">
        <v>2168</v>
      </c>
      <c r="H1576">
        <v>14.37</v>
      </c>
    </row>
    <row r="1577" spans="1:8">
      <c r="A1577">
        <v>5352</v>
      </c>
      <c r="B1577" t="s">
        <v>2625</v>
      </c>
      <c r="C1577">
        <v>5697</v>
      </c>
      <c r="D1577" t="s">
        <v>2344</v>
      </c>
      <c r="E1577" t="s">
        <v>2036</v>
      </c>
      <c r="F1577">
        <v>202112</v>
      </c>
      <c r="G1577" t="s">
        <v>2171</v>
      </c>
      <c r="H1577">
        <v>89925.82</v>
      </c>
    </row>
    <row r="1578" spans="1:8">
      <c r="A1578">
        <v>5352</v>
      </c>
      <c r="B1578" t="s">
        <v>2625</v>
      </c>
      <c r="C1578">
        <v>5697</v>
      </c>
      <c r="D1578" t="s">
        <v>2344</v>
      </c>
      <c r="E1578" t="s">
        <v>2036</v>
      </c>
      <c r="F1578">
        <v>202112</v>
      </c>
      <c r="G1578" t="s">
        <v>190</v>
      </c>
      <c r="H1578">
        <v>382391</v>
      </c>
    </row>
    <row r="1579" spans="1:8">
      <c r="A1579">
        <v>5352</v>
      </c>
      <c r="B1579" t="s">
        <v>2625</v>
      </c>
      <c r="C1579">
        <v>5697</v>
      </c>
      <c r="D1579" t="s">
        <v>2344</v>
      </c>
      <c r="E1579" t="s">
        <v>2036</v>
      </c>
      <c r="F1579">
        <v>202112</v>
      </c>
      <c r="G1579" t="s">
        <v>191</v>
      </c>
      <c r="H1579">
        <v>47768</v>
      </c>
    </row>
    <row r="1580" spans="1:8">
      <c r="A1580">
        <v>5352</v>
      </c>
      <c r="B1580" t="s">
        <v>2625</v>
      </c>
      <c r="C1580">
        <v>5697</v>
      </c>
      <c r="D1580" t="s">
        <v>2344</v>
      </c>
      <c r="E1580" t="s">
        <v>2036</v>
      </c>
      <c r="F1580">
        <v>202112</v>
      </c>
      <c r="G1580" t="s">
        <v>176</v>
      </c>
      <c r="H1580">
        <v>0</v>
      </c>
    </row>
    <row r="1581" spans="1:8">
      <c r="A1581">
        <v>5352</v>
      </c>
      <c r="B1581" t="s">
        <v>2625</v>
      </c>
      <c r="C1581">
        <v>5697</v>
      </c>
      <c r="D1581" t="s">
        <v>2344</v>
      </c>
      <c r="E1581" t="s">
        <v>2036</v>
      </c>
      <c r="F1581">
        <v>202112</v>
      </c>
      <c r="G1581" t="s">
        <v>178</v>
      </c>
      <c r="H1581">
        <v>1300</v>
      </c>
    </row>
    <row r="1582" spans="1:8">
      <c r="A1582">
        <v>5352</v>
      </c>
      <c r="B1582" t="s">
        <v>2625</v>
      </c>
      <c r="C1582">
        <v>5697</v>
      </c>
      <c r="D1582" t="s">
        <v>2344</v>
      </c>
      <c r="E1582" t="s">
        <v>2036</v>
      </c>
      <c r="F1582">
        <v>202112</v>
      </c>
      <c r="G1582" t="s">
        <v>180</v>
      </c>
      <c r="H1582">
        <v>1350</v>
      </c>
    </row>
    <row r="1583" spans="1:8">
      <c r="A1583">
        <v>5352</v>
      </c>
      <c r="B1583" t="s">
        <v>2625</v>
      </c>
      <c r="C1583">
        <v>5697</v>
      </c>
      <c r="D1583" t="s">
        <v>2344</v>
      </c>
      <c r="E1583" t="s">
        <v>2036</v>
      </c>
      <c r="F1583">
        <v>202112</v>
      </c>
      <c r="G1583" t="s">
        <v>182</v>
      </c>
      <c r="H1583">
        <v>382391</v>
      </c>
    </row>
    <row r="1584" spans="1:8">
      <c r="A1584">
        <v>5352</v>
      </c>
      <c r="B1584" t="s">
        <v>2625</v>
      </c>
      <c r="C1584">
        <v>5697</v>
      </c>
      <c r="D1584" t="s">
        <v>2344</v>
      </c>
      <c r="E1584" t="s">
        <v>2036</v>
      </c>
      <c r="F1584">
        <v>202112</v>
      </c>
      <c r="G1584" t="s">
        <v>184</v>
      </c>
      <c r="H1584">
        <v>47768</v>
      </c>
    </row>
    <row r="1585" spans="1:8">
      <c r="A1585">
        <v>5352</v>
      </c>
      <c r="B1585" t="s">
        <v>2625</v>
      </c>
      <c r="C1585">
        <v>5697</v>
      </c>
      <c r="D1585" t="s">
        <v>2344</v>
      </c>
      <c r="E1585" t="s">
        <v>2036</v>
      </c>
      <c r="F1585">
        <v>202112</v>
      </c>
      <c r="G1585" t="s">
        <v>192</v>
      </c>
      <c r="H1585">
        <v>0</v>
      </c>
    </row>
    <row r="1586" spans="1:8">
      <c r="A1586">
        <v>5352</v>
      </c>
      <c r="B1586" t="s">
        <v>2625</v>
      </c>
      <c r="C1586">
        <v>5697</v>
      </c>
      <c r="D1586" t="s">
        <v>2344</v>
      </c>
      <c r="E1586" t="s">
        <v>2036</v>
      </c>
      <c r="F1586">
        <v>202112</v>
      </c>
      <c r="G1586" t="s">
        <v>2170</v>
      </c>
      <c r="H1586">
        <v>5003.34</v>
      </c>
    </row>
    <row r="1587" spans="1:8">
      <c r="A1587">
        <v>5352</v>
      </c>
      <c r="B1587" t="s">
        <v>2625</v>
      </c>
      <c r="C1587">
        <v>5697</v>
      </c>
      <c r="D1587" t="s">
        <v>2344</v>
      </c>
      <c r="E1587" t="s">
        <v>2036</v>
      </c>
      <c r="F1587">
        <v>202112</v>
      </c>
      <c r="G1587" t="s">
        <v>186</v>
      </c>
      <c r="H1587">
        <v>0</v>
      </c>
    </row>
    <row r="1588" spans="1:8">
      <c r="A1588">
        <v>5352</v>
      </c>
      <c r="B1588" t="s">
        <v>2625</v>
      </c>
      <c r="C1588">
        <v>5697</v>
      </c>
      <c r="D1588" t="s">
        <v>2344</v>
      </c>
      <c r="E1588" t="s">
        <v>2036</v>
      </c>
      <c r="F1588">
        <v>202112</v>
      </c>
      <c r="G1588" t="s">
        <v>2169</v>
      </c>
      <c r="H1588">
        <v>182.65</v>
      </c>
    </row>
    <row r="1589" spans="1:8">
      <c r="A1589">
        <v>5352</v>
      </c>
      <c r="B1589" t="s">
        <v>2625</v>
      </c>
      <c r="C1589">
        <v>5697</v>
      </c>
      <c r="D1589" t="s">
        <v>2344</v>
      </c>
      <c r="E1589" t="s">
        <v>2036</v>
      </c>
      <c r="F1589">
        <v>202112</v>
      </c>
      <c r="G1589" t="s">
        <v>2166</v>
      </c>
      <c r="H1589">
        <v>11.83</v>
      </c>
    </row>
    <row r="1590" spans="1:8">
      <c r="A1590">
        <v>5352</v>
      </c>
      <c r="B1590" t="s">
        <v>2625</v>
      </c>
      <c r="C1590">
        <v>5697</v>
      </c>
      <c r="D1590" t="s">
        <v>2344</v>
      </c>
      <c r="E1590" t="s">
        <v>2036</v>
      </c>
      <c r="F1590">
        <v>202112</v>
      </c>
      <c r="G1590" t="s">
        <v>2167</v>
      </c>
      <c r="H1590">
        <v>21.22</v>
      </c>
    </row>
    <row r="1591" spans="1:8">
      <c r="A1591">
        <v>5352</v>
      </c>
      <c r="B1591" t="s">
        <v>2625</v>
      </c>
      <c r="C1591">
        <v>5697</v>
      </c>
      <c r="D1591" t="s">
        <v>2344</v>
      </c>
      <c r="E1591" t="s">
        <v>2036</v>
      </c>
      <c r="F1591">
        <v>202112</v>
      </c>
      <c r="G1591" t="s">
        <v>2168</v>
      </c>
      <c r="H1591">
        <v>14.37</v>
      </c>
    </row>
    <row r="1592" spans="1:8">
      <c r="A1592">
        <v>5352</v>
      </c>
      <c r="B1592" t="s">
        <v>2625</v>
      </c>
      <c r="C1592">
        <v>5697</v>
      </c>
      <c r="D1592" t="s">
        <v>2344</v>
      </c>
      <c r="E1592" t="s">
        <v>2036</v>
      </c>
      <c r="F1592">
        <v>202112</v>
      </c>
      <c r="G1592" t="s">
        <v>2171</v>
      </c>
      <c r="H1592">
        <v>133779.24</v>
      </c>
    </row>
    <row r="1593" spans="1:8">
      <c r="A1593">
        <v>5352</v>
      </c>
      <c r="B1593" t="s">
        <v>2625</v>
      </c>
      <c r="C1593">
        <v>5697</v>
      </c>
      <c r="D1593" t="s">
        <v>2344</v>
      </c>
      <c r="E1593" t="s">
        <v>2036</v>
      </c>
      <c r="F1593">
        <v>202112</v>
      </c>
      <c r="G1593" t="s">
        <v>190</v>
      </c>
      <c r="H1593">
        <v>191926</v>
      </c>
    </row>
    <row r="1594" spans="1:8">
      <c r="A1594">
        <v>5352</v>
      </c>
      <c r="B1594" t="s">
        <v>2625</v>
      </c>
      <c r="C1594">
        <v>5697</v>
      </c>
      <c r="D1594" t="s">
        <v>2344</v>
      </c>
      <c r="E1594" t="s">
        <v>2036</v>
      </c>
      <c r="F1594">
        <v>202112</v>
      </c>
      <c r="G1594" t="s">
        <v>191</v>
      </c>
      <c r="H1594">
        <v>29417</v>
      </c>
    </row>
    <row r="1595" spans="1:8">
      <c r="A1595">
        <v>5352</v>
      </c>
      <c r="B1595" t="s">
        <v>2625</v>
      </c>
      <c r="C1595">
        <v>5697</v>
      </c>
      <c r="D1595" t="s">
        <v>2344</v>
      </c>
      <c r="E1595" t="s">
        <v>2036</v>
      </c>
      <c r="F1595">
        <v>202112</v>
      </c>
      <c r="G1595" t="s">
        <v>176</v>
      </c>
      <c r="H1595">
        <v>0</v>
      </c>
    </row>
    <row r="1596" spans="1:8">
      <c r="A1596">
        <v>5352</v>
      </c>
      <c r="B1596" t="s">
        <v>2625</v>
      </c>
      <c r="C1596">
        <v>5697</v>
      </c>
      <c r="D1596" t="s">
        <v>2344</v>
      </c>
      <c r="E1596" t="s">
        <v>2036</v>
      </c>
      <c r="F1596">
        <v>202112</v>
      </c>
      <c r="G1596" t="s">
        <v>178</v>
      </c>
      <c r="H1596">
        <v>810</v>
      </c>
    </row>
    <row r="1597" spans="1:8">
      <c r="A1597">
        <v>5352</v>
      </c>
      <c r="B1597" t="s">
        <v>2625</v>
      </c>
      <c r="C1597">
        <v>5697</v>
      </c>
      <c r="D1597" t="s">
        <v>2344</v>
      </c>
      <c r="E1597" t="s">
        <v>2036</v>
      </c>
      <c r="F1597">
        <v>202112</v>
      </c>
      <c r="G1597" t="s">
        <v>180</v>
      </c>
      <c r="H1597">
        <v>930</v>
      </c>
    </row>
    <row r="1598" spans="1:8">
      <c r="A1598">
        <v>5352</v>
      </c>
      <c r="B1598" t="s">
        <v>2625</v>
      </c>
      <c r="C1598">
        <v>5697</v>
      </c>
      <c r="D1598" t="s">
        <v>2344</v>
      </c>
      <c r="E1598" t="s">
        <v>2036</v>
      </c>
      <c r="F1598">
        <v>202112</v>
      </c>
      <c r="G1598" t="s">
        <v>182</v>
      </c>
      <c r="H1598">
        <v>191926</v>
      </c>
    </row>
    <row r="1599" spans="1:8">
      <c r="A1599">
        <v>5352</v>
      </c>
      <c r="B1599" t="s">
        <v>2625</v>
      </c>
      <c r="C1599">
        <v>5697</v>
      </c>
      <c r="D1599" t="s">
        <v>2344</v>
      </c>
      <c r="E1599" t="s">
        <v>2036</v>
      </c>
      <c r="F1599">
        <v>202112</v>
      </c>
      <c r="G1599" t="s">
        <v>184</v>
      </c>
      <c r="H1599">
        <v>29417</v>
      </c>
    </row>
    <row r="1600" spans="1:8">
      <c r="A1600">
        <v>5352</v>
      </c>
      <c r="B1600" t="s">
        <v>2625</v>
      </c>
      <c r="C1600">
        <v>5697</v>
      </c>
      <c r="D1600" t="s">
        <v>2344</v>
      </c>
      <c r="E1600" t="s">
        <v>2036</v>
      </c>
      <c r="F1600">
        <v>202112</v>
      </c>
      <c r="G1600" t="s">
        <v>192</v>
      </c>
      <c r="H1600">
        <v>0</v>
      </c>
    </row>
    <row r="1601" spans="1:8">
      <c r="A1601">
        <v>5352</v>
      </c>
      <c r="B1601" t="s">
        <v>2625</v>
      </c>
      <c r="C1601">
        <v>5697</v>
      </c>
      <c r="D1601" t="s">
        <v>2344</v>
      </c>
      <c r="E1601" t="s">
        <v>2036</v>
      </c>
      <c r="F1601">
        <v>202112</v>
      </c>
      <c r="G1601" t="s">
        <v>2170</v>
      </c>
      <c r="H1601">
        <v>2883.41</v>
      </c>
    </row>
    <row r="1602" spans="1:8">
      <c r="A1602">
        <v>5352</v>
      </c>
      <c r="B1602" t="s">
        <v>2625</v>
      </c>
      <c r="C1602">
        <v>5697</v>
      </c>
      <c r="D1602" t="s">
        <v>2344</v>
      </c>
      <c r="E1602" t="s">
        <v>2036</v>
      </c>
      <c r="F1602">
        <v>202112</v>
      </c>
      <c r="G1602" t="s">
        <v>186</v>
      </c>
      <c r="H1602">
        <v>0</v>
      </c>
    </row>
    <row r="1603" spans="1:8">
      <c r="A1603">
        <v>5352</v>
      </c>
      <c r="B1603" t="s">
        <v>2625</v>
      </c>
      <c r="C1603">
        <v>5697</v>
      </c>
      <c r="D1603" t="s">
        <v>2344</v>
      </c>
      <c r="E1603" t="s">
        <v>2036</v>
      </c>
      <c r="F1603">
        <v>202112</v>
      </c>
      <c r="G1603" t="s">
        <v>2169</v>
      </c>
      <c r="H1603">
        <v>182.65</v>
      </c>
    </row>
    <row r="1604" spans="1:8">
      <c r="A1604">
        <v>5352</v>
      </c>
      <c r="B1604" t="s">
        <v>2625</v>
      </c>
      <c r="C1604">
        <v>5697</v>
      </c>
      <c r="D1604" t="s">
        <v>2344</v>
      </c>
      <c r="E1604" t="s">
        <v>2036</v>
      </c>
      <c r="F1604">
        <v>202112</v>
      </c>
      <c r="G1604" t="s">
        <v>2166</v>
      </c>
      <c r="H1604">
        <v>11.83</v>
      </c>
    </row>
    <row r="1605" spans="1:8">
      <c r="A1605">
        <v>5352</v>
      </c>
      <c r="B1605" t="s">
        <v>2625</v>
      </c>
      <c r="C1605">
        <v>5697</v>
      </c>
      <c r="D1605" t="s">
        <v>2344</v>
      </c>
      <c r="E1605" t="s">
        <v>2036</v>
      </c>
      <c r="F1605">
        <v>202112</v>
      </c>
      <c r="G1605" t="s">
        <v>2167</v>
      </c>
      <c r="H1605">
        <v>21.22</v>
      </c>
    </row>
    <row r="1606" spans="1:8">
      <c r="A1606">
        <v>5352</v>
      </c>
      <c r="B1606" t="s">
        <v>2625</v>
      </c>
      <c r="C1606">
        <v>5697</v>
      </c>
      <c r="D1606" t="s">
        <v>2344</v>
      </c>
      <c r="E1606" t="s">
        <v>2036</v>
      </c>
      <c r="F1606">
        <v>202112</v>
      </c>
      <c r="G1606" t="s">
        <v>2168</v>
      </c>
      <c r="H1606">
        <v>14.37</v>
      </c>
    </row>
    <row r="1607" spans="1:8">
      <c r="A1607">
        <v>5352</v>
      </c>
      <c r="B1607" t="s">
        <v>2625</v>
      </c>
      <c r="C1607">
        <v>5697</v>
      </c>
      <c r="D1607" t="s">
        <v>2344</v>
      </c>
      <c r="E1607" t="s">
        <v>2036</v>
      </c>
      <c r="F1607">
        <v>202112</v>
      </c>
      <c r="G1607" t="s">
        <v>2171</v>
      </c>
      <c r="H1607">
        <v>75759.289999999994</v>
      </c>
    </row>
    <row r="1608" spans="1:8">
      <c r="A1608">
        <v>5352</v>
      </c>
      <c r="B1608" t="s">
        <v>2625</v>
      </c>
      <c r="C1608">
        <v>5697</v>
      </c>
      <c r="D1608" t="s">
        <v>2344</v>
      </c>
      <c r="E1608" t="s">
        <v>2036</v>
      </c>
      <c r="F1608">
        <v>202112</v>
      </c>
      <c r="G1608" t="s">
        <v>190</v>
      </c>
      <c r="H1608">
        <v>55648</v>
      </c>
    </row>
    <row r="1609" spans="1:8">
      <c r="A1609">
        <v>5352</v>
      </c>
      <c r="B1609" t="s">
        <v>2625</v>
      </c>
      <c r="C1609">
        <v>5697</v>
      </c>
      <c r="D1609" t="s">
        <v>2344</v>
      </c>
      <c r="E1609" t="s">
        <v>2036</v>
      </c>
      <c r="F1609">
        <v>202112</v>
      </c>
      <c r="G1609" t="s">
        <v>191</v>
      </c>
      <c r="H1609">
        <v>8363</v>
      </c>
    </row>
    <row r="1610" spans="1:8">
      <c r="A1610">
        <v>5352</v>
      </c>
      <c r="B1610" t="s">
        <v>2625</v>
      </c>
      <c r="C1610">
        <v>5697</v>
      </c>
      <c r="D1610" t="s">
        <v>2344</v>
      </c>
      <c r="E1610" t="s">
        <v>2036</v>
      </c>
      <c r="F1610">
        <v>202112</v>
      </c>
      <c r="G1610" t="s">
        <v>176</v>
      </c>
      <c r="H1610">
        <v>0</v>
      </c>
    </row>
    <row r="1611" spans="1:8">
      <c r="A1611">
        <v>5352</v>
      </c>
      <c r="B1611" t="s">
        <v>2625</v>
      </c>
      <c r="C1611">
        <v>5697</v>
      </c>
      <c r="D1611" t="s">
        <v>2344</v>
      </c>
      <c r="E1611" t="s">
        <v>2036</v>
      </c>
      <c r="F1611">
        <v>202112</v>
      </c>
      <c r="G1611" t="s">
        <v>178</v>
      </c>
      <c r="H1611">
        <v>250</v>
      </c>
    </row>
    <row r="1612" spans="1:8">
      <c r="A1612">
        <v>5352</v>
      </c>
      <c r="B1612" t="s">
        <v>2625</v>
      </c>
      <c r="C1612">
        <v>5697</v>
      </c>
      <c r="D1612" t="s">
        <v>2344</v>
      </c>
      <c r="E1612" t="s">
        <v>2036</v>
      </c>
      <c r="F1612">
        <v>202112</v>
      </c>
      <c r="G1612" t="s">
        <v>180</v>
      </c>
      <c r="H1612">
        <v>250</v>
      </c>
    </row>
    <row r="1613" spans="1:8">
      <c r="A1613">
        <v>5352</v>
      </c>
      <c r="B1613" t="s">
        <v>2625</v>
      </c>
      <c r="C1613">
        <v>5697</v>
      </c>
      <c r="D1613" t="s">
        <v>2344</v>
      </c>
      <c r="E1613" t="s">
        <v>2036</v>
      </c>
      <c r="F1613">
        <v>202112</v>
      </c>
      <c r="G1613" t="s">
        <v>182</v>
      </c>
      <c r="H1613">
        <v>55648</v>
      </c>
    </row>
    <row r="1614" spans="1:8">
      <c r="A1614">
        <v>5352</v>
      </c>
      <c r="B1614" t="s">
        <v>2625</v>
      </c>
      <c r="C1614">
        <v>5697</v>
      </c>
      <c r="D1614" t="s">
        <v>2344</v>
      </c>
      <c r="E1614" t="s">
        <v>2036</v>
      </c>
      <c r="F1614">
        <v>202112</v>
      </c>
      <c r="G1614" t="s">
        <v>184</v>
      </c>
      <c r="H1614">
        <v>8363</v>
      </c>
    </row>
    <row r="1615" spans="1:8">
      <c r="A1615">
        <v>5352</v>
      </c>
      <c r="B1615" t="s">
        <v>2625</v>
      </c>
      <c r="C1615">
        <v>5697</v>
      </c>
      <c r="D1615" t="s">
        <v>2344</v>
      </c>
      <c r="E1615" t="s">
        <v>2036</v>
      </c>
      <c r="F1615">
        <v>202112</v>
      </c>
      <c r="G1615" t="s">
        <v>192</v>
      </c>
      <c r="H1615">
        <v>0</v>
      </c>
    </row>
    <row r="1616" spans="1:8">
      <c r="A1616">
        <v>5352</v>
      </c>
      <c r="B1616" t="s">
        <v>2625</v>
      </c>
      <c r="C1616">
        <v>5697</v>
      </c>
      <c r="D1616" t="s">
        <v>2344</v>
      </c>
      <c r="E1616" t="s">
        <v>2036</v>
      </c>
      <c r="F1616">
        <v>202112</v>
      </c>
      <c r="G1616" t="s">
        <v>2170</v>
      </c>
      <c r="H1616">
        <v>811.02</v>
      </c>
    </row>
    <row r="1617" spans="1:8">
      <c r="A1617">
        <v>5352</v>
      </c>
      <c r="B1617" t="s">
        <v>2625</v>
      </c>
      <c r="C1617">
        <v>5697</v>
      </c>
      <c r="D1617" t="s">
        <v>2344</v>
      </c>
      <c r="E1617" t="s">
        <v>2036</v>
      </c>
      <c r="F1617">
        <v>202112</v>
      </c>
      <c r="G1617" t="s">
        <v>186</v>
      </c>
      <c r="H1617">
        <v>0</v>
      </c>
    </row>
    <row r="1618" spans="1:8">
      <c r="A1618">
        <v>5352</v>
      </c>
      <c r="B1618" t="s">
        <v>2625</v>
      </c>
      <c r="C1618">
        <v>5697</v>
      </c>
      <c r="D1618" t="s">
        <v>2344</v>
      </c>
      <c r="E1618" t="s">
        <v>2036</v>
      </c>
      <c r="F1618">
        <v>202112</v>
      </c>
      <c r="G1618" t="s">
        <v>2169</v>
      </c>
      <c r="H1618">
        <v>182.65</v>
      </c>
    </row>
    <row r="1619" spans="1:8">
      <c r="A1619">
        <v>5352</v>
      </c>
      <c r="B1619" t="s">
        <v>2625</v>
      </c>
      <c r="C1619">
        <v>5697</v>
      </c>
      <c r="D1619" t="s">
        <v>2344</v>
      </c>
      <c r="E1619" t="s">
        <v>2036</v>
      </c>
      <c r="F1619">
        <v>202112</v>
      </c>
      <c r="G1619" t="s">
        <v>2166</v>
      </c>
      <c r="H1619">
        <v>11.83</v>
      </c>
    </row>
    <row r="1620" spans="1:8">
      <c r="A1620">
        <v>5352</v>
      </c>
      <c r="B1620" t="s">
        <v>2625</v>
      </c>
      <c r="C1620">
        <v>5697</v>
      </c>
      <c r="D1620" t="s">
        <v>2344</v>
      </c>
      <c r="E1620" t="s">
        <v>2036</v>
      </c>
      <c r="F1620">
        <v>202112</v>
      </c>
      <c r="G1620" t="s">
        <v>2167</v>
      </c>
      <c r="H1620">
        <v>21.22</v>
      </c>
    </row>
    <row r="1621" spans="1:8">
      <c r="A1621">
        <v>5352</v>
      </c>
      <c r="B1621" t="s">
        <v>2625</v>
      </c>
      <c r="C1621">
        <v>5697</v>
      </c>
      <c r="D1621" t="s">
        <v>2344</v>
      </c>
      <c r="E1621" t="s">
        <v>2036</v>
      </c>
      <c r="F1621">
        <v>202112</v>
      </c>
      <c r="G1621" t="s">
        <v>2168</v>
      </c>
      <c r="H1621">
        <v>14.37</v>
      </c>
    </row>
    <row r="1622" spans="1:8">
      <c r="A1622">
        <v>5352</v>
      </c>
      <c r="B1622" t="s">
        <v>2625</v>
      </c>
      <c r="C1622">
        <v>5697</v>
      </c>
      <c r="D1622" t="s">
        <v>2344</v>
      </c>
      <c r="E1622" t="s">
        <v>2036</v>
      </c>
      <c r="F1622">
        <v>202112</v>
      </c>
      <c r="G1622" t="s">
        <v>2171</v>
      </c>
      <c r="H1622">
        <v>25550.44</v>
      </c>
    </row>
    <row r="1623" spans="1:8">
      <c r="A1623">
        <v>5352</v>
      </c>
      <c r="B1623" t="s">
        <v>2625</v>
      </c>
      <c r="C1623">
        <v>5697</v>
      </c>
      <c r="D1623" t="s">
        <v>2344</v>
      </c>
      <c r="E1623" t="s">
        <v>2036</v>
      </c>
      <c r="F1623">
        <v>202112</v>
      </c>
      <c r="G1623" t="s">
        <v>190</v>
      </c>
      <c r="H1623">
        <v>658224</v>
      </c>
    </row>
    <row r="1624" spans="1:8">
      <c r="A1624">
        <v>5352</v>
      </c>
      <c r="B1624" t="s">
        <v>2625</v>
      </c>
      <c r="C1624">
        <v>5697</v>
      </c>
      <c r="D1624" t="s">
        <v>2344</v>
      </c>
      <c r="E1624" t="s">
        <v>2036</v>
      </c>
      <c r="F1624">
        <v>202112</v>
      </c>
      <c r="G1624" t="s">
        <v>191</v>
      </c>
      <c r="H1624">
        <v>45690</v>
      </c>
    </row>
    <row r="1625" spans="1:8">
      <c r="A1625">
        <v>5352</v>
      </c>
      <c r="B1625" t="s">
        <v>2625</v>
      </c>
      <c r="C1625">
        <v>5697</v>
      </c>
      <c r="D1625" t="s">
        <v>2344</v>
      </c>
      <c r="E1625" t="s">
        <v>2036</v>
      </c>
      <c r="F1625">
        <v>202112</v>
      </c>
      <c r="G1625" t="s">
        <v>176</v>
      </c>
      <c r="H1625">
        <v>-12393.34</v>
      </c>
    </row>
    <row r="1626" spans="1:8">
      <c r="A1626">
        <v>5352</v>
      </c>
      <c r="B1626" t="s">
        <v>2625</v>
      </c>
      <c r="C1626">
        <v>5697</v>
      </c>
      <c r="D1626" t="s">
        <v>2344</v>
      </c>
      <c r="E1626" t="s">
        <v>2036</v>
      </c>
      <c r="F1626">
        <v>202112</v>
      </c>
      <c r="G1626" t="s">
        <v>178</v>
      </c>
      <c r="H1626">
        <v>1419</v>
      </c>
    </row>
    <row r="1627" spans="1:8">
      <c r="A1627">
        <v>5352</v>
      </c>
      <c r="B1627" t="s">
        <v>2625</v>
      </c>
      <c r="C1627">
        <v>5697</v>
      </c>
      <c r="D1627" t="s">
        <v>2344</v>
      </c>
      <c r="E1627" t="s">
        <v>2036</v>
      </c>
      <c r="F1627">
        <v>202112</v>
      </c>
      <c r="G1627" t="s">
        <v>180</v>
      </c>
      <c r="H1627">
        <v>1250</v>
      </c>
    </row>
    <row r="1628" spans="1:8">
      <c r="A1628">
        <v>5352</v>
      </c>
      <c r="B1628" t="s">
        <v>2625</v>
      </c>
      <c r="C1628">
        <v>5697</v>
      </c>
      <c r="D1628" t="s">
        <v>2344</v>
      </c>
      <c r="E1628" t="s">
        <v>2036</v>
      </c>
      <c r="F1628">
        <v>202112</v>
      </c>
      <c r="G1628" t="s">
        <v>182</v>
      </c>
      <c r="H1628">
        <v>658224</v>
      </c>
    </row>
    <row r="1629" spans="1:8">
      <c r="A1629">
        <v>5352</v>
      </c>
      <c r="B1629" t="s">
        <v>2625</v>
      </c>
      <c r="C1629">
        <v>5697</v>
      </c>
      <c r="D1629" t="s">
        <v>2344</v>
      </c>
      <c r="E1629" t="s">
        <v>2036</v>
      </c>
      <c r="F1629">
        <v>202112</v>
      </c>
      <c r="G1629" t="s">
        <v>184</v>
      </c>
      <c r="H1629">
        <v>45690</v>
      </c>
    </row>
    <row r="1630" spans="1:8">
      <c r="A1630">
        <v>5352</v>
      </c>
      <c r="B1630" t="s">
        <v>2625</v>
      </c>
      <c r="C1630">
        <v>5697</v>
      </c>
      <c r="D1630" t="s">
        <v>2344</v>
      </c>
      <c r="E1630" t="s">
        <v>2036</v>
      </c>
      <c r="F1630">
        <v>202112</v>
      </c>
      <c r="G1630" t="s">
        <v>192</v>
      </c>
      <c r="H1630">
        <v>0</v>
      </c>
    </row>
    <row r="1631" spans="1:8">
      <c r="A1631">
        <v>5352</v>
      </c>
      <c r="B1631" t="s">
        <v>2625</v>
      </c>
      <c r="C1631">
        <v>5697</v>
      </c>
      <c r="D1631" t="s">
        <v>2344</v>
      </c>
      <c r="E1631" t="s">
        <v>2036</v>
      </c>
      <c r="F1631">
        <v>202112</v>
      </c>
      <c r="G1631" t="s">
        <v>2170</v>
      </c>
      <c r="H1631">
        <v>7071.26</v>
      </c>
    </row>
    <row r="1632" spans="1:8">
      <c r="A1632">
        <v>5352</v>
      </c>
      <c r="B1632" t="s">
        <v>2625</v>
      </c>
      <c r="C1632">
        <v>5697</v>
      </c>
      <c r="D1632" t="s">
        <v>2344</v>
      </c>
      <c r="E1632" t="s">
        <v>2036</v>
      </c>
      <c r="F1632">
        <v>202112</v>
      </c>
      <c r="G1632" t="s">
        <v>186</v>
      </c>
      <c r="H1632">
        <v>0</v>
      </c>
    </row>
    <row r="1633" spans="1:8">
      <c r="A1633">
        <v>5352</v>
      </c>
      <c r="B1633" t="s">
        <v>2625</v>
      </c>
      <c r="C1633">
        <v>5697</v>
      </c>
      <c r="D1633" t="s">
        <v>2344</v>
      </c>
      <c r="E1633" t="s">
        <v>2036</v>
      </c>
      <c r="F1633">
        <v>202112</v>
      </c>
      <c r="G1633" t="s">
        <v>2169</v>
      </c>
      <c r="H1633">
        <v>182.65</v>
      </c>
    </row>
    <row r="1634" spans="1:8">
      <c r="A1634">
        <v>5352</v>
      </c>
      <c r="B1634" t="s">
        <v>2625</v>
      </c>
      <c r="C1634">
        <v>5697</v>
      </c>
      <c r="D1634" t="s">
        <v>2344</v>
      </c>
      <c r="E1634" t="s">
        <v>2036</v>
      </c>
      <c r="F1634">
        <v>202112</v>
      </c>
      <c r="G1634" t="s">
        <v>2166</v>
      </c>
      <c r="H1634">
        <v>11.83</v>
      </c>
    </row>
    <row r="1635" spans="1:8">
      <c r="A1635">
        <v>5352</v>
      </c>
      <c r="B1635" t="s">
        <v>2625</v>
      </c>
      <c r="C1635">
        <v>5697</v>
      </c>
      <c r="D1635" t="s">
        <v>2344</v>
      </c>
      <c r="E1635" t="s">
        <v>2036</v>
      </c>
      <c r="F1635">
        <v>202112</v>
      </c>
      <c r="G1635" t="s">
        <v>2167</v>
      </c>
      <c r="H1635">
        <v>21.22</v>
      </c>
    </row>
    <row r="1636" spans="1:8">
      <c r="A1636">
        <v>5352</v>
      </c>
      <c r="B1636" t="s">
        <v>2625</v>
      </c>
      <c r="C1636">
        <v>5697</v>
      </c>
      <c r="D1636" t="s">
        <v>2344</v>
      </c>
      <c r="E1636" t="s">
        <v>2036</v>
      </c>
      <c r="F1636">
        <v>202112</v>
      </c>
      <c r="G1636" t="s">
        <v>2168</v>
      </c>
      <c r="H1636">
        <v>14.37</v>
      </c>
    </row>
    <row r="1637" spans="1:8">
      <c r="A1637">
        <v>5352</v>
      </c>
      <c r="B1637" t="s">
        <v>2625</v>
      </c>
      <c r="C1637">
        <v>5697</v>
      </c>
      <c r="D1637" t="s">
        <v>2344</v>
      </c>
      <c r="E1637" t="s">
        <v>2036</v>
      </c>
      <c r="F1637">
        <v>202112</v>
      </c>
      <c r="G1637" t="s">
        <v>2171</v>
      </c>
      <c r="H1637">
        <v>176513.28</v>
      </c>
    </row>
    <row r="1638" spans="1:8">
      <c r="A1638">
        <v>5352</v>
      </c>
      <c r="B1638" t="s">
        <v>2625</v>
      </c>
      <c r="C1638">
        <v>5697</v>
      </c>
      <c r="D1638" t="s">
        <v>2344</v>
      </c>
      <c r="E1638" t="s">
        <v>2036</v>
      </c>
      <c r="F1638">
        <v>202112</v>
      </c>
      <c r="G1638" t="s">
        <v>190</v>
      </c>
      <c r="H1638">
        <v>165376</v>
      </c>
    </row>
    <row r="1639" spans="1:8">
      <c r="A1639">
        <v>5352</v>
      </c>
      <c r="B1639" t="s">
        <v>2625</v>
      </c>
      <c r="C1639">
        <v>5697</v>
      </c>
      <c r="D1639" t="s">
        <v>2344</v>
      </c>
      <c r="E1639" t="s">
        <v>2036</v>
      </c>
      <c r="F1639">
        <v>202112</v>
      </c>
      <c r="G1639" t="s">
        <v>191</v>
      </c>
      <c r="H1639">
        <v>21682</v>
      </c>
    </row>
    <row r="1640" spans="1:8">
      <c r="A1640">
        <v>5352</v>
      </c>
      <c r="B1640" t="s">
        <v>2625</v>
      </c>
      <c r="C1640">
        <v>5697</v>
      </c>
      <c r="D1640" t="s">
        <v>2344</v>
      </c>
      <c r="E1640" t="s">
        <v>2036</v>
      </c>
      <c r="F1640">
        <v>202112</v>
      </c>
      <c r="G1640" t="s">
        <v>176</v>
      </c>
      <c r="H1640">
        <v>-1400.54</v>
      </c>
    </row>
    <row r="1641" spans="1:8">
      <c r="A1641">
        <v>5352</v>
      </c>
      <c r="B1641" t="s">
        <v>2625</v>
      </c>
      <c r="C1641">
        <v>5697</v>
      </c>
      <c r="D1641" t="s">
        <v>2344</v>
      </c>
      <c r="E1641" t="s">
        <v>2036</v>
      </c>
      <c r="F1641">
        <v>202112</v>
      </c>
      <c r="G1641" t="s">
        <v>178</v>
      </c>
      <c r="H1641">
        <v>580</v>
      </c>
    </row>
    <row r="1642" spans="1:8">
      <c r="A1642">
        <v>5352</v>
      </c>
      <c r="B1642" t="s">
        <v>2625</v>
      </c>
      <c r="C1642">
        <v>5697</v>
      </c>
      <c r="D1642" t="s">
        <v>2344</v>
      </c>
      <c r="E1642" t="s">
        <v>2036</v>
      </c>
      <c r="F1642">
        <v>202112</v>
      </c>
      <c r="G1642" t="s">
        <v>180</v>
      </c>
      <c r="H1642">
        <v>580</v>
      </c>
    </row>
    <row r="1643" spans="1:8">
      <c r="A1643">
        <v>5352</v>
      </c>
      <c r="B1643" t="s">
        <v>2625</v>
      </c>
      <c r="C1643">
        <v>5697</v>
      </c>
      <c r="D1643" t="s">
        <v>2344</v>
      </c>
      <c r="E1643" t="s">
        <v>2036</v>
      </c>
      <c r="F1643">
        <v>202112</v>
      </c>
      <c r="G1643" t="s">
        <v>182</v>
      </c>
      <c r="H1643">
        <v>165376</v>
      </c>
    </row>
    <row r="1644" spans="1:8">
      <c r="A1644">
        <v>5352</v>
      </c>
      <c r="B1644" t="s">
        <v>2625</v>
      </c>
      <c r="C1644">
        <v>5697</v>
      </c>
      <c r="D1644" t="s">
        <v>2344</v>
      </c>
      <c r="E1644" t="s">
        <v>2036</v>
      </c>
      <c r="F1644">
        <v>202112</v>
      </c>
      <c r="G1644" t="s">
        <v>184</v>
      </c>
      <c r="H1644">
        <v>21682</v>
      </c>
    </row>
    <row r="1645" spans="1:8">
      <c r="A1645">
        <v>5352</v>
      </c>
      <c r="B1645" t="s">
        <v>2625</v>
      </c>
      <c r="C1645">
        <v>5697</v>
      </c>
      <c r="D1645" t="s">
        <v>2344</v>
      </c>
      <c r="E1645" t="s">
        <v>2036</v>
      </c>
      <c r="F1645">
        <v>202112</v>
      </c>
      <c r="G1645" t="s">
        <v>192</v>
      </c>
      <c r="H1645">
        <v>0</v>
      </c>
    </row>
    <row r="1646" spans="1:8">
      <c r="A1646">
        <v>5352</v>
      </c>
      <c r="B1646" t="s">
        <v>2625</v>
      </c>
      <c r="C1646">
        <v>5697</v>
      </c>
      <c r="D1646" t="s">
        <v>2344</v>
      </c>
      <c r="E1646" t="s">
        <v>2036</v>
      </c>
      <c r="F1646">
        <v>202112</v>
      </c>
      <c r="G1646" t="s">
        <v>2170</v>
      </c>
      <c r="H1646">
        <v>2176.66</v>
      </c>
    </row>
    <row r="1647" spans="1:8">
      <c r="A1647">
        <v>5352</v>
      </c>
      <c r="B1647" t="s">
        <v>2625</v>
      </c>
      <c r="C1647">
        <v>5697</v>
      </c>
      <c r="D1647" t="s">
        <v>2344</v>
      </c>
      <c r="E1647" t="s">
        <v>2036</v>
      </c>
      <c r="F1647">
        <v>202112</v>
      </c>
      <c r="G1647" t="s">
        <v>186</v>
      </c>
      <c r="H1647">
        <v>0</v>
      </c>
    </row>
    <row r="1648" spans="1:8">
      <c r="A1648">
        <v>5352</v>
      </c>
      <c r="B1648" t="s">
        <v>2625</v>
      </c>
      <c r="C1648">
        <v>5697</v>
      </c>
      <c r="D1648" t="s">
        <v>2344</v>
      </c>
      <c r="E1648" t="s">
        <v>2036</v>
      </c>
      <c r="F1648">
        <v>202112</v>
      </c>
      <c r="G1648" t="s">
        <v>2169</v>
      </c>
      <c r="H1648">
        <v>182.65</v>
      </c>
    </row>
    <row r="1649" spans="1:8">
      <c r="A1649">
        <v>5352</v>
      </c>
      <c r="B1649" t="s">
        <v>2625</v>
      </c>
      <c r="C1649">
        <v>5697</v>
      </c>
      <c r="D1649" t="s">
        <v>2344</v>
      </c>
      <c r="E1649" t="s">
        <v>2036</v>
      </c>
      <c r="F1649">
        <v>202112</v>
      </c>
      <c r="G1649" t="s">
        <v>2166</v>
      </c>
      <c r="H1649">
        <v>11.83</v>
      </c>
    </row>
    <row r="1650" spans="1:8">
      <c r="A1650">
        <v>5352</v>
      </c>
      <c r="B1650" t="s">
        <v>2625</v>
      </c>
      <c r="C1650">
        <v>5697</v>
      </c>
      <c r="D1650" t="s">
        <v>2344</v>
      </c>
      <c r="E1650" t="s">
        <v>2036</v>
      </c>
      <c r="F1650">
        <v>202112</v>
      </c>
      <c r="G1650" t="s">
        <v>2167</v>
      </c>
      <c r="H1650">
        <v>21.22</v>
      </c>
    </row>
    <row r="1651" spans="1:8">
      <c r="A1651">
        <v>5352</v>
      </c>
      <c r="B1651" t="s">
        <v>2625</v>
      </c>
      <c r="C1651">
        <v>5697</v>
      </c>
      <c r="D1651" t="s">
        <v>2344</v>
      </c>
      <c r="E1651" t="s">
        <v>2036</v>
      </c>
      <c r="F1651">
        <v>202112</v>
      </c>
      <c r="G1651" t="s">
        <v>2168</v>
      </c>
      <c r="H1651">
        <v>14.37</v>
      </c>
    </row>
    <row r="1652" spans="1:8">
      <c r="A1652">
        <v>5352</v>
      </c>
      <c r="B1652" t="s">
        <v>2625</v>
      </c>
      <c r="C1652">
        <v>5697</v>
      </c>
      <c r="D1652" t="s">
        <v>2344</v>
      </c>
      <c r="E1652" t="s">
        <v>2036</v>
      </c>
      <c r="F1652">
        <v>202112</v>
      </c>
      <c r="G1652" t="s">
        <v>2171</v>
      </c>
      <c r="H1652">
        <v>56778.8</v>
      </c>
    </row>
    <row r="1653" spans="1:8">
      <c r="A1653">
        <v>5352</v>
      </c>
      <c r="B1653" t="s">
        <v>2625</v>
      </c>
      <c r="C1653">
        <v>5697</v>
      </c>
      <c r="D1653" t="s">
        <v>2344</v>
      </c>
      <c r="E1653" t="s">
        <v>2036</v>
      </c>
      <c r="F1653">
        <v>202112</v>
      </c>
      <c r="G1653" t="s">
        <v>190</v>
      </c>
      <c r="H1653">
        <v>128614</v>
      </c>
    </row>
    <row r="1654" spans="1:8">
      <c r="A1654">
        <v>5352</v>
      </c>
      <c r="B1654" t="s">
        <v>2625</v>
      </c>
      <c r="C1654">
        <v>5697</v>
      </c>
      <c r="D1654" t="s">
        <v>2344</v>
      </c>
      <c r="E1654" t="s">
        <v>2036</v>
      </c>
      <c r="F1654">
        <v>202112</v>
      </c>
      <c r="G1654" t="s">
        <v>191</v>
      </c>
      <c r="H1654">
        <v>17011</v>
      </c>
    </row>
    <row r="1655" spans="1:8">
      <c r="A1655">
        <v>5352</v>
      </c>
      <c r="B1655" t="s">
        <v>2625</v>
      </c>
      <c r="C1655">
        <v>5697</v>
      </c>
      <c r="D1655" t="s">
        <v>2344</v>
      </c>
      <c r="E1655" t="s">
        <v>2036</v>
      </c>
      <c r="F1655">
        <v>202112</v>
      </c>
      <c r="G1655" t="s">
        <v>176</v>
      </c>
      <c r="H1655">
        <v>-1129.53</v>
      </c>
    </row>
    <row r="1656" spans="1:8">
      <c r="A1656">
        <v>5352</v>
      </c>
      <c r="B1656" t="s">
        <v>2625</v>
      </c>
      <c r="C1656">
        <v>5697</v>
      </c>
      <c r="D1656" t="s">
        <v>2344</v>
      </c>
      <c r="E1656" t="s">
        <v>2036</v>
      </c>
      <c r="F1656">
        <v>202112</v>
      </c>
      <c r="G1656" t="s">
        <v>178</v>
      </c>
      <c r="H1656">
        <v>600</v>
      </c>
    </row>
    <row r="1657" spans="1:8">
      <c r="A1657">
        <v>5352</v>
      </c>
      <c r="B1657" t="s">
        <v>2625</v>
      </c>
      <c r="C1657">
        <v>5697</v>
      </c>
      <c r="D1657" t="s">
        <v>2344</v>
      </c>
      <c r="E1657" t="s">
        <v>2036</v>
      </c>
      <c r="F1657">
        <v>202112</v>
      </c>
      <c r="G1657" t="s">
        <v>180</v>
      </c>
      <c r="H1657">
        <v>600</v>
      </c>
    </row>
    <row r="1658" spans="1:8">
      <c r="A1658">
        <v>5352</v>
      </c>
      <c r="B1658" t="s">
        <v>2625</v>
      </c>
      <c r="C1658">
        <v>5697</v>
      </c>
      <c r="D1658" t="s">
        <v>2344</v>
      </c>
      <c r="E1658" t="s">
        <v>2036</v>
      </c>
      <c r="F1658">
        <v>202112</v>
      </c>
      <c r="G1658" t="s">
        <v>182</v>
      </c>
      <c r="H1658">
        <v>128614</v>
      </c>
    </row>
    <row r="1659" spans="1:8">
      <c r="A1659">
        <v>5352</v>
      </c>
      <c r="B1659" t="s">
        <v>2625</v>
      </c>
      <c r="C1659">
        <v>5697</v>
      </c>
      <c r="D1659" t="s">
        <v>2344</v>
      </c>
      <c r="E1659" t="s">
        <v>2036</v>
      </c>
      <c r="F1659">
        <v>202112</v>
      </c>
      <c r="G1659" t="s">
        <v>184</v>
      </c>
      <c r="H1659">
        <v>17011</v>
      </c>
    </row>
    <row r="1660" spans="1:8">
      <c r="A1660">
        <v>5352</v>
      </c>
      <c r="B1660" t="s">
        <v>2625</v>
      </c>
      <c r="C1660">
        <v>5697</v>
      </c>
      <c r="D1660" t="s">
        <v>2344</v>
      </c>
      <c r="E1660" t="s">
        <v>2036</v>
      </c>
      <c r="F1660">
        <v>202112</v>
      </c>
      <c r="G1660" t="s">
        <v>192</v>
      </c>
      <c r="H1660">
        <v>0</v>
      </c>
    </row>
    <row r="1661" spans="1:8">
      <c r="A1661">
        <v>5352</v>
      </c>
      <c r="B1661" t="s">
        <v>2625</v>
      </c>
      <c r="C1661">
        <v>5697</v>
      </c>
      <c r="D1661" t="s">
        <v>2344</v>
      </c>
      <c r="E1661" t="s">
        <v>2036</v>
      </c>
      <c r="F1661">
        <v>202112</v>
      </c>
      <c r="G1661" t="s">
        <v>2170</v>
      </c>
      <c r="H1661">
        <v>1885.18</v>
      </c>
    </row>
    <row r="1662" spans="1:8">
      <c r="A1662">
        <v>5352</v>
      </c>
      <c r="B1662" t="s">
        <v>2625</v>
      </c>
      <c r="C1662">
        <v>5697</v>
      </c>
      <c r="D1662" t="s">
        <v>2344</v>
      </c>
      <c r="E1662" t="s">
        <v>2036</v>
      </c>
      <c r="F1662">
        <v>202112</v>
      </c>
      <c r="G1662" t="s">
        <v>186</v>
      </c>
      <c r="H1662">
        <v>0</v>
      </c>
    </row>
    <row r="1663" spans="1:8">
      <c r="A1663">
        <v>5352</v>
      </c>
      <c r="B1663" t="s">
        <v>2625</v>
      </c>
      <c r="C1663">
        <v>5697</v>
      </c>
      <c r="D1663" t="s">
        <v>2344</v>
      </c>
      <c r="E1663" t="s">
        <v>2036</v>
      </c>
      <c r="F1663">
        <v>202112</v>
      </c>
      <c r="G1663" t="s">
        <v>2169</v>
      </c>
      <c r="H1663">
        <v>182.65</v>
      </c>
    </row>
    <row r="1664" spans="1:8">
      <c r="A1664">
        <v>5352</v>
      </c>
      <c r="B1664" t="s">
        <v>2625</v>
      </c>
      <c r="C1664">
        <v>5697</v>
      </c>
      <c r="D1664" t="s">
        <v>2344</v>
      </c>
      <c r="E1664" t="s">
        <v>2036</v>
      </c>
      <c r="F1664">
        <v>202112</v>
      </c>
      <c r="G1664" t="s">
        <v>2166</v>
      </c>
      <c r="H1664">
        <v>11.83</v>
      </c>
    </row>
    <row r="1665" spans="1:8">
      <c r="A1665">
        <v>5352</v>
      </c>
      <c r="B1665" t="s">
        <v>2625</v>
      </c>
      <c r="C1665">
        <v>5697</v>
      </c>
      <c r="D1665" t="s">
        <v>2344</v>
      </c>
      <c r="E1665" t="s">
        <v>2036</v>
      </c>
      <c r="F1665">
        <v>202112</v>
      </c>
      <c r="G1665" t="s">
        <v>2167</v>
      </c>
      <c r="H1665">
        <v>21.22</v>
      </c>
    </row>
    <row r="1666" spans="1:8">
      <c r="A1666">
        <v>5352</v>
      </c>
      <c r="B1666" t="s">
        <v>2625</v>
      </c>
      <c r="C1666">
        <v>5697</v>
      </c>
      <c r="D1666" t="s">
        <v>2344</v>
      </c>
      <c r="E1666" t="s">
        <v>2036</v>
      </c>
      <c r="F1666">
        <v>202112</v>
      </c>
      <c r="G1666" t="s">
        <v>2168</v>
      </c>
      <c r="H1666">
        <v>14.37</v>
      </c>
    </row>
    <row r="1667" spans="1:8">
      <c r="A1667">
        <v>5352</v>
      </c>
      <c r="B1667" t="s">
        <v>2625</v>
      </c>
      <c r="C1667">
        <v>5697</v>
      </c>
      <c r="D1667" t="s">
        <v>2344</v>
      </c>
      <c r="E1667" t="s">
        <v>2036</v>
      </c>
      <c r="F1667">
        <v>202112</v>
      </c>
      <c r="G1667" t="s">
        <v>2171</v>
      </c>
      <c r="H1667">
        <v>47836.31</v>
      </c>
    </row>
    <row r="1668" spans="1:8">
      <c r="A1668">
        <v>5352</v>
      </c>
      <c r="B1668" t="s">
        <v>2625</v>
      </c>
      <c r="C1668">
        <v>5697</v>
      </c>
      <c r="D1668" t="s">
        <v>2344</v>
      </c>
      <c r="E1668" t="s">
        <v>2036</v>
      </c>
      <c r="F1668">
        <v>202112</v>
      </c>
      <c r="G1668" t="s">
        <v>190</v>
      </c>
      <c r="H1668">
        <v>331879</v>
      </c>
    </row>
    <row r="1669" spans="1:8">
      <c r="A1669">
        <v>5352</v>
      </c>
      <c r="B1669" t="s">
        <v>2625</v>
      </c>
      <c r="C1669">
        <v>5697</v>
      </c>
      <c r="D1669" t="s">
        <v>2344</v>
      </c>
      <c r="E1669" t="s">
        <v>2036</v>
      </c>
      <c r="F1669">
        <v>202112</v>
      </c>
      <c r="G1669" t="s">
        <v>191</v>
      </c>
      <c r="H1669">
        <v>45550</v>
      </c>
    </row>
    <row r="1670" spans="1:8">
      <c r="A1670">
        <v>5352</v>
      </c>
      <c r="B1670" t="s">
        <v>2625</v>
      </c>
      <c r="C1670">
        <v>5697</v>
      </c>
      <c r="D1670" t="s">
        <v>2344</v>
      </c>
      <c r="E1670" t="s">
        <v>2036</v>
      </c>
      <c r="F1670">
        <v>202112</v>
      </c>
      <c r="G1670" t="s">
        <v>176</v>
      </c>
      <c r="H1670">
        <v>-6197.06</v>
      </c>
    </row>
    <row r="1671" spans="1:8">
      <c r="A1671">
        <v>5352</v>
      </c>
      <c r="B1671" t="s">
        <v>2625</v>
      </c>
      <c r="C1671">
        <v>5697</v>
      </c>
      <c r="D1671" t="s">
        <v>2344</v>
      </c>
      <c r="E1671" t="s">
        <v>2036</v>
      </c>
      <c r="F1671">
        <v>202112</v>
      </c>
      <c r="G1671" t="s">
        <v>178</v>
      </c>
      <c r="H1671">
        <v>879</v>
      </c>
    </row>
    <row r="1672" spans="1:8">
      <c r="A1672">
        <v>5352</v>
      </c>
      <c r="B1672" t="s">
        <v>2625</v>
      </c>
      <c r="C1672">
        <v>5697</v>
      </c>
      <c r="D1672" t="s">
        <v>2344</v>
      </c>
      <c r="E1672" t="s">
        <v>2036</v>
      </c>
      <c r="F1672">
        <v>202112</v>
      </c>
      <c r="G1672" t="s">
        <v>180</v>
      </c>
      <c r="H1672">
        <v>865</v>
      </c>
    </row>
    <row r="1673" spans="1:8">
      <c r="A1673">
        <v>5352</v>
      </c>
      <c r="B1673" t="s">
        <v>2625</v>
      </c>
      <c r="C1673">
        <v>5697</v>
      </c>
      <c r="D1673" t="s">
        <v>2344</v>
      </c>
      <c r="E1673" t="s">
        <v>2036</v>
      </c>
      <c r="F1673">
        <v>202112</v>
      </c>
      <c r="G1673" t="s">
        <v>182</v>
      </c>
      <c r="H1673">
        <v>331879</v>
      </c>
    </row>
    <row r="1674" spans="1:8">
      <c r="A1674">
        <v>5352</v>
      </c>
      <c r="B1674" t="s">
        <v>2625</v>
      </c>
      <c r="C1674">
        <v>5697</v>
      </c>
      <c r="D1674" t="s">
        <v>2344</v>
      </c>
      <c r="E1674" t="s">
        <v>2036</v>
      </c>
      <c r="F1674">
        <v>202112</v>
      </c>
      <c r="G1674" t="s">
        <v>184</v>
      </c>
      <c r="H1674">
        <v>45550</v>
      </c>
    </row>
    <row r="1675" spans="1:8">
      <c r="A1675">
        <v>5352</v>
      </c>
      <c r="B1675" t="s">
        <v>2625</v>
      </c>
      <c r="C1675">
        <v>5697</v>
      </c>
      <c r="D1675" t="s">
        <v>2344</v>
      </c>
      <c r="E1675" t="s">
        <v>2036</v>
      </c>
      <c r="F1675">
        <v>202112</v>
      </c>
      <c r="G1675" t="s">
        <v>192</v>
      </c>
      <c r="H1675">
        <v>0</v>
      </c>
    </row>
    <row r="1676" spans="1:8">
      <c r="A1676">
        <v>5352</v>
      </c>
      <c r="B1676" t="s">
        <v>2625</v>
      </c>
      <c r="C1676">
        <v>5697</v>
      </c>
      <c r="D1676" t="s">
        <v>2344</v>
      </c>
      <c r="E1676" t="s">
        <v>2036</v>
      </c>
      <c r="F1676">
        <v>202112</v>
      </c>
      <c r="G1676" t="s">
        <v>2170</v>
      </c>
      <c r="H1676">
        <v>4138</v>
      </c>
    </row>
    <row r="1677" spans="1:8">
      <c r="A1677">
        <v>5352</v>
      </c>
      <c r="B1677" t="s">
        <v>2625</v>
      </c>
      <c r="C1677">
        <v>5697</v>
      </c>
      <c r="D1677" t="s">
        <v>2344</v>
      </c>
      <c r="E1677" t="s">
        <v>2036</v>
      </c>
      <c r="F1677">
        <v>202112</v>
      </c>
      <c r="G1677" t="s">
        <v>186</v>
      </c>
      <c r="H1677">
        <v>0</v>
      </c>
    </row>
    <row r="1678" spans="1:8">
      <c r="A1678">
        <v>5352</v>
      </c>
      <c r="B1678" t="s">
        <v>2625</v>
      </c>
      <c r="C1678">
        <v>5697</v>
      </c>
      <c r="D1678" t="s">
        <v>2344</v>
      </c>
      <c r="E1678" t="s">
        <v>2036</v>
      </c>
      <c r="F1678">
        <v>202112</v>
      </c>
      <c r="G1678" t="s">
        <v>2169</v>
      </c>
      <c r="H1678">
        <v>182.65</v>
      </c>
    </row>
    <row r="1679" spans="1:8">
      <c r="A1679">
        <v>5352</v>
      </c>
      <c r="B1679" t="s">
        <v>2625</v>
      </c>
      <c r="C1679">
        <v>5697</v>
      </c>
      <c r="D1679" t="s">
        <v>2344</v>
      </c>
      <c r="E1679" t="s">
        <v>2036</v>
      </c>
      <c r="F1679">
        <v>202112</v>
      </c>
      <c r="G1679" t="s">
        <v>2166</v>
      </c>
      <c r="H1679">
        <v>11.83</v>
      </c>
    </row>
    <row r="1680" spans="1:8">
      <c r="A1680">
        <v>5352</v>
      </c>
      <c r="B1680" t="s">
        <v>2625</v>
      </c>
      <c r="C1680">
        <v>5697</v>
      </c>
      <c r="D1680" t="s">
        <v>2344</v>
      </c>
      <c r="E1680" t="s">
        <v>2036</v>
      </c>
      <c r="F1680">
        <v>202112</v>
      </c>
      <c r="G1680" t="s">
        <v>2167</v>
      </c>
      <c r="H1680">
        <v>21.22</v>
      </c>
    </row>
    <row r="1681" spans="1:8">
      <c r="A1681">
        <v>5352</v>
      </c>
      <c r="B1681" t="s">
        <v>2625</v>
      </c>
      <c r="C1681">
        <v>5697</v>
      </c>
      <c r="D1681" t="s">
        <v>2344</v>
      </c>
      <c r="E1681" t="s">
        <v>2036</v>
      </c>
      <c r="F1681">
        <v>202112</v>
      </c>
      <c r="G1681" t="s">
        <v>2168</v>
      </c>
      <c r="H1681">
        <v>14.37</v>
      </c>
    </row>
    <row r="1682" spans="1:8">
      <c r="A1682">
        <v>5352</v>
      </c>
      <c r="B1682" t="s">
        <v>2625</v>
      </c>
      <c r="C1682">
        <v>5697</v>
      </c>
      <c r="D1682" t="s">
        <v>2344</v>
      </c>
      <c r="E1682" t="s">
        <v>2036</v>
      </c>
      <c r="F1682">
        <v>202112</v>
      </c>
      <c r="G1682" t="s">
        <v>2171</v>
      </c>
      <c r="H1682">
        <v>104329.52</v>
      </c>
    </row>
    <row r="1683" spans="1:8">
      <c r="A1683">
        <v>5352</v>
      </c>
      <c r="B1683" t="s">
        <v>2625</v>
      </c>
      <c r="C1683">
        <v>5697</v>
      </c>
      <c r="D1683" t="s">
        <v>2344</v>
      </c>
      <c r="E1683" t="s">
        <v>2036</v>
      </c>
      <c r="F1683">
        <v>202112</v>
      </c>
      <c r="G1683" t="s">
        <v>190</v>
      </c>
      <c r="H1683">
        <v>92952</v>
      </c>
    </row>
    <row r="1684" spans="1:8">
      <c r="A1684">
        <v>5352</v>
      </c>
      <c r="B1684" t="s">
        <v>2625</v>
      </c>
      <c r="C1684">
        <v>5697</v>
      </c>
      <c r="D1684" t="s">
        <v>2344</v>
      </c>
      <c r="E1684" t="s">
        <v>2036</v>
      </c>
      <c r="F1684">
        <v>202112</v>
      </c>
      <c r="G1684" t="s">
        <v>191</v>
      </c>
      <c r="H1684">
        <v>12997</v>
      </c>
    </row>
    <row r="1685" spans="1:8">
      <c r="A1685">
        <v>5352</v>
      </c>
      <c r="B1685" t="s">
        <v>2625</v>
      </c>
      <c r="C1685">
        <v>5697</v>
      </c>
      <c r="D1685" t="s">
        <v>2344</v>
      </c>
      <c r="E1685" t="s">
        <v>2036</v>
      </c>
      <c r="F1685">
        <v>202112</v>
      </c>
      <c r="G1685" t="s">
        <v>176</v>
      </c>
      <c r="H1685">
        <v>-1332.77</v>
      </c>
    </row>
    <row r="1686" spans="1:8">
      <c r="A1686">
        <v>5352</v>
      </c>
      <c r="B1686" t="s">
        <v>2625</v>
      </c>
      <c r="C1686">
        <v>5697</v>
      </c>
      <c r="D1686" t="s">
        <v>2344</v>
      </c>
      <c r="E1686" t="s">
        <v>2036</v>
      </c>
      <c r="F1686">
        <v>202112</v>
      </c>
      <c r="G1686" t="s">
        <v>178</v>
      </c>
      <c r="H1686">
        <v>350</v>
      </c>
    </row>
    <row r="1687" spans="1:8">
      <c r="A1687">
        <v>5352</v>
      </c>
      <c r="B1687" t="s">
        <v>2625</v>
      </c>
      <c r="C1687">
        <v>5697</v>
      </c>
      <c r="D1687" t="s">
        <v>2344</v>
      </c>
      <c r="E1687" t="s">
        <v>2036</v>
      </c>
      <c r="F1687">
        <v>202112</v>
      </c>
      <c r="G1687" t="s">
        <v>180</v>
      </c>
      <c r="H1687">
        <v>350</v>
      </c>
    </row>
    <row r="1688" spans="1:8">
      <c r="A1688">
        <v>5352</v>
      </c>
      <c r="B1688" t="s">
        <v>2625</v>
      </c>
      <c r="C1688">
        <v>5697</v>
      </c>
      <c r="D1688" t="s">
        <v>2344</v>
      </c>
      <c r="E1688" t="s">
        <v>2036</v>
      </c>
      <c r="F1688">
        <v>202112</v>
      </c>
      <c r="G1688" t="s">
        <v>182</v>
      </c>
      <c r="H1688">
        <v>92952</v>
      </c>
    </row>
    <row r="1689" spans="1:8">
      <c r="A1689">
        <v>5352</v>
      </c>
      <c r="B1689" t="s">
        <v>2625</v>
      </c>
      <c r="C1689">
        <v>5697</v>
      </c>
      <c r="D1689" t="s">
        <v>2344</v>
      </c>
      <c r="E1689" t="s">
        <v>2036</v>
      </c>
      <c r="F1689">
        <v>202112</v>
      </c>
      <c r="G1689" t="s">
        <v>184</v>
      </c>
      <c r="H1689">
        <v>12997</v>
      </c>
    </row>
    <row r="1690" spans="1:8">
      <c r="A1690">
        <v>5352</v>
      </c>
      <c r="B1690" t="s">
        <v>2625</v>
      </c>
      <c r="C1690">
        <v>5697</v>
      </c>
      <c r="D1690" t="s">
        <v>2344</v>
      </c>
      <c r="E1690" t="s">
        <v>2036</v>
      </c>
      <c r="F1690">
        <v>202112</v>
      </c>
      <c r="G1690" t="s">
        <v>192</v>
      </c>
      <c r="H1690">
        <v>0</v>
      </c>
    </row>
    <row r="1691" spans="1:8">
      <c r="A1691">
        <v>5352</v>
      </c>
      <c r="B1691" t="s">
        <v>2625</v>
      </c>
      <c r="C1691">
        <v>5697</v>
      </c>
      <c r="D1691" t="s">
        <v>2344</v>
      </c>
      <c r="E1691" t="s">
        <v>2036</v>
      </c>
      <c r="F1691">
        <v>202112</v>
      </c>
      <c r="G1691" t="s">
        <v>2170</v>
      </c>
      <c r="H1691">
        <v>1260.46</v>
      </c>
    </row>
    <row r="1692" spans="1:8">
      <c r="A1692">
        <v>5352</v>
      </c>
      <c r="B1692" t="s">
        <v>2625</v>
      </c>
      <c r="C1692">
        <v>5697</v>
      </c>
      <c r="D1692" t="s">
        <v>2344</v>
      </c>
      <c r="E1692" t="s">
        <v>2036</v>
      </c>
      <c r="F1692">
        <v>202112</v>
      </c>
      <c r="G1692" t="s">
        <v>186</v>
      </c>
      <c r="H1692">
        <v>0</v>
      </c>
    </row>
    <row r="1693" spans="1:8">
      <c r="A1693">
        <v>5352</v>
      </c>
      <c r="B1693" t="s">
        <v>2625</v>
      </c>
      <c r="C1693">
        <v>5697</v>
      </c>
      <c r="D1693" t="s">
        <v>2344</v>
      </c>
      <c r="E1693" t="s">
        <v>2036</v>
      </c>
      <c r="F1693">
        <v>202112</v>
      </c>
      <c r="G1693" t="s">
        <v>2169</v>
      </c>
      <c r="H1693">
        <v>182.65</v>
      </c>
    </row>
    <row r="1694" spans="1:8">
      <c r="A1694">
        <v>5352</v>
      </c>
      <c r="B1694" t="s">
        <v>2625</v>
      </c>
      <c r="C1694">
        <v>5697</v>
      </c>
      <c r="D1694" t="s">
        <v>2344</v>
      </c>
      <c r="E1694" t="s">
        <v>2036</v>
      </c>
      <c r="F1694">
        <v>202112</v>
      </c>
      <c r="G1694" t="s">
        <v>2166</v>
      </c>
      <c r="H1694">
        <v>11.83</v>
      </c>
    </row>
    <row r="1695" spans="1:8">
      <c r="A1695">
        <v>5352</v>
      </c>
      <c r="B1695" t="s">
        <v>2625</v>
      </c>
      <c r="C1695">
        <v>5697</v>
      </c>
      <c r="D1695" t="s">
        <v>2344</v>
      </c>
      <c r="E1695" t="s">
        <v>2036</v>
      </c>
      <c r="F1695">
        <v>202112</v>
      </c>
      <c r="G1695" t="s">
        <v>2167</v>
      </c>
      <c r="H1695">
        <v>21.22</v>
      </c>
    </row>
    <row r="1696" spans="1:8">
      <c r="A1696">
        <v>5352</v>
      </c>
      <c r="B1696" t="s">
        <v>2625</v>
      </c>
      <c r="C1696">
        <v>5697</v>
      </c>
      <c r="D1696" t="s">
        <v>2344</v>
      </c>
      <c r="E1696" t="s">
        <v>2036</v>
      </c>
      <c r="F1696">
        <v>202112</v>
      </c>
      <c r="G1696" t="s">
        <v>2168</v>
      </c>
      <c r="H1696">
        <v>14.37</v>
      </c>
    </row>
    <row r="1697" spans="1:8">
      <c r="A1697">
        <v>5352</v>
      </c>
      <c r="B1697" t="s">
        <v>2625</v>
      </c>
      <c r="C1697">
        <v>5697</v>
      </c>
      <c r="D1697" t="s">
        <v>2344</v>
      </c>
      <c r="E1697" t="s">
        <v>2036</v>
      </c>
      <c r="F1697">
        <v>202112</v>
      </c>
      <c r="G1697" t="s">
        <v>2171</v>
      </c>
      <c r="H1697">
        <v>32369.18</v>
      </c>
    </row>
    <row r="1698" spans="1:8">
      <c r="A1698">
        <v>5352</v>
      </c>
      <c r="B1698" t="s">
        <v>2625</v>
      </c>
      <c r="C1698">
        <v>5697</v>
      </c>
      <c r="D1698" t="s">
        <v>2344</v>
      </c>
      <c r="E1698" t="s">
        <v>2036</v>
      </c>
      <c r="F1698">
        <v>202112</v>
      </c>
      <c r="G1698" t="s">
        <v>190</v>
      </c>
      <c r="H1698">
        <v>14936</v>
      </c>
    </row>
    <row r="1699" spans="1:8">
      <c r="A1699">
        <v>5352</v>
      </c>
      <c r="B1699" t="s">
        <v>2625</v>
      </c>
      <c r="C1699">
        <v>5697</v>
      </c>
      <c r="D1699" t="s">
        <v>2344</v>
      </c>
      <c r="E1699" t="s">
        <v>2036</v>
      </c>
      <c r="F1699">
        <v>202112</v>
      </c>
      <c r="G1699" t="s">
        <v>191</v>
      </c>
      <c r="H1699">
        <v>2178</v>
      </c>
    </row>
    <row r="1700" spans="1:8">
      <c r="A1700">
        <v>5352</v>
      </c>
      <c r="B1700" t="s">
        <v>2625</v>
      </c>
      <c r="C1700">
        <v>5697</v>
      </c>
      <c r="D1700" t="s">
        <v>2344</v>
      </c>
      <c r="E1700" t="s">
        <v>2036</v>
      </c>
      <c r="F1700">
        <v>202112</v>
      </c>
      <c r="G1700" t="s">
        <v>176</v>
      </c>
      <c r="H1700">
        <v>-607</v>
      </c>
    </row>
    <row r="1701" spans="1:8">
      <c r="A1701">
        <v>5352</v>
      </c>
      <c r="B1701" t="s">
        <v>2625</v>
      </c>
      <c r="C1701">
        <v>5697</v>
      </c>
      <c r="D1701" t="s">
        <v>2344</v>
      </c>
      <c r="E1701" t="s">
        <v>2036</v>
      </c>
      <c r="F1701">
        <v>202112</v>
      </c>
      <c r="G1701" t="s">
        <v>178</v>
      </c>
      <c r="H1701">
        <v>80</v>
      </c>
    </row>
    <row r="1702" spans="1:8">
      <c r="A1702">
        <v>5352</v>
      </c>
      <c r="B1702" t="s">
        <v>2625</v>
      </c>
      <c r="C1702">
        <v>5697</v>
      </c>
      <c r="D1702" t="s">
        <v>2344</v>
      </c>
      <c r="E1702" t="s">
        <v>2036</v>
      </c>
      <c r="F1702">
        <v>202112</v>
      </c>
      <c r="G1702" t="s">
        <v>180</v>
      </c>
      <c r="H1702">
        <v>95</v>
      </c>
    </row>
    <row r="1703" spans="1:8">
      <c r="A1703">
        <v>5352</v>
      </c>
      <c r="B1703" t="s">
        <v>2625</v>
      </c>
      <c r="C1703">
        <v>5697</v>
      </c>
      <c r="D1703" t="s">
        <v>2344</v>
      </c>
      <c r="E1703" t="s">
        <v>2036</v>
      </c>
      <c r="F1703">
        <v>202112</v>
      </c>
      <c r="G1703" t="s">
        <v>182</v>
      </c>
      <c r="H1703">
        <v>14936</v>
      </c>
    </row>
    <row r="1704" spans="1:8">
      <c r="A1704">
        <v>5352</v>
      </c>
      <c r="B1704" t="s">
        <v>2625</v>
      </c>
      <c r="C1704">
        <v>5697</v>
      </c>
      <c r="D1704" t="s">
        <v>2344</v>
      </c>
      <c r="E1704" t="s">
        <v>2036</v>
      </c>
      <c r="F1704">
        <v>202112</v>
      </c>
      <c r="G1704" t="s">
        <v>184</v>
      </c>
      <c r="H1704">
        <v>2178</v>
      </c>
    </row>
    <row r="1705" spans="1:8">
      <c r="A1705">
        <v>5352</v>
      </c>
      <c r="B1705" t="s">
        <v>2625</v>
      </c>
      <c r="C1705">
        <v>5697</v>
      </c>
      <c r="D1705" t="s">
        <v>2344</v>
      </c>
      <c r="E1705" t="s">
        <v>2036</v>
      </c>
      <c r="F1705">
        <v>202112</v>
      </c>
      <c r="G1705" t="s">
        <v>192</v>
      </c>
      <c r="H1705">
        <v>0</v>
      </c>
    </row>
    <row r="1706" spans="1:8">
      <c r="A1706">
        <v>5352</v>
      </c>
      <c r="B1706" t="s">
        <v>2625</v>
      </c>
      <c r="C1706">
        <v>5697</v>
      </c>
      <c r="D1706" t="s">
        <v>2344</v>
      </c>
      <c r="E1706" t="s">
        <v>2036</v>
      </c>
      <c r="F1706">
        <v>202112</v>
      </c>
      <c r="G1706" t="s">
        <v>2170</v>
      </c>
      <c r="H1706">
        <v>286.7</v>
      </c>
    </row>
    <row r="1707" spans="1:8">
      <c r="A1707">
        <v>5352</v>
      </c>
      <c r="B1707" t="s">
        <v>2625</v>
      </c>
      <c r="C1707">
        <v>5697</v>
      </c>
      <c r="D1707" t="s">
        <v>2344</v>
      </c>
      <c r="E1707" t="s">
        <v>2036</v>
      </c>
      <c r="F1707">
        <v>202112</v>
      </c>
      <c r="G1707" t="s">
        <v>186</v>
      </c>
      <c r="H1707">
        <v>0</v>
      </c>
    </row>
    <row r="1708" spans="1:8">
      <c r="A1708">
        <v>5352</v>
      </c>
      <c r="B1708" t="s">
        <v>2625</v>
      </c>
      <c r="C1708">
        <v>5697</v>
      </c>
      <c r="D1708" t="s">
        <v>2344</v>
      </c>
      <c r="E1708" t="s">
        <v>2036</v>
      </c>
      <c r="F1708">
        <v>202112</v>
      </c>
      <c r="G1708" t="s">
        <v>2169</v>
      </c>
      <c r="H1708">
        <v>182.65</v>
      </c>
    </row>
    <row r="1709" spans="1:8">
      <c r="A1709">
        <v>5352</v>
      </c>
      <c r="B1709" t="s">
        <v>2625</v>
      </c>
      <c r="C1709">
        <v>5697</v>
      </c>
      <c r="D1709" t="s">
        <v>2344</v>
      </c>
      <c r="E1709" t="s">
        <v>2036</v>
      </c>
      <c r="F1709">
        <v>202112</v>
      </c>
      <c r="G1709" t="s">
        <v>2166</v>
      </c>
      <c r="H1709">
        <v>11.83</v>
      </c>
    </row>
    <row r="1710" spans="1:8">
      <c r="A1710">
        <v>5352</v>
      </c>
      <c r="B1710" t="s">
        <v>2625</v>
      </c>
      <c r="C1710">
        <v>5697</v>
      </c>
      <c r="D1710" t="s">
        <v>2344</v>
      </c>
      <c r="E1710" t="s">
        <v>2036</v>
      </c>
      <c r="F1710">
        <v>202112</v>
      </c>
      <c r="G1710" t="s">
        <v>2167</v>
      </c>
      <c r="H1710">
        <v>21.22</v>
      </c>
    </row>
    <row r="1711" spans="1:8">
      <c r="A1711">
        <v>5352</v>
      </c>
      <c r="B1711" t="s">
        <v>2625</v>
      </c>
      <c r="C1711">
        <v>5697</v>
      </c>
      <c r="D1711" t="s">
        <v>2344</v>
      </c>
      <c r="E1711" t="s">
        <v>2036</v>
      </c>
      <c r="F1711">
        <v>202112</v>
      </c>
      <c r="G1711" t="s">
        <v>2168</v>
      </c>
      <c r="H1711">
        <v>14.37</v>
      </c>
    </row>
    <row r="1712" spans="1:8">
      <c r="A1712">
        <v>5352</v>
      </c>
      <c r="B1712" t="s">
        <v>2625</v>
      </c>
      <c r="C1712">
        <v>5697</v>
      </c>
      <c r="D1712" t="s">
        <v>2344</v>
      </c>
      <c r="E1712" t="s">
        <v>2036</v>
      </c>
      <c r="F1712">
        <v>202112</v>
      </c>
      <c r="G1712" t="s">
        <v>2171</v>
      </c>
      <c r="H1712">
        <v>7058.87</v>
      </c>
    </row>
    <row r="1713" spans="1:8">
      <c r="A1713">
        <v>5352</v>
      </c>
      <c r="B1713" t="s">
        <v>2625</v>
      </c>
      <c r="C1713">
        <v>5697</v>
      </c>
      <c r="D1713" t="s">
        <v>2344</v>
      </c>
      <c r="E1713" t="s">
        <v>2036</v>
      </c>
      <c r="F1713">
        <v>202112</v>
      </c>
      <c r="G1713" t="s">
        <v>190</v>
      </c>
      <c r="H1713">
        <v>322816</v>
      </c>
    </row>
    <row r="1714" spans="1:8">
      <c r="A1714">
        <v>5352</v>
      </c>
      <c r="B1714" t="s">
        <v>2625</v>
      </c>
      <c r="C1714">
        <v>5697</v>
      </c>
      <c r="D1714" t="s">
        <v>2344</v>
      </c>
      <c r="E1714" t="s">
        <v>2036</v>
      </c>
      <c r="F1714">
        <v>202112</v>
      </c>
      <c r="G1714" t="s">
        <v>191</v>
      </c>
      <c r="H1714">
        <v>38837</v>
      </c>
    </row>
    <row r="1715" spans="1:8">
      <c r="A1715">
        <v>5352</v>
      </c>
      <c r="B1715" t="s">
        <v>2625</v>
      </c>
      <c r="C1715">
        <v>5697</v>
      </c>
      <c r="D1715" t="s">
        <v>2344</v>
      </c>
      <c r="E1715" t="s">
        <v>2036</v>
      </c>
      <c r="F1715">
        <v>202112</v>
      </c>
      <c r="G1715" t="s">
        <v>176</v>
      </c>
      <c r="H1715">
        <v>0</v>
      </c>
    </row>
    <row r="1716" spans="1:8">
      <c r="A1716">
        <v>5352</v>
      </c>
      <c r="B1716" t="s">
        <v>2625</v>
      </c>
      <c r="C1716">
        <v>5697</v>
      </c>
      <c r="D1716" t="s">
        <v>2344</v>
      </c>
      <c r="E1716" t="s">
        <v>2036</v>
      </c>
      <c r="F1716">
        <v>202112</v>
      </c>
      <c r="G1716" t="s">
        <v>178</v>
      </c>
      <c r="H1716">
        <v>805</v>
      </c>
    </row>
    <row r="1717" spans="1:8">
      <c r="A1717">
        <v>5352</v>
      </c>
      <c r="B1717" t="s">
        <v>2625</v>
      </c>
      <c r="C1717">
        <v>5697</v>
      </c>
      <c r="D1717" t="s">
        <v>2344</v>
      </c>
      <c r="E1717" t="s">
        <v>2036</v>
      </c>
      <c r="F1717">
        <v>202112</v>
      </c>
      <c r="G1717" t="s">
        <v>180</v>
      </c>
      <c r="H1717">
        <v>798</v>
      </c>
    </row>
    <row r="1718" spans="1:8">
      <c r="A1718">
        <v>5352</v>
      </c>
      <c r="B1718" t="s">
        <v>2625</v>
      </c>
      <c r="C1718">
        <v>5697</v>
      </c>
      <c r="D1718" t="s">
        <v>2344</v>
      </c>
      <c r="E1718" t="s">
        <v>2036</v>
      </c>
      <c r="F1718">
        <v>202112</v>
      </c>
      <c r="G1718" t="s">
        <v>182</v>
      </c>
      <c r="H1718">
        <v>322816</v>
      </c>
    </row>
    <row r="1719" spans="1:8">
      <c r="A1719">
        <v>5352</v>
      </c>
      <c r="B1719" t="s">
        <v>2625</v>
      </c>
      <c r="C1719">
        <v>5697</v>
      </c>
      <c r="D1719" t="s">
        <v>2344</v>
      </c>
      <c r="E1719" t="s">
        <v>2036</v>
      </c>
      <c r="F1719">
        <v>202112</v>
      </c>
      <c r="G1719" t="s">
        <v>184</v>
      </c>
      <c r="H1719">
        <v>38837</v>
      </c>
    </row>
    <row r="1720" spans="1:8">
      <c r="A1720">
        <v>5352</v>
      </c>
      <c r="B1720" t="s">
        <v>2625</v>
      </c>
      <c r="C1720">
        <v>5697</v>
      </c>
      <c r="D1720" t="s">
        <v>2344</v>
      </c>
      <c r="E1720" t="s">
        <v>2036</v>
      </c>
      <c r="F1720">
        <v>202112</v>
      </c>
      <c r="G1720" t="s">
        <v>192</v>
      </c>
      <c r="H1720">
        <v>0</v>
      </c>
    </row>
    <row r="1721" spans="1:8">
      <c r="A1721">
        <v>5352</v>
      </c>
      <c r="B1721" t="s">
        <v>2625</v>
      </c>
      <c r="C1721">
        <v>5697</v>
      </c>
      <c r="D1721" t="s">
        <v>2344</v>
      </c>
      <c r="E1721" t="s">
        <v>2036</v>
      </c>
      <c r="F1721">
        <v>202112</v>
      </c>
      <c r="G1721" t="s">
        <v>2170</v>
      </c>
      <c r="H1721">
        <v>4041.28</v>
      </c>
    </row>
    <row r="1722" spans="1:8">
      <c r="A1722">
        <v>5352</v>
      </c>
      <c r="B1722" t="s">
        <v>2625</v>
      </c>
      <c r="C1722">
        <v>5697</v>
      </c>
      <c r="D1722" t="s">
        <v>2344</v>
      </c>
      <c r="E1722" t="s">
        <v>2036</v>
      </c>
      <c r="F1722">
        <v>202112</v>
      </c>
      <c r="G1722" t="s">
        <v>186</v>
      </c>
      <c r="H1722">
        <v>0</v>
      </c>
    </row>
    <row r="1723" spans="1:8">
      <c r="A1723">
        <v>5352</v>
      </c>
      <c r="B1723" t="s">
        <v>2625</v>
      </c>
      <c r="C1723">
        <v>5697</v>
      </c>
      <c r="D1723" t="s">
        <v>2344</v>
      </c>
      <c r="E1723" t="s">
        <v>2036</v>
      </c>
      <c r="F1723">
        <v>202112</v>
      </c>
      <c r="G1723" t="s">
        <v>2169</v>
      </c>
      <c r="H1723">
        <v>182.65</v>
      </c>
    </row>
    <row r="1724" spans="1:8">
      <c r="A1724">
        <v>5352</v>
      </c>
      <c r="B1724" t="s">
        <v>2625</v>
      </c>
      <c r="C1724">
        <v>5697</v>
      </c>
      <c r="D1724" t="s">
        <v>2344</v>
      </c>
      <c r="E1724" t="s">
        <v>2036</v>
      </c>
      <c r="F1724">
        <v>202112</v>
      </c>
      <c r="G1724" t="s">
        <v>2166</v>
      </c>
      <c r="H1724">
        <v>11.83</v>
      </c>
    </row>
    <row r="1725" spans="1:8">
      <c r="A1725">
        <v>5352</v>
      </c>
      <c r="B1725" t="s">
        <v>2625</v>
      </c>
      <c r="C1725">
        <v>5697</v>
      </c>
      <c r="D1725" t="s">
        <v>2344</v>
      </c>
      <c r="E1725" t="s">
        <v>2036</v>
      </c>
      <c r="F1725">
        <v>202112</v>
      </c>
      <c r="G1725" t="s">
        <v>2167</v>
      </c>
      <c r="H1725">
        <v>21.22</v>
      </c>
    </row>
    <row r="1726" spans="1:8">
      <c r="A1726">
        <v>5352</v>
      </c>
      <c r="B1726" t="s">
        <v>2625</v>
      </c>
      <c r="C1726">
        <v>5697</v>
      </c>
      <c r="D1726" t="s">
        <v>2344</v>
      </c>
      <c r="E1726" t="s">
        <v>2036</v>
      </c>
      <c r="F1726">
        <v>202112</v>
      </c>
      <c r="G1726" t="s">
        <v>2168</v>
      </c>
      <c r="H1726">
        <v>14.37</v>
      </c>
    </row>
    <row r="1727" spans="1:8">
      <c r="A1727">
        <v>5352</v>
      </c>
      <c r="B1727" t="s">
        <v>2625</v>
      </c>
      <c r="C1727">
        <v>5697</v>
      </c>
      <c r="D1727" t="s">
        <v>2344</v>
      </c>
      <c r="E1727" t="s">
        <v>2036</v>
      </c>
      <c r="F1727">
        <v>202112</v>
      </c>
      <c r="G1727" t="s">
        <v>2171</v>
      </c>
      <c r="H1727">
        <v>106781.82</v>
      </c>
    </row>
    <row r="1728" spans="1:8">
      <c r="A1728">
        <v>5352</v>
      </c>
      <c r="B1728" t="s">
        <v>2625</v>
      </c>
      <c r="C1728">
        <v>5697</v>
      </c>
      <c r="D1728" t="s">
        <v>2344</v>
      </c>
      <c r="E1728" t="s">
        <v>2036</v>
      </c>
      <c r="F1728">
        <v>202112</v>
      </c>
      <c r="G1728" t="s">
        <v>190</v>
      </c>
      <c r="H1728">
        <v>99546</v>
      </c>
    </row>
    <row r="1729" spans="1:8">
      <c r="A1729">
        <v>5352</v>
      </c>
      <c r="B1729" t="s">
        <v>2625</v>
      </c>
      <c r="C1729">
        <v>5697</v>
      </c>
      <c r="D1729" t="s">
        <v>2344</v>
      </c>
      <c r="E1729" t="s">
        <v>2036</v>
      </c>
      <c r="F1729">
        <v>202112</v>
      </c>
      <c r="G1729" t="s">
        <v>191</v>
      </c>
      <c r="H1729">
        <v>13524</v>
      </c>
    </row>
    <row r="1730" spans="1:8">
      <c r="A1730">
        <v>5352</v>
      </c>
      <c r="B1730" t="s">
        <v>2625</v>
      </c>
      <c r="C1730">
        <v>5697</v>
      </c>
      <c r="D1730" t="s">
        <v>2344</v>
      </c>
      <c r="E1730" t="s">
        <v>2036</v>
      </c>
      <c r="F1730">
        <v>202112</v>
      </c>
      <c r="G1730" t="s">
        <v>176</v>
      </c>
      <c r="H1730">
        <v>-1516.44</v>
      </c>
    </row>
    <row r="1731" spans="1:8">
      <c r="A1731">
        <v>5352</v>
      </c>
      <c r="B1731" t="s">
        <v>2625</v>
      </c>
      <c r="C1731">
        <v>5697</v>
      </c>
      <c r="D1731" t="s">
        <v>2344</v>
      </c>
      <c r="E1731" t="s">
        <v>2036</v>
      </c>
      <c r="F1731">
        <v>202112</v>
      </c>
      <c r="G1731" t="s">
        <v>178</v>
      </c>
      <c r="H1731">
        <v>320</v>
      </c>
    </row>
    <row r="1732" spans="1:8">
      <c r="A1732">
        <v>5352</v>
      </c>
      <c r="B1732" t="s">
        <v>2625</v>
      </c>
      <c r="C1732">
        <v>5697</v>
      </c>
      <c r="D1732" t="s">
        <v>2344</v>
      </c>
      <c r="E1732" t="s">
        <v>2036</v>
      </c>
      <c r="F1732">
        <v>202112</v>
      </c>
      <c r="G1732" t="s">
        <v>180</v>
      </c>
      <c r="H1732">
        <v>320</v>
      </c>
    </row>
    <row r="1733" spans="1:8">
      <c r="A1733">
        <v>5352</v>
      </c>
      <c r="B1733" t="s">
        <v>2625</v>
      </c>
      <c r="C1733">
        <v>5697</v>
      </c>
      <c r="D1733" t="s">
        <v>2344</v>
      </c>
      <c r="E1733" t="s">
        <v>2036</v>
      </c>
      <c r="F1733">
        <v>202112</v>
      </c>
      <c r="G1733" t="s">
        <v>182</v>
      </c>
      <c r="H1733">
        <v>99546</v>
      </c>
    </row>
    <row r="1734" spans="1:8">
      <c r="A1734">
        <v>5352</v>
      </c>
      <c r="B1734" t="s">
        <v>2625</v>
      </c>
      <c r="C1734">
        <v>5697</v>
      </c>
      <c r="D1734" t="s">
        <v>2344</v>
      </c>
      <c r="E1734" t="s">
        <v>2036</v>
      </c>
      <c r="F1734">
        <v>202112</v>
      </c>
      <c r="G1734" t="s">
        <v>184</v>
      </c>
      <c r="H1734">
        <v>13524</v>
      </c>
    </row>
    <row r="1735" spans="1:8">
      <c r="A1735">
        <v>5352</v>
      </c>
      <c r="B1735" t="s">
        <v>2625</v>
      </c>
      <c r="C1735">
        <v>5697</v>
      </c>
      <c r="D1735" t="s">
        <v>2344</v>
      </c>
      <c r="E1735" t="s">
        <v>2036</v>
      </c>
      <c r="F1735">
        <v>202112</v>
      </c>
      <c r="G1735" t="s">
        <v>192</v>
      </c>
      <c r="H1735">
        <v>0</v>
      </c>
    </row>
    <row r="1736" spans="1:8">
      <c r="A1736">
        <v>5352</v>
      </c>
      <c r="B1736" t="s">
        <v>2625</v>
      </c>
      <c r="C1736">
        <v>5697</v>
      </c>
      <c r="D1736" t="s">
        <v>2344</v>
      </c>
      <c r="E1736" t="s">
        <v>2036</v>
      </c>
      <c r="F1736">
        <v>202112</v>
      </c>
      <c r="G1736" t="s">
        <v>2170</v>
      </c>
      <c r="H1736">
        <v>1276.43</v>
      </c>
    </row>
    <row r="1737" spans="1:8">
      <c r="A1737">
        <v>5352</v>
      </c>
      <c r="B1737" t="s">
        <v>2625</v>
      </c>
      <c r="C1737">
        <v>5697</v>
      </c>
      <c r="D1737" t="s">
        <v>2344</v>
      </c>
      <c r="E1737" t="s">
        <v>2036</v>
      </c>
      <c r="F1737">
        <v>202112</v>
      </c>
      <c r="G1737" t="s">
        <v>186</v>
      </c>
      <c r="H1737">
        <v>0</v>
      </c>
    </row>
    <row r="1738" spans="1:8">
      <c r="A1738">
        <v>5352</v>
      </c>
      <c r="B1738" t="s">
        <v>2625</v>
      </c>
      <c r="C1738">
        <v>5697</v>
      </c>
      <c r="D1738" t="s">
        <v>2344</v>
      </c>
      <c r="E1738" t="s">
        <v>2036</v>
      </c>
      <c r="F1738">
        <v>202112</v>
      </c>
      <c r="G1738" t="s">
        <v>2169</v>
      </c>
      <c r="H1738">
        <v>182.65</v>
      </c>
    </row>
    <row r="1739" spans="1:8">
      <c r="A1739">
        <v>5352</v>
      </c>
      <c r="B1739" t="s">
        <v>2625</v>
      </c>
      <c r="C1739">
        <v>5697</v>
      </c>
      <c r="D1739" t="s">
        <v>2344</v>
      </c>
      <c r="E1739" t="s">
        <v>2036</v>
      </c>
      <c r="F1739">
        <v>202112</v>
      </c>
      <c r="G1739" t="s">
        <v>2166</v>
      </c>
      <c r="H1739">
        <v>11.83</v>
      </c>
    </row>
    <row r="1740" spans="1:8">
      <c r="A1740">
        <v>5352</v>
      </c>
      <c r="B1740" t="s">
        <v>2625</v>
      </c>
      <c r="C1740">
        <v>5697</v>
      </c>
      <c r="D1740" t="s">
        <v>2344</v>
      </c>
      <c r="E1740" t="s">
        <v>2036</v>
      </c>
      <c r="F1740">
        <v>202112</v>
      </c>
      <c r="G1740" t="s">
        <v>2167</v>
      </c>
      <c r="H1740">
        <v>21.22</v>
      </c>
    </row>
    <row r="1741" spans="1:8">
      <c r="A1741">
        <v>5352</v>
      </c>
      <c r="B1741" t="s">
        <v>2625</v>
      </c>
      <c r="C1741">
        <v>5697</v>
      </c>
      <c r="D1741" t="s">
        <v>2344</v>
      </c>
      <c r="E1741" t="s">
        <v>2036</v>
      </c>
      <c r="F1741">
        <v>202112</v>
      </c>
      <c r="G1741" t="s">
        <v>2168</v>
      </c>
      <c r="H1741">
        <v>14.37</v>
      </c>
    </row>
    <row r="1742" spans="1:8">
      <c r="A1742">
        <v>5352</v>
      </c>
      <c r="B1742" t="s">
        <v>2625</v>
      </c>
      <c r="C1742">
        <v>5697</v>
      </c>
      <c r="D1742" t="s">
        <v>2344</v>
      </c>
      <c r="E1742" t="s">
        <v>2036</v>
      </c>
      <c r="F1742">
        <v>202112</v>
      </c>
      <c r="G1742" t="s">
        <v>2171</v>
      </c>
      <c r="H1742">
        <v>32595.51</v>
      </c>
    </row>
    <row r="1743" spans="1:8">
      <c r="A1743">
        <v>5352</v>
      </c>
      <c r="B1743" t="s">
        <v>2625</v>
      </c>
      <c r="C1743">
        <v>5697</v>
      </c>
      <c r="D1743" t="s">
        <v>2344</v>
      </c>
      <c r="E1743" t="s">
        <v>2036</v>
      </c>
      <c r="F1743">
        <v>202112</v>
      </c>
      <c r="G1743" t="s">
        <v>190</v>
      </c>
      <c r="H1743">
        <v>778183</v>
      </c>
    </row>
    <row r="1744" spans="1:8">
      <c r="A1744">
        <v>5352</v>
      </c>
      <c r="B1744" t="s">
        <v>2625</v>
      </c>
      <c r="C1744">
        <v>5697</v>
      </c>
      <c r="D1744" t="s">
        <v>2344</v>
      </c>
      <c r="E1744" t="s">
        <v>2036</v>
      </c>
      <c r="F1744">
        <v>202112</v>
      </c>
      <c r="G1744" t="s">
        <v>191</v>
      </c>
      <c r="H1744">
        <v>119165</v>
      </c>
    </row>
    <row r="1745" spans="1:8">
      <c r="A1745">
        <v>5352</v>
      </c>
      <c r="B1745" t="s">
        <v>2625</v>
      </c>
      <c r="C1745">
        <v>5697</v>
      </c>
      <c r="D1745" t="s">
        <v>2344</v>
      </c>
      <c r="E1745" t="s">
        <v>2036</v>
      </c>
      <c r="F1745">
        <v>202112</v>
      </c>
      <c r="G1745" t="s">
        <v>176</v>
      </c>
      <c r="H1745">
        <v>-5813.67</v>
      </c>
    </row>
    <row r="1746" spans="1:8">
      <c r="A1746">
        <v>5352</v>
      </c>
      <c r="B1746" t="s">
        <v>2625</v>
      </c>
      <c r="C1746">
        <v>5697</v>
      </c>
      <c r="D1746" t="s">
        <v>2344</v>
      </c>
      <c r="E1746" t="s">
        <v>2036</v>
      </c>
      <c r="F1746">
        <v>202112</v>
      </c>
      <c r="G1746" t="s">
        <v>178</v>
      </c>
      <c r="H1746">
        <v>2400</v>
      </c>
    </row>
    <row r="1747" spans="1:8">
      <c r="A1747">
        <v>5352</v>
      </c>
      <c r="B1747" t="s">
        <v>2625</v>
      </c>
      <c r="C1747">
        <v>5697</v>
      </c>
      <c r="D1747" t="s">
        <v>2344</v>
      </c>
      <c r="E1747" t="s">
        <v>2036</v>
      </c>
      <c r="F1747">
        <v>202112</v>
      </c>
      <c r="G1747" t="s">
        <v>180</v>
      </c>
      <c r="H1747">
        <v>2462</v>
      </c>
    </row>
    <row r="1748" spans="1:8">
      <c r="A1748">
        <v>5352</v>
      </c>
      <c r="B1748" t="s">
        <v>2625</v>
      </c>
      <c r="C1748">
        <v>5697</v>
      </c>
      <c r="D1748" t="s">
        <v>2344</v>
      </c>
      <c r="E1748" t="s">
        <v>2036</v>
      </c>
      <c r="F1748">
        <v>202112</v>
      </c>
      <c r="G1748" t="s">
        <v>182</v>
      </c>
      <c r="H1748">
        <v>868673</v>
      </c>
    </row>
    <row r="1749" spans="1:8">
      <c r="A1749">
        <v>5352</v>
      </c>
      <c r="B1749" t="s">
        <v>2625</v>
      </c>
      <c r="C1749">
        <v>5697</v>
      </c>
      <c r="D1749" t="s">
        <v>2344</v>
      </c>
      <c r="E1749" t="s">
        <v>2036</v>
      </c>
      <c r="F1749">
        <v>202112</v>
      </c>
      <c r="G1749" t="s">
        <v>184</v>
      </c>
      <c r="H1749">
        <v>119165</v>
      </c>
    </row>
    <row r="1750" spans="1:8">
      <c r="A1750">
        <v>5352</v>
      </c>
      <c r="B1750" t="s">
        <v>2625</v>
      </c>
      <c r="C1750">
        <v>5697</v>
      </c>
      <c r="D1750" t="s">
        <v>2344</v>
      </c>
      <c r="E1750" t="s">
        <v>2036</v>
      </c>
      <c r="F1750">
        <v>202112</v>
      </c>
      <c r="G1750" t="s">
        <v>192</v>
      </c>
      <c r="H1750">
        <v>0</v>
      </c>
    </row>
    <row r="1751" spans="1:8">
      <c r="A1751">
        <v>5352</v>
      </c>
      <c r="B1751" t="s">
        <v>2625</v>
      </c>
      <c r="C1751">
        <v>5697</v>
      </c>
      <c r="D1751" t="s">
        <v>2344</v>
      </c>
      <c r="E1751" t="s">
        <v>2036</v>
      </c>
      <c r="F1751">
        <v>202112</v>
      </c>
      <c r="G1751" t="s">
        <v>2170</v>
      </c>
      <c r="H1751">
        <v>10052.32</v>
      </c>
    </row>
    <row r="1752" spans="1:8">
      <c r="A1752">
        <v>5352</v>
      </c>
      <c r="B1752" t="s">
        <v>2625</v>
      </c>
      <c r="C1752">
        <v>5697</v>
      </c>
      <c r="D1752" t="s">
        <v>2344</v>
      </c>
      <c r="E1752" t="s">
        <v>2036</v>
      </c>
      <c r="F1752">
        <v>202112</v>
      </c>
      <c r="G1752" t="s">
        <v>186</v>
      </c>
      <c r="H1752">
        <v>90490</v>
      </c>
    </row>
    <row r="1753" spans="1:8">
      <c r="A1753">
        <v>5352</v>
      </c>
      <c r="B1753" t="s">
        <v>2625</v>
      </c>
      <c r="C1753">
        <v>5697</v>
      </c>
      <c r="D1753" t="s">
        <v>2344</v>
      </c>
      <c r="E1753" t="s">
        <v>2036</v>
      </c>
      <c r="F1753">
        <v>202112</v>
      </c>
      <c r="G1753" t="s">
        <v>2169</v>
      </c>
      <c r="H1753">
        <v>182.65</v>
      </c>
    </row>
    <row r="1754" spans="1:8">
      <c r="A1754">
        <v>5352</v>
      </c>
      <c r="B1754" t="s">
        <v>2625</v>
      </c>
      <c r="C1754">
        <v>5697</v>
      </c>
      <c r="D1754" t="s">
        <v>2344</v>
      </c>
      <c r="E1754" t="s">
        <v>2036</v>
      </c>
      <c r="F1754">
        <v>202112</v>
      </c>
      <c r="G1754" t="s">
        <v>2166</v>
      </c>
      <c r="H1754">
        <v>11.83</v>
      </c>
    </row>
    <row r="1755" spans="1:8">
      <c r="A1755">
        <v>5352</v>
      </c>
      <c r="B1755" t="s">
        <v>2625</v>
      </c>
      <c r="C1755">
        <v>5697</v>
      </c>
      <c r="D1755" t="s">
        <v>2344</v>
      </c>
      <c r="E1755" t="s">
        <v>2036</v>
      </c>
      <c r="F1755">
        <v>202112</v>
      </c>
      <c r="G1755" t="s">
        <v>2167</v>
      </c>
      <c r="H1755">
        <v>21.22</v>
      </c>
    </row>
    <row r="1756" spans="1:8">
      <c r="A1756">
        <v>5352</v>
      </c>
      <c r="B1756" t="s">
        <v>2625</v>
      </c>
      <c r="C1756">
        <v>5697</v>
      </c>
      <c r="D1756" t="s">
        <v>2344</v>
      </c>
      <c r="E1756" t="s">
        <v>2036</v>
      </c>
      <c r="F1756">
        <v>202112</v>
      </c>
      <c r="G1756" t="s">
        <v>2168</v>
      </c>
      <c r="H1756">
        <v>14.37</v>
      </c>
    </row>
    <row r="1757" spans="1:8">
      <c r="A1757">
        <v>5352</v>
      </c>
      <c r="B1757" t="s">
        <v>2625</v>
      </c>
      <c r="C1757">
        <v>5697</v>
      </c>
      <c r="D1757" t="s">
        <v>2344</v>
      </c>
      <c r="E1757" t="s">
        <v>2036</v>
      </c>
      <c r="F1757">
        <v>202112</v>
      </c>
      <c r="G1757" t="s">
        <v>2171</v>
      </c>
      <c r="H1757">
        <v>262852.07</v>
      </c>
    </row>
    <row r="1758" spans="1:8">
      <c r="A1758">
        <v>5352</v>
      </c>
      <c r="B1758" t="s">
        <v>2625</v>
      </c>
      <c r="C1758">
        <v>5697</v>
      </c>
      <c r="D1758" t="s">
        <v>2344</v>
      </c>
      <c r="E1758" t="s">
        <v>2036</v>
      </c>
      <c r="F1758">
        <v>202112</v>
      </c>
      <c r="G1758" t="s">
        <v>190</v>
      </c>
      <c r="H1758">
        <v>188890</v>
      </c>
    </row>
    <row r="1759" spans="1:8">
      <c r="A1759">
        <v>5352</v>
      </c>
      <c r="B1759" t="s">
        <v>2625</v>
      </c>
      <c r="C1759">
        <v>5697</v>
      </c>
      <c r="D1759" t="s">
        <v>2344</v>
      </c>
      <c r="E1759" t="s">
        <v>2036</v>
      </c>
      <c r="F1759">
        <v>202112</v>
      </c>
      <c r="G1759" t="s">
        <v>191</v>
      </c>
      <c r="H1759">
        <v>25862</v>
      </c>
    </row>
    <row r="1760" spans="1:8">
      <c r="A1760">
        <v>5352</v>
      </c>
      <c r="B1760" t="s">
        <v>2625</v>
      </c>
      <c r="C1760">
        <v>5697</v>
      </c>
      <c r="D1760" t="s">
        <v>2344</v>
      </c>
      <c r="E1760" t="s">
        <v>2036</v>
      </c>
      <c r="F1760">
        <v>202112</v>
      </c>
      <c r="G1760" t="s">
        <v>176</v>
      </c>
      <c r="H1760">
        <v>-9564.64</v>
      </c>
    </row>
    <row r="1761" spans="1:8">
      <c r="A1761">
        <v>5352</v>
      </c>
      <c r="B1761" t="s">
        <v>2625</v>
      </c>
      <c r="C1761">
        <v>5697</v>
      </c>
      <c r="D1761" t="s">
        <v>2344</v>
      </c>
      <c r="E1761" t="s">
        <v>2036</v>
      </c>
      <c r="F1761">
        <v>202112</v>
      </c>
      <c r="G1761" t="s">
        <v>178</v>
      </c>
      <c r="H1761">
        <v>560</v>
      </c>
    </row>
    <row r="1762" spans="1:8">
      <c r="A1762">
        <v>5352</v>
      </c>
      <c r="B1762" t="s">
        <v>2625</v>
      </c>
      <c r="C1762">
        <v>5697</v>
      </c>
      <c r="D1762" t="s">
        <v>2344</v>
      </c>
      <c r="E1762" t="s">
        <v>2036</v>
      </c>
      <c r="F1762">
        <v>202112</v>
      </c>
      <c r="G1762" t="s">
        <v>180</v>
      </c>
      <c r="H1762">
        <v>560</v>
      </c>
    </row>
    <row r="1763" spans="1:8">
      <c r="A1763">
        <v>5352</v>
      </c>
      <c r="B1763" t="s">
        <v>2625</v>
      </c>
      <c r="C1763">
        <v>5697</v>
      </c>
      <c r="D1763" t="s">
        <v>2344</v>
      </c>
      <c r="E1763" t="s">
        <v>2036</v>
      </c>
      <c r="F1763">
        <v>202112</v>
      </c>
      <c r="G1763" t="s">
        <v>182</v>
      </c>
      <c r="H1763">
        <v>188890</v>
      </c>
    </row>
    <row r="1764" spans="1:8">
      <c r="A1764">
        <v>5352</v>
      </c>
      <c r="B1764" t="s">
        <v>2625</v>
      </c>
      <c r="C1764">
        <v>5697</v>
      </c>
      <c r="D1764" t="s">
        <v>2344</v>
      </c>
      <c r="E1764" t="s">
        <v>2036</v>
      </c>
      <c r="F1764">
        <v>202112</v>
      </c>
      <c r="G1764" t="s">
        <v>184</v>
      </c>
      <c r="H1764">
        <v>25862</v>
      </c>
    </row>
    <row r="1765" spans="1:8">
      <c r="A1765">
        <v>5352</v>
      </c>
      <c r="B1765" t="s">
        <v>2625</v>
      </c>
      <c r="C1765">
        <v>5697</v>
      </c>
      <c r="D1765" t="s">
        <v>2344</v>
      </c>
      <c r="E1765" t="s">
        <v>2036</v>
      </c>
      <c r="F1765">
        <v>202112</v>
      </c>
      <c r="G1765" t="s">
        <v>192</v>
      </c>
      <c r="H1765">
        <v>0</v>
      </c>
    </row>
    <row r="1766" spans="1:8">
      <c r="A1766">
        <v>5352</v>
      </c>
      <c r="B1766" t="s">
        <v>2625</v>
      </c>
      <c r="C1766">
        <v>5697</v>
      </c>
      <c r="D1766" t="s">
        <v>2344</v>
      </c>
      <c r="E1766" t="s">
        <v>2036</v>
      </c>
      <c r="F1766">
        <v>202112</v>
      </c>
      <c r="G1766" t="s">
        <v>2170</v>
      </c>
      <c r="H1766">
        <v>2362.9899999999998</v>
      </c>
    </row>
    <row r="1767" spans="1:8">
      <c r="A1767">
        <v>5352</v>
      </c>
      <c r="B1767" t="s">
        <v>2625</v>
      </c>
      <c r="C1767">
        <v>5697</v>
      </c>
      <c r="D1767" t="s">
        <v>2344</v>
      </c>
      <c r="E1767" t="s">
        <v>2036</v>
      </c>
      <c r="F1767">
        <v>202112</v>
      </c>
      <c r="G1767" t="s">
        <v>186</v>
      </c>
      <c r="H1767">
        <v>0</v>
      </c>
    </row>
    <row r="1768" spans="1:8">
      <c r="A1768">
        <v>5352</v>
      </c>
      <c r="B1768" t="s">
        <v>2625</v>
      </c>
      <c r="C1768">
        <v>5697</v>
      </c>
      <c r="D1768" t="s">
        <v>2344</v>
      </c>
      <c r="E1768" t="s">
        <v>2036</v>
      </c>
      <c r="F1768">
        <v>202112</v>
      </c>
      <c r="G1768" t="s">
        <v>2169</v>
      </c>
      <c r="H1768">
        <v>182.65</v>
      </c>
    </row>
    <row r="1769" spans="1:8">
      <c r="A1769">
        <v>5352</v>
      </c>
      <c r="B1769" t="s">
        <v>2625</v>
      </c>
      <c r="C1769">
        <v>5697</v>
      </c>
      <c r="D1769" t="s">
        <v>2344</v>
      </c>
      <c r="E1769" t="s">
        <v>2036</v>
      </c>
      <c r="F1769">
        <v>202112</v>
      </c>
      <c r="G1769" t="s">
        <v>2166</v>
      </c>
      <c r="H1769">
        <v>11.83</v>
      </c>
    </row>
    <row r="1770" spans="1:8">
      <c r="A1770">
        <v>5352</v>
      </c>
      <c r="B1770" t="s">
        <v>2625</v>
      </c>
      <c r="C1770">
        <v>5697</v>
      </c>
      <c r="D1770" t="s">
        <v>2344</v>
      </c>
      <c r="E1770" t="s">
        <v>2036</v>
      </c>
      <c r="F1770">
        <v>202112</v>
      </c>
      <c r="G1770" t="s">
        <v>2167</v>
      </c>
      <c r="H1770">
        <v>21.22</v>
      </c>
    </row>
    <row r="1771" spans="1:8">
      <c r="A1771">
        <v>5352</v>
      </c>
      <c r="B1771" t="s">
        <v>2625</v>
      </c>
      <c r="C1771">
        <v>5697</v>
      </c>
      <c r="D1771" t="s">
        <v>2344</v>
      </c>
      <c r="E1771" t="s">
        <v>2036</v>
      </c>
      <c r="F1771">
        <v>202112</v>
      </c>
      <c r="G1771" t="s">
        <v>2168</v>
      </c>
      <c r="H1771">
        <v>14.37</v>
      </c>
    </row>
    <row r="1772" spans="1:8">
      <c r="A1772">
        <v>5352</v>
      </c>
      <c r="B1772" t="s">
        <v>2625</v>
      </c>
      <c r="C1772">
        <v>5697</v>
      </c>
      <c r="D1772" t="s">
        <v>2344</v>
      </c>
      <c r="E1772" t="s">
        <v>2036</v>
      </c>
      <c r="F1772">
        <v>202112</v>
      </c>
      <c r="G1772" t="s">
        <v>2171</v>
      </c>
      <c r="H1772">
        <v>53608.74</v>
      </c>
    </row>
    <row r="1773" spans="1:8">
      <c r="A1773">
        <v>5352</v>
      </c>
      <c r="B1773" t="s">
        <v>2625</v>
      </c>
      <c r="C1773">
        <v>5697</v>
      </c>
      <c r="D1773" t="s">
        <v>2344</v>
      </c>
      <c r="E1773" t="s">
        <v>2036</v>
      </c>
      <c r="F1773">
        <v>202201</v>
      </c>
      <c r="G1773" t="s">
        <v>190</v>
      </c>
      <c r="H1773">
        <v>162927</v>
      </c>
    </row>
    <row r="1774" spans="1:8">
      <c r="A1774">
        <v>5352</v>
      </c>
      <c r="B1774" t="s">
        <v>2625</v>
      </c>
      <c r="C1774">
        <v>5697</v>
      </c>
      <c r="D1774" t="s">
        <v>2344</v>
      </c>
      <c r="E1774" t="s">
        <v>2036</v>
      </c>
      <c r="F1774">
        <v>202201</v>
      </c>
      <c r="G1774" t="s">
        <v>191</v>
      </c>
      <c r="H1774">
        <v>24445</v>
      </c>
    </row>
    <row r="1775" spans="1:8">
      <c r="A1775">
        <v>5352</v>
      </c>
      <c r="B1775" t="s">
        <v>2625</v>
      </c>
      <c r="C1775">
        <v>5697</v>
      </c>
      <c r="D1775" t="s">
        <v>2344</v>
      </c>
      <c r="E1775" t="s">
        <v>2036</v>
      </c>
      <c r="F1775">
        <v>202201</v>
      </c>
      <c r="G1775" t="s">
        <v>176</v>
      </c>
      <c r="H1775">
        <v>0</v>
      </c>
    </row>
    <row r="1776" spans="1:8">
      <c r="A1776">
        <v>5352</v>
      </c>
      <c r="B1776" t="s">
        <v>2625</v>
      </c>
      <c r="C1776">
        <v>5697</v>
      </c>
      <c r="D1776" t="s">
        <v>2344</v>
      </c>
      <c r="E1776" t="s">
        <v>2036</v>
      </c>
      <c r="F1776">
        <v>202201</v>
      </c>
      <c r="G1776" t="s">
        <v>178</v>
      </c>
      <c r="H1776">
        <v>470</v>
      </c>
    </row>
    <row r="1777" spans="1:8">
      <c r="A1777">
        <v>5352</v>
      </c>
      <c r="B1777" t="s">
        <v>2625</v>
      </c>
      <c r="C1777">
        <v>5697</v>
      </c>
      <c r="D1777" t="s">
        <v>2344</v>
      </c>
      <c r="E1777" t="s">
        <v>2036</v>
      </c>
      <c r="F1777">
        <v>202201</v>
      </c>
      <c r="G1777" t="s">
        <v>180</v>
      </c>
      <c r="H1777">
        <v>572</v>
      </c>
    </row>
    <row r="1778" spans="1:8">
      <c r="A1778">
        <v>5352</v>
      </c>
      <c r="B1778" t="s">
        <v>2625</v>
      </c>
      <c r="C1778">
        <v>5697</v>
      </c>
      <c r="D1778" t="s">
        <v>2344</v>
      </c>
      <c r="E1778" t="s">
        <v>2036</v>
      </c>
      <c r="F1778">
        <v>202201</v>
      </c>
      <c r="G1778" t="s">
        <v>182</v>
      </c>
      <c r="H1778">
        <v>162927</v>
      </c>
    </row>
    <row r="1779" spans="1:8">
      <c r="A1779">
        <v>5352</v>
      </c>
      <c r="B1779" t="s">
        <v>2625</v>
      </c>
      <c r="C1779">
        <v>5697</v>
      </c>
      <c r="D1779" t="s">
        <v>2344</v>
      </c>
      <c r="E1779" t="s">
        <v>2036</v>
      </c>
      <c r="F1779">
        <v>202201</v>
      </c>
      <c r="G1779" t="s">
        <v>184</v>
      </c>
      <c r="H1779">
        <v>24445</v>
      </c>
    </row>
    <row r="1780" spans="1:8">
      <c r="A1780">
        <v>5352</v>
      </c>
      <c r="B1780" t="s">
        <v>2625</v>
      </c>
      <c r="C1780">
        <v>5697</v>
      </c>
      <c r="D1780" t="s">
        <v>2344</v>
      </c>
      <c r="E1780" t="s">
        <v>2036</v>
      </c>
      <c r="F1780">
        <v>202201</v>
      </c>
      <c r="G1780" t="s">
        <v>192</v>
      </c>
      <c r="H1780">
        <v>0</v>
      </c>
    </row>
    <row r="1781" spans="1:8">
      <c r="A1781">
        <v>5352</v>
      </c>
      <c r="B1781" t="s">
        <v>2625</v>
      </c>
      <c r="C1781">
        <v>5697</v>
      </c>
      <c r="D1781" t="s">
        <v>2344</v>
      </c>
      <c r="E1781" t="s">
        <v>2036</v>
      </c>
      <c r="F1781">
        <v>202201</v>
      </c>
      <c r="G1781" t="s">
        <v>2170</v>
      </c>
      <c r="H1781">
        <v>2121.63</v>
      </c>
    </row>
    <row r="1782" spans="1:8">
      <c r="A1782">
        <v>5352</v>
      </c>
      <c r="B1782" t="s">
        <v>2625</v>
      </c>
      <c r="C1782">
        <v>5697</v>
      </c>
      <c r="D1782" t="s">
        <v>2344</v>
      </c>
      <c r="E1782" t="s">
        <v>2036</v>
      </c>
      <c r="F1782">
        <v>202201</v>
      </c>
      <c r="G1782" t="s">
        <v>186</v>
      </c>
      <c r="H1782">
        <v>0</v>
      </c>
    </row>
    <row r="1783" spans="1:8">
      <c r="A1783">
        <v>5352</v>
      </c>
      <c r="B1783" t="s">
        <v>2625</v>
      </c>
      <c r="C1783">
        <v>5697</v>
      </c>
      <c r="D1783" t="s">
        <v>2344</v>
      </c>
      <c r="E1783" t="s">
        <v>2036</v>
      </c>
      <c r="F1783">
        <v>202201</v>
      </c>
      <c r="G1783" t="s">
        <v>2169</v>
      </c>
      <c r="H1783">
        <v>182.65</v>
      </c>
    </row>
    <row r="1784" spans="1:8">
      <c r="A1784">
        <v>5352</v>
      </c>
      <c r="B1784" t="s">
        <v>2625</v>
      </c>
      <c r="C1784">
        <v>5697</v>
      </c>
      <c r="D1784" t="s">
        <v>2344</v>
      </c>
      <c r="E1784" t="s">
        <v>2036</v>
      </c>
      <c r="F1784">
        <v>202201</v>
      </c>
      <c r="G1784" t="s">
        <v>2166</v>
      </c>
      <c r="H1784">
        <v>11.83</v>
      </c>
    </row>
    <row r="1785" spans="1:8">
      <c r="A1785">
        <v>5352</v>
      </c>
      <c r="B1785" t="s">
        <v>2625</v>
      </c>
      <c r="C1785">
        <v>5697</v>
      </c>
      <c r="D1785" t="s">
        <v>2344</v>
      </c>
      <c r="E1785" t="s">
        <v>2036</v>
      </c>
      <c r="F1785">
        <v>202201</v>
      </c>
      <c r="G1785" t="s">
        <v>2167</v>
      </c>
      <c r="H1785">
        <v>21.22</v>
      </c>
    </row>
    <row r="1786" spans="1:8">
      <c r="A1786">
        <v>5352</v>
      </c>
      <c r="B1786" t="s">
        <v>2625</v>
      </c>
      <c r="C1786">
        <v>5697</v>
      </c>
      <c r="D1786" t="s">
        <v>2344</v>
      </c>
      <c r="E1786" t="s">
        <v>2036</v>
      </c>
      <c r="F1786">
        <v>202201</v>
      </c>
      <c r="G1786" t="s">
        <v>2168</v>
      </c>
      <c r="H1786">
        <v>14.37</v>
      </c>
    </row>
    <row r="1787" spans="1:8">
      <c r="A1787">
        <v>5352</v>
      </c>
      <c r="B1787" t="s">
        <v>2625</v>
      </c>
      <c r="C1787">
        <v>5697</v>
      </c>
      <c r="D1787" t="s">
        <v>2344</v>
      </c>
      <c r="E1787" t="s">
        <v>2036</v>
      </c>
      <c r="F1787">
        <v>202201</v>
      </c>
      <c r="G1787" t="s">
        <v>2171</v>
      </c>
      <c r="H1787">
        <v>56727.94</v>
      </c>
    </row>
    <row r="1788" spans="1:8">
      <c r="A1788">
        <v>5352</v>
      </c>
      <c r="B1788" t="s">
        <v>2625</v>
      </c>
      <c r="C1788">
        <v>5697</v>
      </c>
      <c r="D1788" t="s">
        <v>2344</v>
      </c>
      <c r="E1788" t="s">
        <v>2036</v>
      </c>
      <c r="F1788">
        <v>202201</v>
      </c>
      <c r="G1788" t="s">
        <v>190</v>
      </c>
      <c r="H1788">
        <v>353556</v>
      </c>
    </row>
    <row r="1789" spans="1:8">
      <c r="A1789">
        <v>5352</v>
      </c>
      <c r="B1789" t="s">
        <v>2625</v>
      </c>
      <c r="C1789">
        <v>5697</v>
      </c>
      <c r="D1789" t="s">
        <v>2344</v>
      </c>
      <c r="E1789" t="s">
        <v>2036</v>
      </c>
      <c r="F1789">
        <v>202201</v>
      </c>
      <c r="G1789" t="s">
        <v>191</v>
      </c>
      <c r="H1789">
        <v>50662</v>
      </c>
    </row>
    <row r="1790" spans="1:8">
      <c r="A1790">
        <v>5352</v>
      </c>
      <c r="B1790" t="s">
        <v>2625</v>
      </c>
      <c r="C1790">
        <v>5697</v>
      </c>
      <c r="D1790" t="s">
        <v>2344</v>
      </c>
      <c r="E1790" t="s">
        <v>2036</v>
      </c>
      <c r="F1790">
        <v>202201</v>
      </c>
      <c r="G1790" t="s">
        <v>176</v>
      </c>
      <c r="H1790">
        <v>-2327.8200000000002</v>
      </c>
    </row>
    <row r="1791" spans="1:8">
      <c r="A1791">
        <v>5352</v>
      </c>
      <c r="B1791" t="s">
        <v>2625</v>
      </c>
      <c r="C1791">
        <v>5697</v>
      </c>
      <c r="D1791" t="s">
        <v>2344</v>
      </c>
      <c r="E1791" t="s">
        <v>2036</v>
      </c>
      <c r="F1791">
        <v>202201</v>
      </c>
      <c r="G1791" t="s">
        <v>178</v>
      </c>
      <c r="H1791">
        <v>871</v>
      </c>
    </row>
    <row r="1792" spans="1:8">
      <c r="A1792">
        <v>5352</v>
      </c>
      <c r="B1792" t="s">
        <v>2625</v>
      </c>
      <c r="C1792">
        <v>5697</v>
      </c>
      <c r="D1792" t="s">
        <v>2344</v>
      </c>
      <c r="E1792" t="s">
        <v>2036</v>
      </c>
      <c r="F1792">
        <v>202201</v>
      </c>
      <c r="G1792" t="s">
        <v>180</v>
      </c>
      <c r="H1792">
        <v>884</v>
      </c>
    </row>
    <row r="1793" spans="1:8">
      <c r="A1793">
        <v>5352</v>
      </c>
      <c r="B1793" t="s">
        <v>2625</v>
      </c>
      <c r="C1793">
        <v>5697</v>
      </c>
      <c r="D1793" t="s">
        <v>2344</v>
      </c>
      <c r="E1793" t="s">
        <v>2036</v>
      </c>
      <c r="F1793">
        <v>202201</v>
      </c>
      <c r="G1793" t="s">
        <v>182</v>
      </c>
      <c r="H1793">
        <v>353556</v>
      </c>
    </row>
    <row r="1794" spans="1:8">
      <c r="A1794">
        <v>5352</v>
      </c>
      <c r="B1794" t="s">
        <v>2625</v>
      </c>
      <c r="C1794">
        <v>5697</v>
      </c>
      <c r="D1794" t="s">
        <v>2344</v>
      </c>
      <c r="E1794" t="s">
        <v>2036</v>
      </c>
      <c r="F1794">
        <v>202201</v>
      </c>
      <c r="G1794" t="s">
        <v>184</v>
      </c>
      <c r="H1794">
        <v>50662</v>
      </c>
    </row>
    <row r="1795" spans="1:8">
      <c r="A1795">
        <v>5352</v>
      </c>
      <c r="B1795" t="s">
        <v>2625</v>
      </c>
      <c r="C1795">
        <v>5697</v>
      </c>
      <c r="D1795" t="s">
        <v>2344</v>
      </c>
      <c r="E1795" t="s">
        <v>2036</v>
      </c>
      <c r="F1795">
        <v>202201</v>
      </c>
      <c r="G1795" t="s">
        <v>192</v>
      </c>
      <c r="H1795">
        <v>0</v>
      </c>
    </row>
    <row r="1796" spans="1:8">
      <c r="A1796">
        <v>5352</v>
      </c>
      <c r="B1796" t="s">
        <v>2625</v>
      </c>
      <c r="C1796">
        <v>5697</v>
      </c>
      <c r="D1796" t="s">
        <v>2344</v>
      </c>
      <c r="E1796" t="s">
        <v>2036</v>
      </c>
      <c r="F1796">
        <v>202201</v>
      </c>
      <c r="G1796" t="s">
        <v>2170</v>
      </c>
      <c r="H1796">
        <v>4385.38</v>
      </c>
    </row>
    <row r="1797" spans="1:8">
      <c r="A1797">
        <v>5352</v>
      </c>
      <c r="B1797" t="s">
        <v>2625</v>
      </c>
      <c r="C1797">
        <v>5697</v>
      </c>
      <c r="D1797" t="s">
        <v>2344</v>
      </c>
      <c r="E1797" t="s">
        <v>2036</v>
      </c>
      <c r="F1797">
        <v>202201</v>
      </c>
      <c r="G1797" t="s">
        <v>186</v>
      </c>
      <c r="H1797">
        <v>0</v>
      </c>
    </row>
    <row r="1798" spans="1:8">
      <c r="A1798">
        <v>5352</v>
      </c>
      <c r="B1798" t="s">
        <v>2625</v>
      </c>
      <c r="C1798">
        <v>5697</v>
      </c>
      <c r="D1798" t="s">
        <v>2344</v>
      </c>
      <c r="E1798" t="s">
        <v>2036</v>
      </c>
      <c r="F1798">
        <v>202201</v>
      </c>
      <c r="G1798" t="s">
        <v>2169</v>
      </c>
      <c r="H1798">
        <v>182.65</v>
      </c>
    </row>
    <row r="1799" spans="1:8">
      <c r="A1799">
        <v>5352</v>
      </c>
      <c r="B1799" t="s">
        <v>2625</v>
      </c>
      <c r="C1799">
        <v>5697</v>
      </c>
      <c r="D1799" t="s">
        <v>2344</v>
      </c>
      <c r="E1799" t="s">
        <v>2036</v>
      </c>
      <c r="F1799">
        <v>202201</v>
      </c>
      <c r="G1799" t="s">
        <v>2166</v>
      </c>
      <c r="H1799">
        <v>11.83</v>
      </c>
    </row>
    <row r="1800" spans="1:8">
      <c r="A1800">
        <v>5352</v>
      </c>
      <c r="B1800" t="s">
        <v>2625</v>
      </c>
      <c r="C1800">
        <v>5697</v>
      </c>
      <c r="D1800" t="s">
        <v>2344</v>
      </c>
      <c r="E1800" t="s">
        <v>2036</v>
      </c>
      <c r="F1800">
        <v>202201</v>
      </c>
      <c r="G1800" t="s">
        <v>2167</v>
      </c>
      <c r="H1800">
        <v>21.22</v>
      </c>
    </row>
    <row r="1801" spans="1:8">
      <c r="A1801">
        <v>5352</v>
      </c>
      <c r="B1801" t="s">
        <v>2625</v>
      </c>
      <c r="C1801">
        <v>5697</v>
      </c>
      <c r="D1801" t="s">
        <v>2344</v>
      </c>
      <c r="E1801" t="s">
        <v>2036</v>
      </c>
      <c r="F1801">
        <v>202201</v>
      </c>
      <c r="G1801" t="s">
        <v>2168</v>
      </c>
      <c r="H1801">
        <v>14.37</v>
      </c>
    </row>
    <row r="1802" spans="1:8">
      <c r="A1802">
        <v>5352</v>
      </c>
      <c r="B1802" t="s">
        <v>2625</v>
      </c>
      <c r="C1802">
        <v>5697</v>
      </c>
      <c r="D1802" t="s">
        <v>2344</v>
      </c>
      <c r="E1802" t="s">
        <v>2036</v>
      </c>
      <c r="F1802">
        <v>202201</v>
      </c>
      <c r="G1802" t="s">
        <v>2171</v>
      </c>
      <c r="H1802">
        <v>114928.47</v>
      </c>
    </row>
    <row r="1803" spans="1:8">
      <c r="A1803">
        <v>5352</v>
      </c>
      <c r="B1803" t="s">
        <v>2625</v>
      </c>
      <c r="C1803">
        <v>5697</v>
      </c>
      <c r="D1803" t="s">
        <v>2344</v>
      </c>
      <c r="E1803" t="s">
        <v>2036</v>
      </c>
      <c r="F1803">
        <v>202201</v>
      </c>
      <c r="G1803" t="s">
        <v>190</v>
      </c>
      <c r="H1803">
        <v>661197</v>
      </c>
    </row>
    <row r="1804" spans="1:8">
      <c r="A1804">
        <v>5352</v>
      </c>
      <c r="B1804" t="s">
        <v>2625</v>
      </c>
      <c r="C1804">
        <v>5697</v>
      </c>
      <c r="D1804" t="s">
        <v>2344</v>
      </c>
      <c r="E1804" t="s">
        <v>2036</v>
      </c>
      <c r="F1804">
        <v>202201</v>
      </c>
      <c r="G1804" t="s">
        <v>191</v>
      </c>
      <c r="H1804">
        <v>45254</v>
      </c>
    </row>
    <row r="1805" spans="1:8">
      <c r="A1805">
        <v>5352</v>
      </c>
      <c r="B1805" t="s">
        <v>2625</v>
      </c>
      <c r="C1805">
        <v>5697</v>
      </c>
      <c r="D1805" t="s">
        <v>2344</v>
      </c>
      <c r="E1805" t="s">
        <v>2036</v>
      </c>
      <c r="F1805">
        <v>202201</v>
      </c>
      <c r="G1805" t="s">
        <v>176</v>
      </c>
      <c r="H1805">
        <v>-17037.73</v>
      </c>
    </row>
    <row r="1806" spans="1:8">
      <c r="A1806">
        <v>5352</v>
      </c>
      <c r="B1806" t="s">
        <v>2625</v>
      </c>
      <c r="C1806">
        <v>5697</v>
      </c>
      <c r="D1806" t="s">
        <v>2344</v>
      </c>
      <c r="E1806" t="s">
        <v>2036</v>
      </c>
      <c r="F1806">
        <v>202201</v>
      </c>
      <c r="G1806" t="s">
        <v>178</v>
      </c>
      <c r="H1806">
        <v>1360</v>
      </c>
    </row>
    <row r="1807" spans="1:8">
      <c r="A1807">
        <v>5352</v>
      </c>
      <c r="B1807" t="s">
        <v>2625</v>
      </c>
      <c r="C1807">
        <v>5697</v>
      </c>
      <c r="D1807" t="s">
        <v>2344</v>
      </c>
      <c r="E1807" t="s">
        <v>2036</v>
      </c>
      <c r="F1807">
        <v>202201</v>
      </c>
      <c r="G1807" t="s">
        <v>180</v>
      </c>
      <c r="H1807">
        <v>1250</v>
      </c>
    </row>
    <row r="1808" spans="1:8">
      <c r="A1808">
        <v>5352</v>
      </c>
      <c r="B1808" t="s">
        <v>2625</v>
      </c>
      <c r="C1808">
        <v>5697</v>
      </c>
      <c r="D1808" t="s">
        <v>2344</v>
      </c>
      <c r="E1808" t="s">
        <v>2036</v>
      </c>
      <c r="F1808">
        <v>202201</v>
      </c>
      <c r="G1808" t="s">
        <v>182</v>
      </c>
      <c r="H1808">
        <v>661197</v>
      </c>
    </row>
    <row r="1809" spans="1:8">
      <c r="A1809">
        <v>5352</v>
      </c>
      <c r="B1809" t="s">
        <v>2625</v>
      </c>
      <c r="C1809">
        <v>5697</v>
      </c>
      <c r="D1809" t="s">
        <v>2344</v>
      </c>
      <c r="E1809" t="s">
        <v>2036</v>
      </c>
      <c r="F1809">
        <v>202201</v>
      </c>
      <c r="G1809" t="s">
        <v>184</v>
      </c>
      <c r="H1809">
        <v>45254</v>
      </c>
    </row>
    <row r="1810" spans="1:8">
      <c r="A1810">
        <v>5352</v>
      </c>
      <c r="B1810" t="s">
        <v>2625</v>
      </c>
      <c r="C1810">
        <v>5697</v>
      </c>
      <c r="D1810" t="s">
        <v>2344</v>
      </c>
      <c r="E1810" t="s">
        <v>2036</v>
      </c>
      <c r="F1810">
        <v>202201</v>
      </c>
      <c r="G1810" t="s">
        <v>192</v>
      </c>
      <c r="H1810">
        <v>0</v>
      </c>
    </row>
    <row r="1811" spans="1:8">
      <c r="A1811">
        <v>5352</v>
      </c>
      <c r="B1811" t="s">
        <v>2625</v>
      </c>
      <c r="C1811">
        <v>5697</v>
      </c>
      <c r="D1811" t="s">
        <v>2344</v>
      </c>
      <c r="E1811" t="s">
        <v>2036</v>
      </c>
      <c r="F1811">
        <v>202201</v>
      </c>
      <c r="G1811" t="s">
        <v>2170</v>
      </c>
      <c r="H1811">
        <v>7063.45</v>
      </c>
    </row>
    <row r="1812" spans="1:8">
      <c r="A1812">
        <v>5352</v>
      </c>
      <c r="B1812" t="s">
        <v>2625</v>
      </c>
      <c r="C1812">
        <v>5697</v>
      </c>
      <c r="D1812" t="s">
        <v>2344</v>
      </c>
      <c r="E1812" t="s">
        <v>2036</v>
      </c>
      <c r="F1812">
        <v>202201</v>
      </c>
      <c r="G1812" t="s">
        <v>186</v>
      </c>
      <c r="H1812">
        <v>0</v>
      </c>
    </row>
    <row r="1813" spans="1:8">
      <c r="A1813">
        <v>5352</v>
      </c>
      <c r="B1813" t="s">
        <v>2625</v>
      </c>
      <c r="C1813">
        <v>5697</v>
      </c>
      <c r="D1813" t="s">
        <v>2344</v>
      </c>
      <c r="E1813" t="s">
        <v>2036</v>
      </c>
      <c r="F1813">
        <v>202201</v>
      </c>
      <c r="G1813" t="s">
        <v>2169</v>
      </c>
      <c r="H1813">
        <v>182.65</v>
      </c>
    </row>
    <row r="1814" spans="1:8">
      <c r="A1814">
        <v>5352</v>
      </c>
      <c r="B1814" t="s">
        <v>2625</v>
      </c>
      <c r="C1814">
        <v>5697</v>
      </c>
      <c r="D1814" t="s">
        <v>2344</v>
      </c>
      <c r="E1814" t="s">
        <v>2036</v>
      </c>
      <c r="F1814">
        <v>202201</v>
      </c>
      <c r="G1814" t="s">
        <v>2166</v>
      </c>
      <c r="H1814">
        <v>11.83</v>
      </c>
    </row>
    <row r="1815" spans="1:8">
      <c r="A1815">
        <v>5352</v>
      </c>
      <c r="B1815" t="s">
        <v>2625</v>
      </c>
      <c r="C1815">
        <v>5697</v>
      </c>
      <c r="D1815" t="s">
        <v>2344</v>
      </c>
      <c r="E1815" t="s">
        <v>2036</v>
      </c>
      <c r="F1815">
        <v>202201</v>
      </c>
      <c r="G1815" t="s">
        <v>2167</v>
      </c>
      <c r="H1815">
        <v>21.22</v>
      </c>
    </row>
    <row r="1816" spans="1:8">
      <c r="A1816">
        <v>5352</v>
      </c>
      <c r="B1816" t="s">
        <v>2625</v>
      </c>
      <c r="C1816">
        <v>5697</v>
      </c>
      <c r="D1816" t="s">
        <v>2344</v>
      </c>
      <c r="E1816" t="s">
        <v>2036</v>
      </c>
      <c r="F1816">
        <v>202201</v>
      </c>
      <c r="G1816" t="s">
        <v>2168</v>
      </c>
      <c r="H1816">
        <v>14.37</v>
      </c>
    </row>
    <row r="1817" spans="1:8">
      <c r="A1817">
        <v>5352</v>
      </c>
      <c r="B1817" t="s">
        <v>2625</v>
      </c>
      <c r="C1817">
        <v>5697</v>
      </c>
      <c r="D1817" t="s">
        <v>2344</v>
      </c>
      <c r="E1817" t="s">
        <v>2036</v>
      </c>
      <c r="F1817">
        <v>202201</v>
      </c>
      <c r="G1817" t="s">
        <v>2171</v>
      </c>
      <c r="H1817">
        <v>171824.48</v>
      </c>
    </row>
    <row r="1818" spans="1:8">
      <c r="A1818">
        <v>5352</v>
      </c>
      <c r="B1818" t="s">
        <v>2625</v>
      </c>
      <c r="C1818">
        <v>5697</v>
      </c>
      <c r="D1818" t="s">
        <v>2344</v>
      </c>
      <c r="E1818" t="s">
        <v>2036</v>
      </c>
      <c r="F1818">
        <v>202201</v>
      </c>
      <c r="G1818" t="s">
        <v>190</v>
      </c>
      <c r="H1818">
        <v>864697</v>
      </c>
    </row>
    <row r="1819" spans="1:8">
      <c r="A1819">
        <v>5352</v>
      </c>
      <c r="B1819" t="s">
        <v>2625</v>
      </c>
      <c r="C1819">
        <v>5697</v>
      </c>
      <c r="D1819" t="s">
        <v>2344</v>
      </c>
      <c r="E1819" t="s">
        <v>2036</v>
      </c>
      <c r="F1819">
        <v>202201</v>
      </c>
      <c r="G1819" t="s">
        <v>191</v>
      </c>
      <c r="H1819">
        <v>137674</v>
      </c>
    </row>
    <row r="1820" spans="1:8">
      <c r="A1820">
        <v>5352</v>
      </c>
      <c r="B1820" t="s">
        <v>2625</v>
      </c>
      <c r="C1820">
        <v>5697</v>
      </c>
      <c r="D1820" t="s">
        <v>2344</v>
      </c>
      <c r="E1820" t="s">
        <v>2036</v>
      </c>
      <c r="F1820">
        <v>202201</v>
      </c>
      <c r="G1820" t="s">
        <v>176</v>
      </c>
      <c r="H1820">
        <v>0</v>
      </c>
    </row>
    <row r="1821" spans="1:8">
      <c r="A1821">
        <v>5352</v>
      </c>
      <c r="B1821" t="s">
        <v>2625</v>
      </c>
      <c r="C1821">
        <v>5697</v>
      </c>
      <c r="D1821" t="s">
        <v>2344</v>
      </c>
      <c r="E1821" t="s">
        <v>2036</v>
      </c>
      <c r="F1821">
        <v>202201</v>
      </c>
      <c r="G1821" t="s">
        <v>178</v>
      </c>
      <c r="H1821">
        <v>2400</v>
      </c>
    </row>
    <row r="1822" spans="1:8">
      <c r="A1822">
        <v>5352</v>
      </c>
      <c r="B1822" t="s">
        <v>2625</v>
      </c>
      <c r="C1822">
        <v>5697</v>
      </c>
      <c r="D1822" t="s">
        <v>2344</v>
      </c>
      <c r="E1822" t="s">
        <v>2036</v>
      </c>
      <c r="F1822">
        <v>202201</v>
      </c>
      <c r="G1822" t="s">
        <v>180</v>
      </c>
      <c r="H1822">
        <v>2442</v>
      </c>
    </row>
    <row r="1823" spans="1:8">
      <c r="A1823">
        <v>5352</v>
      </c>
      <c r="B1823" t="s">
        <v>2625</v>
      </c>
      <c r="C1823">
        <v>5697</v>
      </c>
      <c r="D1823" t="s">
        <v>2344</v>
      </c>
      <c r="E1823" t="s">
        <v>2036</v>
      </c>
      <c r="F1823">
        <v>202201</v>
      </c>
      <c r="G1823" t="s">
        <v>182</v>
      </c>
      <c r="H1823">
        <v>947211</v>
      </c>
    </row>
    <row r="1824" spans="1:8">
      <c r="A1824">
        <v>5352</v>
      </c>
      <c r="B1824" t="s">
        <v>2625</v>
      </c>
      <c r="C1824">
        <v>5697</v>
      </c>
      <c r="D1824" t="s">
        <v>2344</v>
      </c>
      <c r="E1824" t="s">
        <v>2036</v>
      </c>
      <c r="F1824">
        <v>202201</v>
      </c>
      <c r="G1824" t="s">
        <v>184</v>
      </c>
      <c r="H1824">
        <v>137674</v>
      </c>
    </row>
    <row r="1825" spans="1:8">
      <c r="A1825">
        <v>5352</v>
      </c>
      <c r="B1825" t="s">
        <v>2625</v>
      </c>
      <c r="C1825">
        <v>5697</v>
      </c>
      <c r="D1825" t="s">
        <v>2344</v>
      </c>
      <c r="E1825" t="s">
        <v>2036</v>
      </c>
      <c r="F1825">
        <v>202201</v>
      </c>
      <c r="G1825" t="s">
        <v>192</v>
      </c>
      <c r="H1825">
        <v>0</v>
      </c>
    </row>
    <row r="1826" spans="1:8">
      <c r="A1826">
        <v>5352</v>
      </c>
      <c r="B1826" t="s">
        <v>2625</v>
      </c>
      <c r="C1826">
        <v>5697</v>
      </c>
      <c r="D1826" t="s">
        <v>2344</v>
      </c>
      <c r="E1826" t="s">
        <v>2036</v>
      </c>
      <c r="F1826">
        <v>202201</v>
      </c>
      <c r="G1826" t="s">
        <v>2170</v>
      </c>
      <c r="H1826">
        <v>10835.2</v>
      </c>
    </row>
    <row r="1827" spans="1:8">
      <c r="A1827">
        <v>5352</v>
      </c>
      <c r="B1827" t="s">
        <v>2625</v>
      </c>
      <c r="C1827">
        <v>5697</v>
      </c>
      <c r="D1827" t="s">
        <v>2344</v>
      </c>
      <c r="E1827" t="s">
        <v>2036</v>
      </c>
      <c r="F1827">
        <v>202201</v>
      </c>
      <c r="G1827" t="s">
        <v>186</v>
      </c>
      <c r="H1827">
        <v>82514</v>
      </c>
    </row>
    <row r="1828" spans="1:8">
      <c r="A1828">
        <v>5352</v>
      </c>
      <c r="B1828" t="s">
        <v>2625</v>
      </c>
      <c r="C1828">
        <v>5697</v>
      </c>
      <c r="D1828" t="s">
        <v>2344</v>
      </c>
      <c r="E1828" t="s">
        <v>2036</v>
      </c>
      <c r="F1828">
        <v>202201</v>
      </c>
      <c r="G1828" t="s">
        <v>2169</v>
      </c>
      <c r="H1828">
        <v>182.65</v>
      </c>
    </row>
    <row r="1829" spans="1:8">
      <c r="A1829">
        <v>5352</v>
      </c>
      <c r="B1829" t="s">
        <v>2625</v>
      </c>
      <c r="C1829">
        <v>5697</v>
      </c>
      <c r="D1829" t="s">
        <v>2344</v>
      </c>
      <c r="E1829" t="s">
        <v>2036</v>
      </c>
      <c r="F1829">
        <v>202201</v>
      </c>
      <c r="G1829" t="s">
        <v>2166</v>
      </c>
      <c r="H1829">
        <v>11.83</v>
      </c>
    </row>
    <row r="1830" spans="1:8">
      <c r="A1830">
        <v>5352</v>
      </c>
      <c r="B1830" t="s">
        <v>2625</v>
      </c>
      <c r="C1830">
        <v>5697</v>
      </c>
      <c r="D1830" t="s">
        <v>2344</v>
      </c>
      <c r="E1830" t="s">
        <v>2036</v>
      </c>
      <c r="F1830">
        <v>202201</v>
      </c>
      <c r="G1830" t="s">
        <v>2167</v>
      </c>
      <c r="H1830">
        <v>21.22</v>
      </c>
    </row>
    <row r="1831" spans="1:8">
      <c r="A1831">
        <v>5352</v>
      </c>
      <c r="B1831" t="s">
        <v>2625</v>
      </c>
      <c r="C1831">
        <v>5697</v>
      </c>
      <c r="D1831" t="s">
        <v>2344</v>
      </c>
      <c r="E1831" t="s">
        <v>2036</v>
      </c>
      <c r="F1831">
        <v>202201</v>
      </c>
      <c r="G1831" t="s">
        <v>2168</v>
      </c>
      <c r="H1831">
        <v>14.37</v>
      </c>
    </row>
    <row r="1832" spans="1:8">
      <c r="A1832">
        <v>5352</v>
      </c>
      <c r="B1832" t="s">
        <v>2625</v>
      </c>
      <c r="C1832">
        <v>5697</v>
      </c>
      <c r="D1832" t="s">
        <v>2344</v>
      </c>
      <c r="E1832" t="s">
        <v>2036</v>
      </c>
      <c r="F1832">
        <v>202201</v>
      </c>
      <c r="G1832" t="s">
        <v>2171</v>
      </c>
      <c r="H1832">
        <v>289710.78999999998</v>
      </c>
    </row>
    <row r="1833" spans="1:8">
      <c r="A1833">
        <v>5352</v>
      </c>
      <c r="B1833" t="s">
        <v>2625</v>
      </c>
      <c r="C1833">
        <v>5697</v>
      </c>
      <c r="D1833" t="s">
        <v>2344</v>
      </c>
      <c r="E1833" t="s">
        <v>2036</v>
      </c>
      <c r="F1833">
        <v>202201</v>
      </c>
      <c r="G1833" t="s">
        <v>190</v>
      </c>
      <c r="H1833">
        <v>565105</v>
      </c>
    </row>
    <row r="1834" spans="1:8">
      <c r="A1834">
        <v>5352</v>
      </c>
      <c r="B1834" t="s">
        <v>2625</v>
      </c>
      <c r="C1834">
        <v>5697</v>
      </c>
      <c r="D1834" t="s">
        <v>2344</v>
      </c>
      <c r="E1834" t="s">
        <v>2036</v>
      </c>
      <c r="F1834">
        <v>202201</v>
      </c>
      <c r="G1834" t="s">
        <v>191</v>
      </c>
      <c r="H1834">
        <v>82334</v>
      </c>
    </row>
    <row r="1835" spans="1:8">
      <c r="A1835">
        <v>5352</v>
      </c>
      <c r="B1835" t="s">
        <v>2625</v>
      </c>
      <c r="C1835">
        <v>5697</v>
      </c>
      <c r="D1835" t="s">
        <v>2344</v>
      </c>
      <c r="E1835" t="s">
        <v>2036</v>
      </c>
      <c r="F1835">
        <v>202201</v>
      </c>
      <c r="G1835" t="s">
        <v>176</v>
      </c>
      <c r="H1835">
        <v>0</v>
      </c>
    </row>
    <row r="1836" spans="1:8">
      <c r="A1836">
        <v>5352</v>
      </c>
      <c r="B1836" t="s">
        <v>2625</v>
      </c>
      <c r="C1836">
        <v>5697</v>
      </c>
      <c r="D1836" t="s">
        <v>2344</v>
      </c>
      <c r="E1836" t="s">
        <v>2036</v>
      </c>
      <c r="F1836">
        <v>202201</v>
      </c>
      <c r="G1836" t="s">
        <v>178</v>
      </c>
      <c r="H1836">
        <v>1404</v>
      </c>
    </row>
    <row r="1837" spans="1:8">
      <c r="A1837">
        <v>5352</v>
      </c>
      <c r="B1837" t="s">
        <v>2625</v>
      </c>
      <c r="C1837">
        <v>5697</v>
      </c>
      <c r="D1837" t="s">
        <v>2344</v>
      </c>
      <c r="E1837" t="s">
        <v>2036</v>
      </c>
      <c r="F1837">
        <v>202201</v>
      </c>
      <c r="G1837" t="s">
        <v>180</v>
      </c>
      <c r="H1837">
        <v>1621</v>
      </c>
    </row>
    <row r="1838" spans="1:8">
      <c r="A1838">
        <v>5352</v>
      </c>
      <c r="B1838" t="s">
        <v>2625</v>
      </c>
      <c r="C1838">
        <v>5697</v>
      </c>
      <c r="D1838" t="s">
        <v>2344</v>
      </c>
      <c r="E1838" t="s">
        <v>2036</v>
      </c>
      <c r="F1838">
        <v>202201</v>
      </c>
      <c r="G1838" t="s">
        <v>182</v>
      </c>
      <c r="H1838">
        <v>565105</v>
      </c>
    </row>
    <row r="1839" spans="1:8">
      <c r="A1839">
        <v>5352</v>
      </c>
      <c r="B1839" t="s">
        <v>2625</v>
      </c>
      <c r="C1839">
        <v>5697</v>
      </c>
      <c r="D1839" t="s">
        <v>2344</v>
      </c>
      <c r="E1839" t="s">
        <v>2036</v>
      </c>
      <c r="F1839">
        <v>202201</v>
      </c>
      <c r="G1839" t="s">
        <v>184</v>
      </c>
      <c r="H1839">
        <v>82334</v>
      </c>
    </row>
    <row r="1840" spans="1:8">
      <c r="A1840">
        <v>5352</v>
      </c>
      <c r="B1840" t="s">
        <v>2625</v>
      </c>
      <c r="C1840">
        <v>5697</v>
      </c>
      <c r="D1840" t="s">
        <v>2344</v>
      </c>
      <c r="E1840" t="s">
        <v>2036</v>
      </c>
      <c r="F1840">
        <v>202201</v>
      </c>
      <c r="G1840" t="s">
        <v>192</v>
      </c>
      <c r="H1840">
        <v>0</v>
      </c>
    </row>
    <row r="1841" spans="1:8">
      <c r="A1841">
        <v>5352</v>
      </c>
      <c r="B1841" t="s">
        <v>2625</v>
      </c>
      <c r="C1841">
        <v>5697</v>
      </c>
      <c r="D1841" t="s">
        <v>2344</v>
      </c>
      <c r="E1841" t="s">
        <v>2036</v>
      </c>
      <c r="F1841">
        <v>202201</v>
      </c>
      <c r="G1841" t="s">
        <v>2170</v>
      </c>
      <c r="H1841">
        <v>7820.7</v>
      </c>
    </row>
    <row r="1842" spans="1:8">
      <c r="A1842">
        <v>5352</v>
      </c>
      <c r="B1842" t="s">
        <v>2625</v>
      </c>
      <c r="C1842">
        <v>5697</v>
      </c>
      <c r="D1842" t="s">
        <v>2344</v>
      </c>
      <c r="E1842" t="s">
        <v>2036</v>
      </c>
      <c r="F1842">
        <v>202201</v>
      </c>
      <c r="G1842" t="s">
        <v>186</v>
      </c>
      <c r="H1842">
        <v>0</v>
      </c>
    </row>
    <row r="1843" spans="1:8">
      <c r="A1843">
        <v>5352</v>
      </c>
      <c r="B1843" t="s">
        <v>2625</v>
      </c>
      <c r="C1843">
        <v>5697</v>
      </c>
      <c r="D1843" t="s">
        <v>2344</v>
      </c>
      <c r="E1843" t="s">
        <v>2036</v>
      </c>
      <c r="F1843">
        <v>202201</v>
      </c>
      <c r="G1843" t="s">
        <v>2169</v>
      </c>
      <c r="H1843">
        <v>182.65</v>
      </c>
    </row>
    <row r="1844" spans="1:8">
      <c r="A1844">
        <v>5352</v>
      </c>
      <c r="B1844" t="s">
        <v>2625</v>
      </c>
      <c r="C1844">
        <v>5697</v>
      </c>
      <c r="D1844" t="s">
        <v>2344</v>
      </c>
      <c r="E1844" t="s">
        <v>2036</v>
      </c>
      <c r="F1844">
        <v>202201</v>
      </c>
      <c r="G1844" t="s">
        <v>2166</v>
      </c>
      <c r="H1844">
        <v>11.83</v>
      </c>
    </row>
    <row r="1845" spans="1:8">
      <c r="A1845">
        <v>5352</v>
      </c>
      <c r="B1845" t="s">
        <v>2625</v>
      </c>
      <c r="C1845">
        <v>5697</v>
      </c>
      <c r="D1845" t="s">
        <v>2344</v>
      </c>
      <c r="E1845" t="s">
        <v>2036</v>
      </c>
      <c r="F1845">
        <v>202201</v>
      </c>
      <c r="G1845" t="s">
        <v>2167</v>
      </c>
      <c r="H1845">
        <v>21.22</v>
      </c>
    </row>
    <row r="1846" spans="1:8">
      <c r="A1846">
        <v>5352</v>
      </c>
      <c r="B1846" t="s">
        <v>2625</v>
      </c>
      <c r="C1846">
        <v>5697</v>
      </c>
      <c r="D1846" t="s">
        <v>2344</v>
      </c>
      <c r="E1846" t="s">
        <v>2036</v>
      </c>
      <c r="F1846">
        <v>202201</v>
      </c>
      <c r="G1846" t="s">
        <v>2168</v>
      </c>
      <c r="H1846">
        <v>14.37</v>
      </c>
    </row>
    <row r="1847" spans="1:8">
      <c r="A1847">
        <v>5352</v>
      </c>
      <c r="B1847" t="s">
        <v>2625</v>
      </c>
      <c r="C1847">
        <v>5697</v>
      </c>
      <c r="D1847" t="s">
        <v>2344</v>
      </c>
      <c r="E1847" t="s">
        <v>2036</v>
      </c>
      <c r="F1847">
        <v>202201</v>
      </c>
      <c r="G1847" t="s">
        <v>2171</v>
      </c>
      <c r="H1847">
        <v>209109.66</v>
      </c>
    </row>
    <row r="1848" spans="1:8">
      <c r="A1848">
        <v>5352</v>
      </c>
      <c r="B1848" t="s">
        <v>2625</v>
      </c>
      <c r="C1848">
        <v>5697</v>
      </c>
      <c r="D1848" t="s">
        <v>2344</v>
      </c>
      <c r="E1848" t="s">
        <v>2036</v>
      </c>
      <c r="F1848">
        <v>202201</v>
      </c>
      <c r="G1848" t="s">
        <v>190</v>
      </c>
      <c r="H1848">
        <v>113235</v>
      </c>
    </row>
    <row r="1849" spans="1:8">
      <c r="A1849">
        <v>5352</v>
      </c>
      <c r="B1849" t="s">
        <v>2625</v>
      </c>
      <c r="C1849">
        <v>5697</v>
      </c>
      <c r="D1849" t="s">
        <v>2344</v>
      </c>
      <c r="E1849" t="s">
        <v>2036</v>
      </c>
      <c r="F1849">
        <v>202201</v>
      </c>
      <c r="G1849" t="s">
        <v>191</v>
      </c>
      <c r="H1849">
        <v>17982</v>
      </c>
    </row>
    <row r="1850" spans="1:8">
      <c r="A1850">
        <v>5352</v>
      </c>
      <c r="B1850" t="s">
        <v>2625</v>
      </c>
      <c r="C1850">
        <v>5697</v>
      </c>
      <c r="D1850" t="s">
        <v>2344</v>
      </c>
      <c r="E1850" t="s">
        <v>2036</v>
      </c>
      <c r="F1850">
        <v>202201</v>
      </c>
      <c r="G1850" t="s">
        <v>176</v>
      </c>
      <c r="H1850">
        <v>0</v>
      </c>
    </row>
    <row r="1851" spans="1:8">
      <c r="A1851">
        <v>5352</v>
      </c>
      <c r="B1851" t="s">
        <v>2625</v>
      </c>
      <c r="C1851">
        <v>5697</v>
      </c>
      <c r="D1851" t="s">
        <v>2344</v>
      </c>
      <c r="E1851" t="s">
        <v>2036</v>
      </c>
      <c r="F1851">
        <v>202201</v>
      </c>
      <c r="G1851" t="s">
        <v>178</v>
      </c>
      <c r="H1851">
        <v>405</v>
      </c>
    </row>
    <row r="1852" spans="1:8">
      <c r="A1852">
        <v>5352</v>
      </c>
      <c r="B1852" t="s">
        <v>2625</v>
      </c>
      <c r="C1852">
        <v>5697</v>
      </c>
      <c r="D1852" t="s">
        <v>2344</v>
      </c>
      <c r="E1852" t="s">
        <v>2036</v>
      </c>
      <c r="F1852">
        <v>202201</v>
      </c>
      <c r="G1852" t="s">
        <v>180</v>
      </c>
      <c r="H1852">
        <v>575</v>
      </c>
    </row>
    <row r="1853" spans="1:8">
      <c r="A1853">
        <v>5352</v>
      </c>
      <c r="B1853" t="s">
        <v>2625</v>
      </c>
      <c r="C1853">
        <v>5697</v>
      </c>
      <c r="D1853" t="s">
        <v>2344</v>
      </c>
      <c r="E1853" t="s">
        <v>2036</v>
      </c>
      <c r="F1853">
        <v>202201</v>
      </c>
      <c r="G1853" t="s">
        <v>182</v>
      </c>
      <c r="H1853">
        <v>113235</v>
      </c>
    </row>
    <row r="1854" spans="1:8">
      <c r="A1854">
        <v>5352</v>
      </c>
      <c r="B1854" t="s">
        <v>2625</v>
      </c>
      <c r="C1854">
        <v>5697</v>
      </c>
      <c r="D1854" t="s">
        <v>2344</v>
      </c>
      <c r="E1854" t="s">
        <v>2036</v>
      </c>
      <c r="F1854">
        <v>202201</v>
      </c>
      <c r="G1854" t="s">
        <v>184</v>
      </c>
      <c r="H1854">
        <v>17982</v>
      </c>
    </row>
    <row r="1855" spans="1:8">
      <c r="A1855">
        <v>5352</v>
      </c>
      <c r="B1855" t="s">
        <v>2625</v>
      </c>
      <c r="C1855">
        <v>5697</v>
      </c>
      <c r="D1855" t="s">
        <v>2344</v>
      </c>
      <c r="E1855" t="s">
        <v>2036</v>
      </c>
      <c r="F1855">
        <v>202201</v>
      </c>
      <c r="G1855" t="s">
        <v>192</v>
      </c>
      <c r="H1855">
        <v>0</v>
      </c>
    </row>
    <row r="1856" spans="1:8">
      <c r="A1856">
        <v>5352</v>
      </c>
      <c r="B1856" t="s">
        <v>2625</v>
      </c>
      <c r="C1856">
        <v>5697</v>
      </c>
      <c r="D1856" t="s">
        <v>2344</v>
      </c>
      <c r="E1856" t="s">
        <v>2036</v>
      </c>
      <c r="F1856">
        <v>202201</v>
      </c>
      <c r="G1856" t="s">
        <v>2170</v>
      </c>
      <c r="H1856">
        <v>2087.08</v>
      </c>
    </row>
    <row r="1857" spans="1:8">
      <c r="A1857">
        <v>5352</v>
      </c>
      <c r="B1857" t="s">
        <v>2625</v>
      </c>
      <c r="C1857">
        <v>5697</v>
      </c>
      <c r="D1857" t="s">
        <v>2344</v>
      </c>
      <c r="E1857" t="s">
        <v>2036</v>
      </c>
      <c r="F1857">
        <v>202201</v>
      </c>
      <c r="G1857" t="s">
        <v>186</v>
      </c>
      <c r="H1857">
        <v>0</v>
      </c>
    </row>
    <row r="1858" spans="1:8">
      <c r="A1858">
        <v>5352</v>
      </c>
      <c r="B1858" t="s">
        <v>2625</v>
      </c>
      <c r="C1858">
        <v>5697</v>
      </c>
      <c r="D1858" t="s">
        <v>2344</v>
      </c>
      <c r="E1858" t="s">
        <v>2036</v>
      </c>
      <c r="F1858">
        <v>202201</v>
      </c>
      <c r="G1858" t="s">
        <v>2169</v>
      </c>
      <c r="H1858">
        <v>182.65</v>
      </c>
    </row>
    <row r="1859" spans="1:8">
      <c r="A1859">
        <v>5352</v>
      </c>
      <c r="B1859" t="s">
        <v>2625</v>
      </c>
      <c r="C1859">
        <v>5697</v>
      </c>
      <c r="D1859" t="s">
        <v>2344</v>
      </c>
      <c r="E1859" t="s">
        <v>2036</v>
      </c>
      <c r="F1859">
        <v>202201</v>
      </c>
      <c r="G1859" t="s">
        <v>2166</v>
      </c>
      <c r="H1859">
        <v>11.83</v>
      </c>
    </row>
    <row r="1860" spans="1:8">
      <c r="A1860">
        <v>5352</v>
      </c>
      <c r="B1860" t="s">
        <v>2625</v>
      </c>
      <c r="C1860">
        <v>5697</v>
      </c>
      <c r="D1860" t="s">
        <v>2344</v>
      </c>
      <c r="E1860" t="s">
        <v>2036</v>
      </c>
      <c r="F1860">
        <v>202201</v>
      </c>
      <c r="G1860" t="s">
        <v>2167</v>
      </c>
      <c r="H1860">
        <v>21.22</v>
      </c>
    </row>
    <row r="1861" spans="1:8">
      <c r="A1861">
        <v>5352</v>
      </c>
      <c r="B1861" t="s">
        <v>2625</v>
      </c>
      <c r="C1861">
        <v>5697</v>
      </c>
      <c r="D1861" t="s">
        <v>2344</v>
      </c>
      <c r="E1861" t="s">
        <v>2036</v>
      </c>
      <c r="F1861">
        <v>202201</v>
      </c>
      <c r="G1861" t="s">
        <v>2168</v>
      </c>
      <c r="H1861">
        <v>14.37</v>
      </c>
    </row>
    <row r="1862" spans="1:8">
      <c r="A1862">
        <v>5352</v>
      </c>
      <c r="B1862" t="s">
        <v>2625</v>
      </c>
      <c r="C1862">
        <v>5697</v>
      </c>
      <c r="D1862" t="s">
        <v>2344</v>
      </c>
      <c r="E1862" t="s">
        <v>2036</v>
      </c>
      <c r="F1862">
        <v>202201</v>
      </c>
      <c r="G1862" t="s">
        <v>2171</v>
      </c>
      <c r="H1862">
        <v>55803.58</v>
      </c>
    </row>
    <row r="1863" spans="1:8">
      <c r="A1863">
        <v>5352</v>
      </c>
      <c r="B1863" t="s">
        <v>2625</v>
      </c>
      <c r="C1863">
        <v>5697</v>
      </c>
      <c r="D1863" t="s">
        <v>2344</v>
      </c>
      <c r="E1863" t="s">
        <v>2036</v>
      </c>
      <c r="F1863">
        <v>202201</v>
      </c>
      <c r="G1863" t="s">
        <v>190</v>
      </c>
      <c r="H1863">
        <v>205966</v>
      </c>
    </row>
    <row r="1864" spans="1:8">
      <c r="A1864">
        <v>5352</v>
      </c>
      <c r="B1864" t="s">
        <v>2625</v>
      </c>
      <c r="C1864">
        <v>5697</v>
      </c>
      <c r="D1864" t="s">
        <v>2344</v>
      </c>
      <c r="E1864" t="s">
        <v>2036</v>
      </c>
      <c r="F1864">
        <v>202201</v>
      </c>
      <c r="G1864" t="s">
        <v>191</v>
      </c>
      <c r="H1864">
        <v>31770</v>
      </c>
    </row>
    <row r="1865" spans="1:8">
      <c r="A1865">
        <v>5352</v>
      </c>
      <c r="B1865" t="s">
        <v>2625</v>
      </c>
      <c r="C1865">
        <v>5697</v>
      </c>
      <c r="D1865" t="s">
        <v>2344</v>
      </c>
      <c r="E1865" t="s">
        <v>2036</v>
      </c>
      <c r="F1865">
        <v>202201</v>
      </c>
      <c r="G1865" t="s">
        <v>176</v>
      </c>
      <c r="H1865">
        <v>0</v>
      </c>
    </row>
    <row r="1866" spans="1:8">
      <c r="A1866">
        <v>5352</v>
      </c>
      <c r="B1866" t="s">
        <v>2625</v>
      </c>
      <c r="C1866">
        <v>5697</v>
      </c>
      <c r="D1866" t="s">
        <v>2344</v>
      </c>
      <c r="E1866" t="s">
        <v>2036</v>
      </c>
      <c r="F1866">
        <v>202201</v>
      </c>
      <c r="G1866" t="s">
        <v>178</v>
      </c>
      <c r="H1866">
        <v>567</v>
      </c>
    </row>
    <row r="1867" spans="1:8">
      <c r="A1867">
        <v>5352</v>
      </c>
      <c r="B1867" t="s">
        <v>2625</v>
      </c>
      <c r="C1867">
        <v>5697</v>
      </c>
      <c r="D1867" t="s">
        <v>2344</v>
      </c>
      <c r="E1867" t="s">
        <v>2036</v>
      </c>
      <c r="F1867">
        <v>202201</v>
      </c>
      <c r="G1867" t="s">
        <v>180</v>
      </c>
      <c r="H1867">
        <v>585</v>
      </c>
    </row>
    <row r="1868" spans="1:8">
      <c r="A1868">
        <v>5352</v>
      </c>
      <c r="B1868" t="s">
        <v>2625</v>
      </c>
      <c r="C1868">
        <v>5697</v>
      </c>
      <c r="D1868" t="s">
        <v>2344</v>
      </c>
      <c r="E1868" t="s">
        <v>2036</v>
      </c>
      <c r="F1868">
        <v>202201</v>
      </c>
      <c r="G1868" t="s">
        <v>182</v>
      </c>
      <c r="H1868">
        <v>205966</v>
      </c>
    </row>
    <row r="1869" spans="1:8">
      <c r="A1869">
        <v>5352</v>
      </c>
      <c r="B1869" t="s">
        <v>2625</v>
      </c>
      <c r="C1869">
        <v>5697</v>
      </c>
      <c r="D1869" t="s">
        <v>2344</v>
      </c>
      <c r="E1869" t="s">
        <v>2036</v>
      </c>
      <c r="F1869">
        <v>202201</v>
      </c>
      <c r="G1869" t="s">
        <v>184</v>
      </c>
      <c r="H1869">
        <v>31770</v>
      </c>
    </row>
    <row r="1870" spans="1:8">
      <c r="A1870">
        <v>5352</v>
      </c>
      <c r="B1870" t="s">
        <v>2625</v>
      </c>
      <c r="C1870">
        <v>5697</v>
      </c>
      <c r="D1870" t="s">
        <v>2344</v>
      </c>
      <c r="E1870" t="s">
        <v>2036</v>
      </c>
      <c r="F1870">
        <v>202201</v>
      </c>
      <c r="G1870" t="s">
        <v>192</v>
      </c>
      <c r="H1870">
        <v>0</v>
      </c>
    </row>
    <row r="1871" spans="1:8">
      <c r="A1871">
        <v>5352</v>
      </c>
      <c r="B1871" t="s">
        <v>2625</v>
      </c>
      <c r="C1871">
        <v>5697</v>
      </c>
      <c r="D1871" t="s">
        <v>2344</v>
      </c>
      <c r="E1871" t="s">
        <v>2036</v>
      </c>
      <c r="F1871">
        <v>202201</v>
      </c>
      <c r="G1871" t="s">
        <v>2170</v>
      </c>
      <c r="H1871">
        <v>2562.71</v>
      </c>
    </row>
    <row r="1872" spans="1:8">
      <c r="A1872">
        <v>5352</v>
      </c>
      <c r="B1872" t="s">
        <v>2625</v>
      </c>
      <c r="C1872">
        <v>5697</v>
      </c>
      <c r="D1872" t="s">
        <v>2344</v>
      </c>
      <c r="E1872" t="s">
        <v>2036</v>
      </c>
      <c r="F1872">
        <v>202201</v>
      </c>
      <c r="G1872" t="s">
        <v>186</v>
      </c>
      <c r="H1872">
        <v>0</v>
      </c>
    </row>
    <row r="1873" spans="1:8">
      <c r="A1873">
        <v>5352</v>
      </c>
      <c r="B1873" t="s">
        <v>2625</v>
      </c>
      <c r="C1873">
        <v>5697</v>
      </c>
      <c r="D1873" t="s">
        <v>2344</v>
      </c>
      <c r="E1873" t="s">
        <v>2036</v>
      </c>
      <c r="F1873">
        <v>202201</v>
      </c>
      <c r="G1873" t="s">
        <v>2169</v>
      </c>
      <c r="H1873">
        <v>182.65</v>
      </c>
    </row>
    <row r="1874" spans="1:8">
      <c r="A1874">
        <v>5352</v>
      </c>
      <c r="B1874" t="s">
        <v>2625</v>
      </c>
      <c r="C1874">
        <v>5697</v>
      </c>
      <c r="D1874" t="s">
        <v>2344</v>
      </c>
      <c r="E1874" t="s">
        <v>2036</v>
      </c>
      <c r="F1874">
        <v>202201</v>
      </c>
      <c r="G1874" t="s">
        <v>2166</v>
      </c>
      <c r="H1874">
        <v>11.83</v>
      </c>
    </row>
    <row r="1875" spans="1:8">
      <c r="A1875">
        <v>5352</v>
      </c>
      <c r="B1875" t="s">
        <v>2625</v>
      </c>
      <c r="C1875">
        <v>5697</v>
      </c>
      <c r="D1875" t="s">
        <v>2344</v>
      </c>
      <c r="E1875" t="s">
        <v>2036</v>
      </c>
      <c r="F1875">
        <v>202201</v>
      </c>
      <c r="G1875" t="s">
        <v>2167</v>
      </c>
      <c r="H1875">
        <v>21.22</v>
      </c>
    </row>
    <row r="1876" spans="1:8">
      <c r="A1876">
        <v>5352</v>
      </c>
      <c r="B1876" t="s">
        <v>2625</v>
      </c>
      <c r="C1876">
        <v>5697</v>
      </c>
      <c r="D1876" t="s">
        <v>2344</v>
      </c>
      <c r="E1876" t="s">
        <v>2036</v>
      </c>
      <c r="F1876">
        <v>202201</v>
      </c>
      <c r="G1876" t="s">
        <v>2168</v>
      </c>
      <c r="H1876">
        <v>14.37</v>
      </c>
    </row>
    <row r="1877" spans="1:8">
      <c r="A1877">
        <v>5352</v>
      </c>
      <c r="B1877" t="s">
        <v>2625</v>
      </c>
      <c r="C1877">
        <v>5697</v>
      </c>
      <c r="D1877" t="s">
        <v>2344</v>
      </c>
      <c r="E1877" t="s">
        <v>2036</v>
      </c>
      <c r="F1877">
        <v>202201</v>
      </c>
      <c r="G1877" t="s">
        <v>2171</v>
      </c>
      <c r="H1877">
        <v>68521.87</v>
      </c>
    </row>
    <row r="1878" spans="1:8">
      <c r="A1878">
        <v>5352</v>
      </c>
      <c r="B1878" t="s">
        <v>2625</v>
      </c>
      <c r="C1878">
        <v>5697</v>
      </c>
      <c r="D1878" t="s">
        <v>2344</v>
      </c>
      <c r="E1878" t="s">
        <v>2036</v>
      </c>
      <c r="F1878">
        <v>202201</v>
      </c>
      <c r="G1878" t="s">
        <v>190</v>
      </c>
      <c r="H1878">
        <v>15297</v>
      </c>
    </row>
    <row r="1879" spans="1:8">
      <c r="A1879">
        <v>5352</v>
      </c>
      <c r="B1879" t="s">
        <v>2625</v>
      </c>
      <c r="C1879">
        <v>5697</v>
      </c>
      <c r="D1879" t="s">
        <v>2344</v>
      </c>
      <c r="E1879" t="s">
        <v>2036</v>
      </c>
      <c r="F1879">
        <v>202201</v>
      </c>
      <c r="G1879" t="s">
        <v>191</v>
      </c>
      <c r="H1879">
        <v>2244</v>
      </c>
    </row>
    <row r="1880" spans="1:8">
      <c r="A1880">
        <v>5352</v>
      </c>
      <c r="B1880" t="s">
        <v>2625</v>
      </c>
      <c r="C1880">
        <v>5697</v>
      </c>
      <c r="D1880" t="s">
        <v>2344</v>
      </c>
      <c r="E1880" t="s">
        <v>2036</v>
      </c>
      <c r="F1880">
        <v>202201</v>
      </c>
      <c r="G1880" t="s">
        <v>176</v>
      </c>
      <c r="H1880">
        <v>0</v>
      </c>
    </row>
    <row r="1881" spans="1:8">
      <c r="A1881">
        <v>5352</v>
      </c>
      <c r="B1881" t="s">
        <v>2625</v>
      </c>
      <c r="C1881">
        <v>5697</v>
      </c>
      <c r="D1881" t="s">
        <v>2344</v>
      </c>
      <c r="E1881" t="s">
        <v>2036</v>
      </c>
      <c r="F1881">
        <v>202201</v>
      </c>
      <c r="G1881" t="s">
        <v>178</v>
      </c>
      <c r="H1881">
        <v>80</v>
      </c>
    </row>
    <row r="1882" spans="1:8">
      <c r="A1882">
        <v>5352</v>
      </c>
      <c r="B1882" t="s">
        <v>2625</v>
      </c>
      <c r="C1882">
        <v>5697</v>
      </c>
      <c r="D1882" t="s">
        <v>2344</v>
      </c>
      <c r="E1882" t="s">
        <v>2036</v>
      </c>
      <c r="F1882">
        <v>202201</v>
      </c>
      <c r="G1882" t="s">
        <v>180</v>
      </c>
      <c r="H1882">
        <v>70</v>
      </c>
    </row>
    <row r="1883" spans="1:8">
      <c r="A1883">
        <v>5352</v>
      </c>
      <c r="B1883" t="s">
        <v>2625</v>
      </c>
      <c r="C1883">
        <v>5697</v>
      </c>
      <c r="D1883" t="s">
        <v>2344</v>
      </c>
      <c r="E1883" t="s">
        <v>2036</v>
      </c>
      <c r="F1883">
        <v>202201</v>
      </c>
      <c r="G1883" t="s">
        <v>182</v>
      </c>
      <c r="H1883">
        <v>15297</v>
      </c>
    </row>
    <row r="1884" spans="1:8">
      <c r="A1884">
        <v>5352</v>
      </c>
      <c r="B1884" t="s">
        <v>2625</v>
      </c>
      <c r="C1884">
        <v>5697</v>
      </c>
      <c r="D1884" t="s">
        <v>2344</v>
      </c>
      <c r="E1884" t="s">
        <v>2036</v>
      </c>
      <c r="F1884">
        <v>202201</v>
      </c>
      <c r="G1884" t="s">
        <v>184</v>
      </c>
      <c r="H1884">
        <v>2244</v>
      </c>
    </row>
    <row r="1885" spans="1:8">
      <c r="A1885">
        <v>5352</v>
      </c>
      <c r="B1885" t="s">
        <v>2625</v>
      </c>
      <c r="C1885">
        <v>5697</v>
      </c>
      <c r="D1885" t="s">
        <v>2344</v>
      </c>
      <c r="E1885" t="s">
        <v>2036</v>
      </c>
      <c r="F1885">
        <v>202201</v>
      </c>
      <c r="G1885" t="s">
        <v>192</v>
      </c>
      <c r="H1885">
        <v>0</v>
      </c>
    </row>
    <row r="1886" spans="1:8">
      <c r="A1886">
        <v>5352</v>
      </c>
      <c r="B1886" t="s">
        <v>2625</v>
      </c>
      <c r="C1886">
        <v>5697</v>
      </c>
      <c r="D1886" t="s">
        <v>2344</v>
      </c>
      <c r="E1886" t="s">
        <v>2036</v>
      </c>
      <c r="F1886">
        <v>202201</v>
      </c>
      <c r="G1886" t="s">
        <v>2170</v>
      </c>
      <c r="H1886">
        <v>228.75</v>
      </c>
    </row>
    <row r="1887" spans="1:8">
      <c r="A1887">
        <v>5352</v>
      </c>
      <c r="B1887" t="s">
        <v>2625</v>
      </c>
      <c r="C1887">
        <v>5697</v>
      </c>
      <c r="D1887" t="s">
        <v>2344</v>
      </c>
      <c r="E1887" t="s">
        <v>2036</v>
      </c>
      <c r="F1887">
        <v>202201</v>
      </c>
      <c r="G1887" t="s">
        <v>186</v>
      </c>
      <c r="H1887">
        <v>0</v>
      </c>
    </row>
    <row r="1888" spans="1:8">
      <c r="A1888">
        <v>5352</v>
      </c>
      <c r="B1888" t="s">
        <v>2625</v>
      </c>
      <c r="C1888">
        <v>5697</v>
      </c>
      <c r="D1888" t="s">
        <v>2344</v>
      </c>
      <c r="E1888" t="s">
        <v>2036</v>
      </c>
      <c r="F1888">
        <v>202201</v>
      </c>
      <c r="G1888" t="s">
        <v>2169</v>
      </c>
      <c r="H1888">
        <v>182.65</v>
      </c>
    </row>
    <row r="1889" spans="1:8">
      <c r="A1889">
        <v>5352</v>
      </c>
      <c r="B1889" t="s">
        <v>2625</v>
      </c>
      <c r="C1889">
        <v>5697</v>
      </c>
      <c r="D1889" t="s">
        <v>2344</v>
      </c>
      <c r="E1889" t="s">
        <v>2036</v>
      </c>
      <c r="F1889">
        <v>202201</v>
      </c>
      <c r="G1889" t="s">
        <v>2166</v>
      </c>
      <c r="H1889">
        <v>11.83</v>
      </c>
    </row>
    <row r="1890" spans="1:8">
      <c r="A1890">
        <v>5352</v>
      </c>
      <c r="B1890" t="s">
        <v>2625</v>
      </c>
      <c r="C1890">
        <v>5697</v>
      </c>
      <c r="D1890" t="s">
        <v>2344</v>
      </c>
      <c r="E1890" t="s">
        <v>2036</v>
      </c>
      <c r="F1890">
        <v>202201</v>
      </c>
      <c r="G1890" t="s">
        <v>2167</v>
      </c>
      <c r="H1890">
        <v>21.22</v>
      </c>
    </row>
    <row r="1891" spans="1:8">
      <c r="A1891">
        <v>5352</v>
      </c>
      <c r="B1891" t="s">
        <v>2625</v>
      </c>
      <c r="C1891">
        <v>5697</v>
      </c>
      <c r="D1891" t="s">
        <v>2344</v>
      </c>
      <c r="E1891" t="s">
        <v>2036</v>
      </c>
      <c r="F1891">
        <v>202201</v>
      </c>
      <c r="G1891" t="s">
        <v>2168</v>
      </c>
      <c r="H1891">
        <v>14.37</v>
      </c>
    </row>
    <row r="1892" spans="1:8">
      <c r="A1892">
        <v>5352</v>
      </c>
      <c r="B1892" t="s">
        <v>2625</v>
      </c>
      <c r="C1892">
        <v>5697</v>
      </c>
      <c r="D1892" t="s">
        <v>2344</v>
      </c>
      <c r="E1892" t="s">
        <v>2036</v>
      </c>
      <c r="F1892">
        <v>202201</v>
      </c>
      <c r="G1892" t="s">
        <v>2171</v>
      </c>
      <c r="H1892">
        <v>6116.45</v>
      </c>
    </row>
    <row r="1893" spans="1:8">
      <c r="A1893">
        <v>5352</v>
      </c>
      <c r="B1893" t="s">
        <v>2625</v>
      </c>
      <c r="C1893">
        <v>5697</v>
      </c>
      <c r="D1893" t="s">
        <v>2344</v>
      </c>
      <c r="E1893" t="s">
        <v>2036</v>
      </c>
      <c r="F1893">
        <v>202201</v>
      </c>
      <c r="G1893" t="s">
        <v>190</v>
      </c>
      <c r="H1893">
        <v>185958</v>
      </c>
    </row>
    <row r="1894" spans="1:8">
      <c r="A1894">
        <v>5352</v>
      </c>
      <c r="B1894" t="s">
        <v>2625</v>
      </c>
      <c r="C1894">
        <v>5697</v>
      </c>
      <c r="D1894" t="s">
        <v>2344</v>
      </c>
      <c r="E1894" t="s">
        <v>2036</v>
      </c>
      <c r="F1894">
        <v>202201</v>
      </c>
      <c r="G1894" t="s">
        <v>191</v>
      </c>
      <c r="H1894">
        <v>28209</v>
      </c>
    </row>
    <row r="1895" spans="1:8">
      <c r="A1895">
        <v>5352</v>
      </c>
      <c r="B1895" t="s">
        <v>2625</v>
      </c>
      <c r="C1895">
        <v>5697</v>
      </c>
      <c r="D1895" t="s">
        <v>2344</v>
      </c>
      <c r="E1895" t="s">
        <v>2036</v>
      </c>
      <c r="F1895">
        <v>202201</v>
      </c>
      <c r="G1895" t="s">
        <v>176</v>
      </c>
      <c r="H1895">
        <v>0</v>
      </c>
    </row>
    <row r="1896" spans="1:8">
      <c r="A1896">
        <v>5352</v>
      </c>
      <c r="B1896" t="s">
        <v>2625</v>
      </c>
      <c r="C1896">
        <v>5697</v>
      </c>
      <c r="D1896" t="s">
        <v>2344</v>
      </c>
      <c r="E1896" t="s">
        <v>2036</v>
      </c>
      <c r="F1896">
        <v>202201</v>
      </c>
      <c r="G1896" t="s">
        <v>178</v>
      </c>
      <c r="H1896">
        <v>728</v>
      </c>
    </row>
    <row r="1897" spans="1:8">
      <c r="A1897">
        <v>5352</v>
      </c>
      <c r="B1897" t="s">
        <v>2625</v>
      </c>
      <c r="C1897">
        <v>5697</v>
      </c>
      <c r="D1897" t="s">
        <v>2344</v>
      </c>
      <c r="E1897" t="s">
        <v>2036</v>
      </c>
      <c r="F1897">
        <v>202201</v>
      </c>
      <c r="G1897" t="s">
        <v>180</v>
      </c>
      <c r="H1897">
        <v>811</v>
      </c>
    </row>
    <row r="1898" spans="1:8">
      <c r="A1898">
        <v>5352</v>
      </c>
      <c r="B1898" t="s">
        <v>2625</v>
      </c>
      <c r="C1898">
        <v>5697</v>
      </c>
      <c r="D1898" t="s">
        <v>2344</v>
      </c>
      <c r="E1898" t="s">
        <v>2036</v>
      </c>
      <c r="F1898">
        <v>202201</v>
      </c>
      <c r="G1898" t="s">
        <v>182</v>
      </c>
      <c r="H1898">
        <v>185958</v>
      </c>
    </row>
    <row r="1899" spans="1:8">
      <c r="A1899">
        <v>5352</v>
      </c>
      <c r="B1899" t="s">
        <v>2625</v>
      </c>
      <c r="C1899">
        <v>5697</v>
      </c>
      <c r="D1899" t="s">
        <v>2344</v>
      </c>
      <c r="E1899" t="s">
        <v>2036</v>
      </c>
      <c r="F1899">
        <v>202201</v>
      </c>
      <c r="G1899" t="s">
        <v>184</v>
      </c>
      <c r="H1899">
        <v>28209</v>
      </c>
    </row>
    <row r="1900" spans="1:8">
      <c r="A1900">
        <v>5352</v>
      </c>
      <c r="B1900" t="s">
        <v>2625</v>
      </c>
      <c r="C1900">
        <v>5697</v>
      </c>
      <c r="D1900" t="s">
        <v>2344</v>
      </c>
      <c r="E1900" t="s">
        <v>2036</v>
      </c>
      <c r="F1900">
        <v>202201</v>
      </c>
      <c r="G1900" t="s">
        <v>192</v>
      </c>
      <c r="H1900">
        <v>0</v>
      </c>
    </row>
    <row r="1901" spans="1:8">
      <c r="A1901">
        <v>5352</v>
      </c>
      <c r="B1901" t="s">
        <v>2625</v>
      </c>
      <c r="C1901">
        <v>5697</v>
      </c>
      <c r="D1901" t="s">
        <v>2344</v>
      </c>
      <c r="E1901" t="s">
        <v>2036</v>
      </c>
      <c r="F1901">
        <v>202201</v>
      </c>
      <c r="G1901" t="s">
        <v>2170</v>
      </c>
      <c r="H1901">
        <v>3159.7</v>
      </c>
    </row>
    <row r="1902" spans="1:8">
      <c r="A1902">
        <v>5352</v>
      </c>
      <c r="B1902" t="s">
        <v>2625</v>
      </c>
      <c r="C1902">
        <v>5697</v>
      </c>
      <c r="D1902" t="s">
        <v>2344</v>
      </c>
      <c r="E1902" t="s">
        <v>2036</v>
      </c>
      <c r="F1902">
        <v>202201</v>
      </c>
      <c r="G1902" t="s">
        <v>186</v>
      </c>
      <c r="H1902">
        <v>0</v>
      </c>
    </row>
    <row r="1903" spans="1:8">
      <c r="A1903">
        <v>5352</v>
      </c>
      <c r="B1903" t="s">
        <v>2625</v>
      </c>
      <c r="C1903">
        <v>5697</v>
      </c>
      <c r="D1903" t="s">
        <v>2344</v>
      </c>
      <c r="E1903" t="s">
        <v>2036</v>
      </c>
      <c r="F1903">
        <v>202201</v>
      </c>
      <c r="G1903" t="s">
        <v>2169</v>
      </c>
      <c r="H1903">
        <v>182.65</v>
      </c>
    </row>
    <row r="1904" spans="1:8">
      <c r="A1904">
        <v>5352</v>
      </c>
      <c r="B1904" t="s">
        <v>2625</v>
      </c>
      <c r="C1904">
        <v>5697</v>
      </c>
      <c r="D1904" t="s">
        <v>2344</v>
      </c>
      <c r="E1904" t="s">
        <v>2036</v>
      </c>
      <c r="F1904">
        <v>202201</v>
      </c>
      <c r="G1904" t="s">
        <v>2166</v>
      </c>
      <c r="H1904">
        <v>11.83</v>
      </c>
    </row>
    <row r="1905" spans="1:8">
      <c r="A1905">
        <v>5352</v>
      </c>
      <c r="B1905" t="s">
        <v>2625</v>
      </c>
      <c r="C1905">
        <v>5697</v>
      </c>
      <c r="D1905" t="s">
        <v>2344</v>
      </c>
      <c r="E1905" t="s">
        <v>2036</v>
      </c>
      <c r="F1905">
        <v>202201</v>
      </c>
      <c r="G1905" t="s">
        <v>2167</v>
      </c>
      <c r="H1905">
        <v>21.22</v>
      </c>
    </row>
    <row r="1906" spans="1:8">
      <c r="A1906">
        <v>5352</v>
      </c>
      <c r="B1906" t="s">
        <v>2625</v>
      </c>
      <c r="C1906">
        <v>5697</v>
      </c>
      <c r="D1906" t="s">
        <v>2344</v>
      </c>
      <c r="E1906" t="s">
        <v>2036</v>
      </c>
      <c r="F1906">
        <v>202201</v>
      </c>
      <c r="G1906" t="s">
        <v>2168</v>
      </c>
      <c r="H1906">
        <v>14.37</v>
      </c>
    </row>
    <row r="1907" spans="1:8">
      <c r="A1907">
        <v>5352</v>
      </c>
      <c r="B1907" t="s">
        <v>2625</v>
      </c>
      <c r="C1907">
        <v>5697</v>
      </c>
      <c r="D1907" t="s">
        <v>2344</v>
      </c>
      <c r="E1907" t="s">
        <v>2036</v>
      </c>
      <c r="F1907">
        <v>202201</v>
      </c>
      <c r="G1907" t="s">
        <v>2171</v>
      </c>
      <c r="H1907">
        <v>84483.95</v>
      </c>
    </row>
    <row r="1908" spans="1:8">
      <c r="A1908">
        <v>5352</v>
      </c>
      <c r="B1908" t="s">
        <v>2625</v>
      </c>
      <c r="C1908">
        <v>5697</v>
      </c>
      <c r="D1908" t="s">
        <v>2344</v>
      </c>
      <c r="E1908" t="s">
        <v>2036</v>
      </c>
      <c r="F1908">
        <v>202201</v>
      </c>
      <c r="G1908" t="s">
        <v>190</v>
      </c>
      <c r="H1908">
        <v>352704</v>
      </c>
    </row>
    <row r="1909" spans="1:8">
      <c r="A1909">
        <v>5352</v>
      </c>
      <c r="B1909" t="s">
        <v>2625</v>
      </c>
      <c r="C1909">
        <v>5697</v>
      </c>
      <c r="D1909" t="s">
        <v>2344</v>
      </c>
      <c r="E1909" t="s">
        <v>2036</v>
      </c>
      <c r="F1909">
        <v>202201</v>
      </c>
      <c r="G1909" t="s">
        <v>191</v>
      </c>
      <c r="H1909">
        <v>46424</v>
      </c>
    </row>
    <row r="1910" spans="1:8">
      <c r="A1910">
        <v>5352</v>
      </c>
      <c r="B1910" t="s">
        <v>2625</v>
      </c>
      <c r="C1910">
        <v>5697</v>
      </c>
      <c r="D1910" t="s">
        <v>2344</v>
      </c>
      <c r="E1910" t="s">
        <v>2036</v>
      </c>
      <c r="F1910">
        <v>202201</v>
      </c>
      <c r="G1910" t="s">
        <v>176</v>
      </c>
      <c r="H1910">
        <v>0</v>
      </c>
    </row>
    <row r="1911" spans="1:8">
      <c r="A1911">
        <v>5352</v>
      </c>
      <c r="B1911" t="s">
        <v>2625</v>
      </c>
      <c r="C1911">
        <v>5697</v>
      </c>
      <c r="D1911" t="s">
        <v>2344</v>
      </c>
      <c r="E1911" t="s">
        <v>2036</v>
      </c>
      <c r="F1911">
        <v>202201</v>
      </c>
      <c r="G1911" t="s">
        <v>178</v>
      </c>
      <c r="H1911">
        <v>754</v>
      </c>
    </row>
    <row r="1912" spans="1:8">
      <c r="A1912">
        <v>5352</v>
      </c>
      <c r="B1912" t="s">
        <v>2625</v>
      </c>
      <c r="C1912">
        <v>5697</v>
      </c>
      <c r="D1912" t="s">
        <v>2344</v>
      </c>
      <c r="E1912" t="s">
        <v>2036</v>
      </c>
      <c r="F1912">
        <v>202201</v>
      </c>
      <c r="G1912" t="s">
        <v>180</v>
      </c>
      <c r="H1912">
        <v>774</v>
      </c>
    </row>
    <row r="1913" spans="1:8">
      <c r="A1913">
        <v>5352</v>
      </c>
      <c r="B1913" t="s">
        <v>2625</v>
      </c>
      <c r="C1913">
        <v>5697</v>
      </c>
      <c r="D1913" t="s">
        <v>2344</v>
      </c>
      <c r="E1913" t="s">
        <v>2036</v>
      </c>
      <c r="F1913">
        <v>202201</v>
      </c>
      <c r="G1913" t="s">
        <v>182</v>
      </c>
      <c r="H1913">
        <v>352704</v>
      </c>
    </row>
    <row r="1914" spans="1:8">
      <c r="A1914">
        <v>5352</v>
      </c>
      <c r="B1914" t="s">
        <v>2625</v>
      </c>
      <c r="C1914">
        <v>5697</v>
      </c>
      <c r="D1914" t="s">
        <v>2344</v>
      </c>
      <c r="E1914" t="s">
        <v>2036</v>
      </c>
      <c r="F1914">
        <v>202201</v>
      </c>
      <c r="G1914" t="s">
        <v>184</v>
      </c>
      <c r="H1914">
        <v>46424</v>
      </c>
    </row>
    <row r="1915" spans="1:8">
      <c r="A1915">
        <v>5352</v>
      </c>
      <c r="B1915" t="s">
        <v>2625</v>
      </c>
      <c r="C1915">
        <v>5697</v>
      </c>
      <c r="D1915" t="s">
        <v>2344</v>
      </c>
      <c r="E1915" t="s">
        <v>2036</v>
      </c>
      <c r="F1915">
        <v>202201</v>
      </c>
      <c r="G1915" t="s">
        <v>192</v>
      </c>
      <c r="H1915">
        <v>0</v>
      </c>
    </row>
    <row r="1916" spans="1:8">
      <c r="A1916">
        <v>5352</v>
      </c>
      <c r="B1916" t="s">
        <v>2625</v>
      </c>
      <c r="C1916">
        <v>5697</v>
      </c>
      <c r="D1916" t="s">
        <v>2344</v>
      </c>
      <c r="E1916" t="s">
        <v>2036</v>
      </c>
      <c r="F1916">
        <v>202201</v>
      </c>
      <c r="G1916" t="s">
        <v>2170</v>
      </c>
      <c r="H1916">
        <v>4244.7</v>
      </c>
    </row>
    <row r="1917" spans="1:8">
      <c r="A1917">
        <v>5352</v>
      </c>
      <c r="B1917" t="s">
        <v>2625</v>
      </c>
      <c r="C1917">
        <v>5697</v>
      </c>
      <c r="D1917" t="s">
        <v>2344</v>
      </c>
      <c r="E1917" t="s">
        <v>2036</v>
      </c>
      <c r="F1917">
        <v>202201</v>
      </c>
      <c r="G1917" t="s">
        <v>186</v>
      </c>
      <c r="H1917">
        <v>0</v>
      </c>
    </row>
    <row r="1918" spans="1:8">
      <c r="A1918">
        <v>5352</v>
      </c>
      <c r="B1918" t="s">
        <v>2625</v>
      </c>
      <c r="C1918">
        <v>5697</v>
      </c>
      <c r="D1918" t="s">
        <v>2344</v>
      </c>
      <c r="E1918" t="s">
        <v>2036</v>
      </c>
      <c r="F1918">
        <v>202201</v>
      </c>
      <c r="G1918" t="s">
        <v>2169</v>
      </c>
      <c r="H1918">
        <v>182.65</v>
      </c>
    </row>
    <row r="1919" spans="1:8">
      <c r="A1919">
        <v>5352</v>
      </c>
      <c r="B1919" t="s">
        <v>2625</v>
      </c>
      <c r="C1919">
        <v>5697</v>
      </c>
      <c r="D1919" t="s">
        <v>2344</v>
      </c>
      <c r="E1919" t="s">
        <v>2036</v>
      </c>
      <c r="F1919">
        <v>202201</v>
      </c>
      <c r="G1919" t="s">
        <v>2166</v>
      </c>
      <c r="H1919">
        <v>11.83</v>
      </c>
    </row>
    <row r="1920" spans="1:8">
      <c r="A1920">
        <v>5352</v>
      </c>
      <c r="B1920" t="s">
        <v>2625</v>
      </c>
      <c r="C1920">
        <v>5697</v>
      </c>
      <c r="D1920" t="s">
        <v>2344</v>
      </c>
      <c r="E1920" t="s">
        <v>2036</v>
      </c>
      <c r="F1920">
        <v>202201</v>
      </c>
      <c r="G1920" t="s">
        <v>2167</v>
      </c>
      <c r="H1920">
        <v>21.22</v>
      </c>
    </row>
    <row r="1921" spans="1:8">
      <c r="A1921">
        <v>5352</v>
      </c>
      <c r="B1921" t="s">
        <v>2625</v>
      </c>
      <c r="C1921">
        <v>5697</v>
      </c>
      <c r="D1921" t="s">
        <v>2344</v>
      </c>
      <c r="E1921" t="s">
        <v>2036</v>
      </c>
      <c r="F1921">
        <v>202201</v>
      </c>
      <c r="G1921" t="s">
        <v>2168</v>
      </c>
      <c r="H1921">
        <v>14.37</v>
      </c>
    </row>
    <row r="1922" spans="1:8">
      <c r="A1922">
        <v>5352</v>
      </c>
      <c r="B1922" t="s">
        <v>2625</v>
      </c>
      <c r="C1922">
        <v>5697</v>
      </c>
      <c r="D1922" t="s">
        <v>2344</v>
      </c>
      <c r="E1922" t="s">
        <v>2036</v>
      </c>
      <c r="F1922">
        <v>202201</v>
      </c>
      <c r="G1922" t="s">
        <v>2171</v>
      </c>
      <c r="H1922">
        <v>113494.55</v>
      </c>
    </row>
    <row r="1923" spans="1:8">
      <c r="A1923">
        <v>5352</v>
      </c>
      <c r="B1923" t="s">
        <v>2625</v>
      </c>
      <c r="C1923">
        <v>5697</v>
      </c>
      <c r="D1923" t="s">
        <v>2344</v>
      </c>
      <c r="E1923" t="s">
        <v>2036</v>
      </c>
      <c r="F1923">
        <v>202201</v>
      </c>
      <c r="G1923" t="s">
        <v>190</v>
      </c>
      <c r="H1923">
        <v>113058</v>
      </c>
    </row>
    <row r="1924" spans="1:8">
      <c r="A1924">
        <v>5352</v>
      </c>
      <c r="B1924" t="s">
        <v>2625</v>
      </c>
      <c r="C1924">
        <v>5697</v>
      </c>
      <c r="D1924" t="s">
        <v>2344</v>
      </c>
      <c r="E1924" t="s">
        <v>2036</v>
      </c>
      <c r="F1924">
        <v>202201</v>
      </c>
      <c r="G1924" t="s">
        <v>191</v>
      </c>
      <c r="H1924">
        <v>16744</v>
      </c>
    </row>
    <row r="1925" spans="1:8">
      <c r="A1925">
        <v>5352</v>
      </c>
      <c r="B1925" t="s">
        <v>2625</v>
      </c>
      <c r="C1925">
        <v>5697</v>
      </c>
      <c r="D1925" t="s">
        <v>2344</v>
      </c>
      <c r="E1925" t="s">
        <v>2036</v>
      </c>
      <c r="F1925">
        <v>202201</v>
      </c>
      <c r="G1925" t="s">
        <v>176</v>
      </c>
      <c r="H1925">
        <v>0</v>
      </c>
    </row>
    <row r="1926" spans="1:8">
      <c r="A1926">
        <v>5352</v>
      </c>
      <c r="B1926" t="s">
        <v>2625</v>
      </c>
      <c r="C1926">
        <v>5697</v>
      </c>
      <c r="D1926" t="s">
        <v>2344</v>
      </c>
      <c r="E1926" t="s">
        <v>2036</v>
      </c>
      <c r="F1926">
        <v>202201</v>
      </c>
      <c r="G1926" t="s">
        <v>178</v>
      </c>
      <c r="H1926">
        <v>320</v>
      </c>
    </row>
    <row r="1927" spans="1:8">
      <c r="A1927">
        <v>5352</v>
      </c>
      <c r="B1927" t="s">
        <v>2625</v>
      </c>
      <c r="C1927">
        <v>5697</v>
      </c>
      <c r="D1927" t="s">
        <v>2344</v>
      </c>
      <c r="E1927" t="s">
        <v>2036</v>
      </c>
      <c r="F1927">
        <v>202201</v>
      </c>
      <c r="G1927" t="s">
        <v>180</v>
      </c>
      <c r="H1927">
        <v>340</v>
      </c>
    </row>
    <row r="1928" spans="1:8">
      <c r="A1928">
        <v>5352</v>
      </c>
      <c r="B1928" t="s">
        <v>2625</v>
      </c>
      <c r="C1928">
        <v>5697</v>
      </c>
      <c r="D1928" t="s">
        <v>2344</v>
      </c>
      <c r="E1928" t="s">
        <v>2036</v>
      </c>
      <c r="F1928">
        <v>202201</v>
      </c>
      <c r="G1928" t="s">
        <v>182</v>
      </c>
      <c r="H1928">
        <v>113058</v>
      </c>
    </row>
    <row r="1929" spans="1:8">
      <c r="A1929">
        <v>5352</v>
      </c>
      <c r="B1929" t="s">
        <v>2625</v>
      </c>
      <c r="C1929">
        <v>5697</v>
      </c>
      <c r="D1929" t="s">
        <v>2344</v>
      </c>
      <c r="E1929" t="s">
        <v>2036</v>
      </c>
      <c r="F1929">
        <v>202201</v>
      </c>
      <c r="G1929" t="s">
        <v>184</v>
      </c>
      <c r="H1929">
        <v>16744</v>
      </c>
    </row>
    <row r="1930" spans="1:8">
      <c r="A1930">
        <v>5352</v>
      </c>
      <c r="B1930" t="s">
        <v>2625</v>
      </c>
      <c r="C1930">
        <v>5697</v>
      </c>
      <c r="D1930" t="s">
        <v>2344</v>
      </c>
      <c r="E1930" t="s">
        <v>2036</v>
      </c>
      <c r="F1930">
        <v>202201</v>
      </c>
      <c r="G1930" t="s">
        <v>192</v>
      </c>
      <c r="H1930">
        <v>0</v>
      </c>
    </row>
    <row r="1931" spans="1:8">
      <c r="A1931">
        <v>5352</v>
      </c>
      <c r="B1931" t="s">
        <v>2625</v>
      </c>
      <c r="C1931">
        <v>5697</v>
      </c>
      <c r="D1931" t="s">
        <v>2344</v>
      </c>
      <c r="E1931" t="s">
        <v>2036</v>
      </c>
      <c r="F1931">
        <v>202201</v>
      </c>
      <c r="G1931" t="s">
        <v>2170</v>
      </c>
      <c r="H1931">
        <v>1421.3</v>
      </c>
    </row>
    <row r="1932" spans="1:8">
      <c r="A1932">
        <v>5352</v>
      </c>
      <c r="B1932" t="s">
        <v>2625</v>
      </c>
      <c r="C1932">
        <v>5697</v>
      </c>
      <c r="D1932" t="s">
        <v>2344</v>
      </c>
      <c r="E1932" t="s">
        <v>2036</v>
      </c>
      <c r="F1932">
        <v>202201</v>
      </c>
      <c r="G1932" t="s">
        <v>186</v>
      </c>
      <c r="H1932">
        <v>0</v>
      </c>
    </row>
    <row r="1933" spans="1:8">
      <c r="A1933">
        <v>5352</v>
      </c>
      <c r="B1933" t="s">
        <v>2625</v>
      </c>
      <c r="C1933">
        <v>5697</v>
      </c>
      <c r="D1933" t="s">
        <v>2344</v>
      </c>
      <c r="E1933" t="s">
        <v>2036</v>
      </c>
      <c r="F1933">
        <v>202201</v>
      </c>
      <c r="G1933" t="s">
        <v>2169</v>
      </c>
      <c r="H1933">
        <v>182.65</v>
      </c>
    </row>
    <row r="1934" spans="1:8">
      <c r="A1934">
        <v>5352</v>
      </c>
      <c r="B1934" t="s">
        <v>2625</v>
      </c>
      <c r="C1934">
        <v>5697</v>
      </c>
      <c r="D1934" t="s">
        <v>2344</v>
      </c>
      <c r="E1934" t="s">
        <v>2036</v>
      </c>
      <c r="F1934">
        <v>202201</v>
      </c>
      <c r="G1934" t="s">
        <v>2166</v>
      </c>
      <c r="H1934">
        <v>11.83</v>
      </c>
    </row>
    <row r="1935" spans="1:8">
      <c r="A1935">
        <v>5352</v>
      </c>
      <c r="B1935" t="s">
        <v>2625</v>
      </c>
      <c r="C1935">
        <v>5697</v>
      </c>
      <c r="D1935" t="s">
        <v>2344</v>
      </c>
      <c r="E1935" t="s">
        <v>2036</v>
      </c>
      <c r="F1935">
        <v>202201</v>
      </c>
      <c r="G1935" t="s">
        <v>2167</v>
      </c>
      <c r="H1935">
        <v>21.22</v>
      </c>
    </row>
    <row r="1936" spans="1:8">
      <c r="A1936">
        <v>5352</v>
      </c>
      <c r="B1936" t="s">
        <v>2625</v>
      </c>
      <c r="C1936">
        <v>5697</v>
      </c>
      <c r="D1936" t="s">
        <v>2344</v>
      </c>
      <c r="E1936" t="s">
        <v>2036</v>
      </c>
      <c r="F1936">
        <v>202201</v>
      </c>
      <c r="G1936" t="s">
        <v>2168</v>
      </c>
      <c r="H1936">
        <v>14.37</v>
      </c>
    </row>
    <row r="1937" spans="1:8">
      <c r="A1937">
        <v>5352</v>
      </c>
      <c r="B1937" t="s">
        <v>2625</v>
      </c>
      <c r="C1937">
        <v>5697</v>
      </c>
      <c r="D1937" t="s">
        <v>2344</v>
      </c>
      <c r="E1937" t="s">
        <v>2036</v>
      </c>
      <c r="F1937">
        <v>202201</v>
      </c>
      <c r="G1937" t="s">
        <v>2171</v>
      </c>
      <c r="H1937">
        <v>38002.910000000003</v>
      </c>
    </row>
    <row r="1938" spans="1:8">
      <c r="A1938">
        <v>5352</v>
      </c>
      <c r="B1938" t="s">
        <v>2625</v>
      </c>
      <c r="C1938">
        <v>5697</v>
      </c>
      <c r="D1938" t="s">
        <v>2344</v>
      </c>
      <c r="E1938" t="s">
        <v>2036</v>
      </c>
      <c r="F1938">
        <v>202201</v>
      </c>
      <c r="G1938" t="s">
        <v>190</v>
      </c>
      <c r="H1938">
        <v>135368</v>
      </c>
    </row>
    <row r="1939" spans="1:8">
      <c r="A1939">
        <v>5352</v>
      </c>
      <c r="B1939" t="s">
        <v>2625</v>
      </c>
      <c r="C1939">
        <v>5697</v>
      </c>
      <c r="D1939" t="s">
        <v>2344</v>
      </c>
      <c r="E1939" t="s">
        <v>2036</v>
      </c>
      <c r="F1939">
        <v>202201</v>
      </c>
      <c r="G1939" t="s">
        <v>191</v>
      </c>
      <c r="H1939">
        <v>20853</v>
      </c>
    </row>
    <row r="1940" spans="1:8">
      <c r="A1940">
        <v>5352</v>
      </c>
      <c r="B1940" t="s">
        <v>2625</v>
      </c>
      <c r="C1940">
        <v>5697</v>
      </c>
      <c r="D1940" t="s">
        <v>2344</v>
      </c>
      <c r="E1940" t="s">
        <v>2036</v>
      </c>
      <c r="F1940">
        <v>202201</v>
      </c>
      <c r="G1940" t="s">
        <v>176</v>
      </c>
      <c r="H1940">
        <v>0</v>
      </c>
    </row>
    <row r="1941" spans="1:8">
      <c r="A1941">
        <v>5352</v>
      </c>
      <c r="B1941" t="s">
        <v>2625</v>
      </c>
      <c r="C1941">
        <v>5697</v>
      </c>
      <c r="D1941" t="s">
        <v>2344</v>
      </c>
      <c r="E1941" t="s">
        <v>2036</v>
      </c>
      <c r="F1941">
        <v>202201</v>
      </c>
      <c r="G1941" t="s">
        <v>178</v>
      </c>
      <c r="H1941">
        <v>600</v>
      </c>
    </row>
    <row r="1942" spans="1:8">
      <c r="A1942">
        <v>5352</v>
      </c>
      <c r="B1942" t="s">
        <v>2625</v>
      </c>
      <c r="C1942">
        <v>5697</v>
      </c>
      <c r="D1942" t="s">
        <v>2344</v>
      </c>
      <c r="E1942" t="s">
        <v>2036</v>
      </c>
      <c r="F1942">
        <v>202201</v>
      </c>
      <c r="G1942" t="s">
        <v>180</v>
      </c>
      <c r="H1942">
        <v>600</v>
      </c>
    </row>
    <row r="1943" spans="1:8">
      <c r="A1943">
        <v>5352</v>
      </c>
      <c r="B1943" t="s">
        <v>2625</v>
      </c>
      <c r="C1943">
        <v>5697</v>
      </c>
      <c r="D1943" t="s">
        <v>2344</v>
      </c>
      <c r="E1943" t="s">
        <v>2036</v>
      </c>
      <c r="F1943">
        <v>202201</v>
      </c>
      <c r="G1943" t="s">
        <v>182</v>
      </c>
      <c r="H1943">
        <v>135368</v>
      </c>
    </row>
    <row r="1944" spans="1:8">
      <c r="A1944">
        <v>5352</v>
      </c>
      <c r="B1944" t="s">
        <v>2625</v>
      </c>
      <c r="C1944">
        <v>5697</v>
      </c>
      <c r="D1944" t="s">
        <v>2344</v>
      </c>
      <c r="E1944" t="s">
        <v>2036</v>
      </c>
      <c r="F1944">
        <v>202201</v>
      </c>
      <c r="G1944" t="s">
        <v>184</v>
      </c>
      <c r="H1944">
        <v>20853</v>
      </c>
    </row>
    <row r="1945" spans="1:8">
      <c r="A1945">
        <v>5352</v>
      </c>
      <c r="B1945" t="s">
        <v>2625</v>
      </c>
      <c r="C1945">
        <v>5697</v>
      </c>
      <c r="D1945" t="s">
        <v>2344</v>
      </c>
      <c r="E1945" t="s">
        <v>2036</v>
      </c>
      <c r="F1945">
        <v>202201</v>
      </c>
      <c r="G1945" t="s">
        <v>192</v>
      </c>
      <c r="H1945">
        <v>0</v>
      </c>
    </row>
    <row r="1946" spans="1:8">
      <c r="A1946">
        <v>5352</v>
      </c>
      <c r="B1946" t="s">
        <v>2625</v>
      </c>
      <c r="C1946">
        <v>5697</v>
      </c>
      <c r="D1946" t="s">
        <v>2344</v>
      </c>
      <c r="E1946" t="s">
        <v>2036</v>
      </c>
      <c r="F1946">
        <v>202201</v>
      </c>
      <c r="G1946" t="s">
        <v>2170</v>
      </c>
      <c r="H1946">
        <v>1966.3</v>
      </c>
    </row>
    <row r="1947" spans="1:8">
      <c r="A1947">
        <v>5352</v>
      </c>
      <c r="B1947" t="s">
        <v>2625</v>
      </c>
      <c r="C1947">
        <v>5697</v>
      </c>
      <c r="D1947" t="s">
        <v>2344</v>
      </c>
      <c r="E1947" t="s">
        <v>2036</v>
      </c>
      <c r="F1947">
        <v>202201</v>
      </c>
      <c r="G1947" t="s">
        <v>186</v>
      </c>
      <c r="H1947">
        <v>0</v>
      </c>
    </row>
    <row r="1948" spans="1:8">
      <c r="A1948">
        <v>5352</v>
      </c>
      <c r="B1948" t="s">
        <v>2625</v>
      </c>
      <c r="C1948">
        <v>5697</v>
      </c>
      <c r="D1948" t="s">
        <v>2344</v>
      </c>
      <c r="E1948" t="s">
        <v>2036</v>
      </c>
      <c r="F1948">
        <v>202201</v>
      </c>
      <c r="G1948" t="s">
        <v>2169</v>
      </c>
      <c r="H1948">
        <v>182.65</v>
      </c>
    </row>
    <row r="1949" spans="1:8">
      <c r="A1949">
        <v>5352</v>
      </c>
      <c r="B1949" t="s">
        <v>2625</v>
      </c>
      <c r="C1949">
        <v>5697</v>
      </c>
      <c r="D1949" t="s">
        <v>2344</v>
      </c>
      <c r="E1949" t="s">
        <v>2036</v>
      </c>
      <c r="F1949">
        <v>202201</v>
      </c>
      <c r="G1949" t="s">
        <v>2166</v>
      </c>
      <c r="H1949">
        <v>11.83</v>
      </c>
    </row>
    <row r="1950" spans="1:8">
      <c r="A1950">
        <v>5352</v>
      </c>
      <c r="B1950" t="s">
        <v>2625</v>
      </c>
      <c r="C1950">
        <v>5697</v>
      </c>
      <c r="D1950" t="s">
        <v>2344</v>
      </c>
      <c r="E1950" t="s">
        <v>2036</v>
      </c>
      <c r="F1950">
        <v>202201</v>
      </c>
      <c r="G1950" t="s">
        <v>2167</v>
      </c>
      <c r="H1950">
        <v>21.22</v>
      </c>
    </row>
    <row r="1951" spans="1:8">
      <c r="A1951">
        <v>5352</v>
      </c>
      <c r="B1951" t="s">
        <v>2625</v>
      </c>
      <c r="C1951">
        <v>5697</v>
      </c>
      <c r="D1951" t="s">
        <v>2344</v>
      </c>
      <c r="E1951" t="s">
        <v>2036</v>
      </c>
      <c r="F1951">
        <v>202201</v>
      </c>
      <c r="G1951" t="s">
        <v>2168</v>
      </c>
      <c r="H1951">
        <v>14.37</v>
      </c>
    </row>
    <row r="1952" spans="1:8">
      <c r="A1952">
        <v>5352</v>
      </c>
      <c r="B1952" t="s">
        <v>2625</v>
      </c>
      <c r="C1952">
        <v>5697</v>
      </c>
      <c r="D1952" t="s">
        <v>2344</v>
      </c>
      <c r="E1952" t="s">
        <v>2036</v>
      </c>
      <c r="F1952">
        <v>202201</v>
      </c>
      <c r="G1952" t="s">
        <v>2171</v>
      </c>
      <c r="H1952">
        <v>52574.94</v>
      </c>
    </row>
    <row r="1953" spans="1:8">
      <c r="A1953">
        <v>5352</v>
      </c>
      <c r="B1953" t="s">
        <v>2625</v>
      </c>
      <c r="C1953">
        <v>5697</v>
      </c>
      <c r="D1953" t="s">
        <v>2344</v>
      </c>
      <c r="E1953" t="s">
        <v>2036</v>
      </c>
      <c r="F1953">
        <v>202201</v>
      </c>
      <c r="G1953" t="s">
        <v>190</v>
      </c>
      <c r="H1953">
        <v>136961</v>
      </c>
    </row>
    <row r="1954" spans="1:8">
      <c r="A1954">
        <v>5352</v>
      </c>
      <c r="B1954" t="s">
        <v>2625</v>
      </c>
      <c r="C1954">
        <v>5697</v>
      </c>
      <c r="D1954" t="s">
        <v>2344</v>
      </c>
      <c r="E1954" t="s">
        <v>2036</v>
      </c>
      <c r="F1954">
        <v>202201</v>
      </c>
      <c r="G1954" t="s">
        <v>191</v>
      </c>
      <c r="H1954">
        <v>19336</v>
      </c>
    </row>
    <row r="1955" spans="1:8">
      <c r="A1955">
        <v>5352</v>
      </c>
      <c r="B1955" t="s">
        <v>2625</v>
      </c>
      <c r="C1955">
        <v>5697</v>
      </c>
      <c r="D1955" t="s">
        <v>2344</v>
      </c>
      <c r="E1955" t="s">
        <v>2036</v>
      </c>
      <c r="F1955">
        <v>202201</v>
      </c>
      <c r="G1955" t="s">
        <v>176</v>
      </c>
      <c r="H1955">
        <v>0</v>
      </c>
    </row>
    <row r="1956" spans="1:8">
      <c r="A1956">
        <v>5352</v>
      </c>
      <c r="B1956" t="s">
        <v>2625</v>
      </c>
      <c r="C1956">
        <v>5697</v>
      </c>
      <c r="D1956" t="s">
        <v>2344</v>
      </c>
      <c r="E1956" t="s">
        <v>2036</v>
      </c>
      <c r="F1956">
        <v>202201</v>
      </c>
      <c r="G1956" t="s">
        <v>178</v>
      </c>
      <c r="H1956">
        <v>450</v>
      </c>
    </row>
    <row r="1957" spans="1:8">
      <c r="A1957">
        <v>5352</v>
      </c>
      <c r="B1957" t="s">
        <v>2625</v>
      </c>
      <c r="C1957">
        <v>5697</v>
      </c>
      <c r="D1957" t="s">
        <v>2344</v>
      </c>
      <c r="E1957" t="s">
        <v>2036</v>
      </c>
      <c r="F1957">
        <v>202201</v>
      </c>
      <c r="G1957" t="s">
        <v>180</v>
      </c>
      <c r="H1957">
        <v>450</v>
      </c>
    </row>
    <row r="1958" spans="1:8">
      <c r="A1958">
        <v>5352</v>
      </c>
      <c r="B1958" t="s">
        <v>2625</v>
      </c>
      <c r="C1958">
        <v>5697</v>
      </c>
      <c r="D1958" t="s">
        <v>2344</v>
      </c>
      <c r="E1958" t="s">
        <v>2036</v>
      </c>
      <c r="F1958">
        <v>202201</v>
      </c>
      <c r="G1958" t="s">
        <v>182</v>
      </c>
      <c r="H1958">
        <v>136961</v>
      </c>
    </row>
    <row r="1959" spans="1:8">
      <c r="A1959">
        <v>5352</v>
      </c>
      <c r="B1959" t="s">
        <v>2625</v>
      </c>
      <c r="C1959">
        <v>5697</v>
      </c>
      <c r="D1959" t="s">
        <v>2344</v>
      </c>
      <c r="E1959" t="s">
        <v>2036</v>
      </c>
      <c r="F1959">
        <v>202201</v>
      </c>
      <c r="G1959" t="s">
        <v>184</v>
      </c>
      <c r="H1959">
        <v>19336</v>
      </c>
    </row>
    <row r="1960" spans="1:8">
      <c r="A1960">
        <v>5352</v>
      </c>
      <c r="B1960" t="s">
        <v>2625</v>
      </c>
      <c r="C1960">
        <v>5697</v>
      </c>
      <c r="D1960" t="s">
        <v>2344</v>
      </c>
      <c r="E1960" t="s">
        <v>2036</v>
      </c>
      <c r="F1960">
        <v>202201</v>
      </c>
      <c r="G1960" t="s">
        <v>192</v>
      </c>
      <c r="H1960">
        <v>0</v>
      </c>
    </row>
    <row r="1961" spans="1:8">
      <c r="A1961">
        <v>5352</v>
      </c>
      <c r="B1961" t="s">
        <v>2625</v>
      </c>
      <c r="C1961">
        <v>5697</v>
      </c>
      <c r="D1961" t="s">
        <v>2344</v>
      </c>
      <c r="E1961" t="s">
        <v>2036</v>
      </c>
      <c r="F1961">
        <v>202201</v>
      </c>
      <c r="G1961" t="s">
        <v>2170</v>
      </c>
      <c r="H1961">
        <v>1774.26</v>
      </c>
    </row>
    <row r="1962" spans="1:8">
      <c r="A1962">
        <v>5352</v>
      </c>
      <c r="B1962" t="s">
        <v>2625</v>
      </c>
      <c r="C1962">
        <v>5697</v>
      </c>
      <c r="D1962" t="s">
        <v>2344</v>
      </c>
      <c r="E1962" t="s">
        <v>2036</v>
      </c>
      <c r="F1962">
        <v>202201</v>
      </c>
      <c r="G1962" t="s">
        <v>186</v>
      </c>
      <c r="H1962">
        <v>0</v>
      </c>
    </row>
    <row r="1963" spans="1:8">
      <c r="A1963">
        <v>5352</v>
      </c>
      <c r="B1963" t="s">
        <v>2625</v>
      </c>
      <c r="C1963">
        <v>5697</v>
      </c>
      <c r="D1963" t="s">
        <v>2344</v>
      </c>
      <c r="E1963" t="s">
        <v>2036</v>
      </c>
      <c r="F1963">
        <v>202201</v>
      </c>
      <c r="G1963" t="s">
        <v>2169</v>
      </c>
      <c r="H1963">
        <v>182.65</v>
      </c>
    </row>
    <row r="1964" spans="1:8">
      <c r="A1964">
        <v>5352</v>
      </c>
      <c r="B1964" t="s">
        <v>2625</v>
      </c>
      <c r="C1964">
        <v>5697</v>
      </c>
      <c r="D1964" t="s">
        <v>2344</v>
      </c>
      <c r="E1964" t="s">
        <v>2036</v>
      </c>
      <c r="F1964">
        <v>202201</v>
      </c>
      <c r="G1964" t="s">
        <v>2166</v>
      </c>
      <c r="H1964">
        <v>11.83</v>
      </c>
    </row>
    <row r="1965" spans="1:8">
      <c r="A1965">
        <v>5352</v>
      </c>
      <c r="B1965" t="s">
        <v>2625</v>
      </c>
      <c r="C1965">
        <v>5697</v>
      </c>
      <c r="D1965" t="s">
        <v>2344</v>
      </c>
      <c r="E1965" t="s">
        <v>2036</v>
      </c>
      <c r="F1965">
        <v>202201</v>
      </c>
      <c r="G1965" t="s">
        <v>2167</v>
      </c>
      <c r="H1965">
        <v>21.22</v>
      </c>
    </row>
    <row r="1966" spans="1:8">
      <c r="A1966">
        <v>5352</v>
      </c>
      <c r="B1966" t="s">
        <v>2625</v>
      </c>
      <c r="C1966">
        <v>5697</v>
      </c>
      <c r="D1966" t="s">
        <v>2344</v>
      </c>
      <c r="E1966" t="s">
        <v>2036</v>
      </c>
      <c r="F1966">
        <v>202201</v>
      </c>
      <c r="G1966" t="s">
        <v>2168</v>
      </c>
      <c r="H1966">
        <v>14.37</v>
      </c>
    </row>
    <row r="1967" spans="1:8">
      <c r="A1967">
        <v>5352</v>
      </c>
      <c r="B1967" t="s">
        <v>2625</v>
      </c>
      <c r="C1967">
        <v>5697</v>
      </c>
      <c r="D1967" t="s">
        <v>2344</v>
      </c>
      <c r="E1967" t="s">
        <v>2036</v>
      </c>
      <c r="F1967">
        <v>202201</v>
      </c>
      <c r="G1967" t="s">
        <v>2171</v>
      </c>
      <c r="H1967">
        <v>47440.37</v>
      </c>
    </row>
    <row r="1968" spans="1:8">
      <c r="A1968">
        <v>5352</v>
      </c>
      <c r="B1968" t="s">
        <v>2625</v>
      </c>
      <c r="C1968">
        <v>5697</v>
      </c>
      <c r="D1968" t="s">
        <v>2344</v>
      </c>
      <c r="E1968" t="s">
        <v>2036</v>
      </c>
      <c r="F1968">
        <v>202201</v>
      </c>
      <c r="G1968" t="s">
        <v>190</v>
      </c>
      <c r="H1968">
        <v>290438</v>
      </c>
    </row>
    <row r="1969" spans="1:8">
      <c r="A1969">
        <v>5352</v>
      </c>
      <c r="B1969" t="s">
        <v>2625</v>
      </c>
      <c r="C1969">
        <v>5697</v>
      </c>
      <c r="D1969" t="s">
        <v>2344</v>
      </c>
      <c r="E1969" t="s">
        <v>2036</v>
      </c>
      <c r="F1969">
        <v>202201</v>
      </c>
      <c r="G1969" t="s">
        <v>191</v>
      </c>
      <c r="H1969">
        <v>40763</v>
      </c>
    </row>
    <row r="1970" spans="1:8">
      <c r="A1970">
        <v>5352</v>
      </c>
      <c r="B1970" t="s">
        <v>2625</v>
      </c>
      <c r="C1970">
        <v>5697</v>
      </c>
      <c r="D1970" t="s">
        <v>2344</v>
      </c>
      <c r="E1970" t="s">
        <v>2036</v>
      </c>
      <c r="F1970">
        <v>202201</v>
      </c>
      <c r="G1970" t="s">
        <v>176</v>
      </c>
      <c r="H1970">
        <v>0</v>
      </c>
    </row>
    <row r="1971" spans="1:8">
      <c r="A1971">
        <v>5352</v>
      </c>
      <c r="B1971" t="s">
        <v>2625</v>
      </c>
      <c r="C1971">
        <v>5697</v>
      </c>
      <c r="D1971" t="s">
        <v>2344</v>
      </c>
      <c r="E1971" t="s">
        <v>2036</v>
      </c>
      <c r="F1971">
        <v>202201</v>
      </c>
      <c r="G1971" t="s">
        <v>178</v>
      </c>
      <c r="H1971">
        <v>820</v>
      </c>
    </row>
    <row r="1972" spans="1:8">
      <c r="A1972">
        <v>5352</v>
      </c>
      <c r="B1972" t="s">
        <v>2625</v>
      </c>
      <c r="C1972">
        <v>5697</v>
      </c>
      <c r="D1972" t="s">
        <v>2344</v>
      </c>
      <c r="E1972" t="s">
        <v>2036</v>
      </c>
      <c r="F1972">
        <v>202201</v>
      </c>
      <c r="G1972" t="s">
        <v>180</v>
      </c>
      <c r="H1972">
        <v>820</v>
      </c>
    </row>
    <row r="1973" spans="1:8">
      <c r="A1973">
        <v>5352</v>
      </c>
      <c r="B1973" t="s">
        <v>2625</v>
      </c>
      <c r="C1973">
        <v>5697</v>
      </c>
      <c r="D1973" t="s">
        <v>2344</v>
      </c>
      <c r="E1973" t="s">
        <v>2036</v>
      </c>
      <c r="F1973">
        <v>202201</v>
      </c>
      <c r="G1973" t="s">
        <v>182</v>
      </c>
      <c r="H1973">
        <v>290438</v>
      </c>
    </row>
    <row r="1974" spans="1:8">
      <c r="A1974">
        <v>5352</v>
      </c>
      <c r="B1974" t="s">
        <v>2625</v>
      </c>
      <c r="C1974">
        <v>5697</v>
      </c>
      <c r="D1974" t="s">
        <v>2344</v>
      </c>
      <c r="E1974" t="s">
        <v>2036</v>
      </c>
      <c r="F1974">
        <v>202201</v>
      </c>
      <c r="G1974" t="s">
        <v>184</v>
      </c>
      <c r="H1974">
        <v>40763</v>
      </c>
    </row>
    <row r="1975" spans="1:8">
      <c r="A1975">
        <v>5352</v>
      </c>
      <c r="B1975" t="s">
        <v>2625</v>
      </c>
      <c r="C1975">
        <v>5697</v>
      </c>
      <c r="D1975" t="s">
        <v>2344</v>
      </c>
      <c r="E1975" t="s">
        <v>2036</v>
      </c>
      <c r="F1975">
        <v>202201</v>
      </c>
      <c r="G1975" t="s">
        <v>192</v>
      </c>
      <c r="H1975">
        <v>0</v>
      </c>
    </row>
    <row r="1976" spans="1:8">
      <c r="A1976">
        <v>5352</v>
      </c>
      <c r="B1976" t="s">
        <v>2625</v>
      </c>
      <c r="C1976">
        <v>5697</v>
      </c>
      <c r="D1976" t="s">
        <v>2344</v>
      </c>
      <c r="E1976" t="s">
        <v>2036</v>
      </c>
      <c r="F1976">
        <v>202201</v>
      </c>
      <c r="G1976" t="s">
        <v>2170</v>
      </c>
      <c r="H1976">
        <v>3588.24</v>
      </c>
    </row>
    <row r="1977" spans="1:8">
      <c r="A1977">
        <v>5352</v>
      </c>
      <c r="B1977" t="s">
        <v>2625</v>
      </c>
      <c r="C1977">
        <v>5697</v>
      </c>
      <c r="D1977" t="s">
        <v>2344</v>
      </c>
      <c r="E1977" t="s">
        <v>2036</v>
      </c>
      <c r="F1977">
        <v>202201</v>
      </c>
      <c r="G1977" t="s">
        <v>186</v>
      </c>
      <c r="H1977">
        <v>0</v>
      </c>
    </row>
    <row r="1978" spans="1:8">
      <c r="A1978">
        <v>5352</v>
      </c>
      <c r="B1978" t="s">
        <v>2625</v>
      </c>
      <c r="C1978">
        <v>5697</v>
      </c>
      <c r="D1978" t="s">
        <v>2344</v>
      </c>
      <c r="E1978" t="s">
        <v>2036</v>
      </c>
      <c r="F1978">
        <v>202201</v>
      </c>
      <c r="G1978" t="s">
        <v>2169</v>
      </c>
      <c r="H1978">
        <v>182.65</v>
      </c>
    </row>
    <row r="1979" spans="1:8">
      <c r="A1979">
        <v>5352</v>
      </c>
      <c r="B1979" t="s">
        <v>2625</v>
      </c>
      <c r="C1979">
        <v>5697</v>
      </c>
      <c r="D1979" t="s">
        <v>2344</v>
      </c>
      <c r="E1979" t="s">
        <v>2036</v>
      </c>
      <c r="F1979">
        <v>202201</v>
      </c>
      <c r="G1979" t="s">
        <v>2166</v>
      </c>
      <c r="H1979">
        <v>11.83</v>
      </c>
    </row>
    <row r="1980" spans="1:8">
      <c r="A1980">
        <v>5352</v>
      </c>
      <c r="B1980" t="s">
        <v>2625</v>
      </c>
      <c r="C1980">
        <v>5697</v>
      </c>
      <c r="D1980" t="s">
        <v>2344</v>
      </c>
      <c r="E1980" t="s">
        <v>2036</v>
      </c>
      <c r="F1980">
        <v>202201</v>
      </c>
      <c r="G1980" t="s">
        <v>2167</v>
      </c>
      <c r="H1980">
        <v>21.22</v>
      </c>
    </row>
    <row r="1981" spans="1:8">
      <c r="A1981">
        <v>5352</v>
      </c>
      <c r="B1981" t="s">
        <v>2625</v>
      </c>
      <c r="C1981">
        <v>5697</v>
      </c>
      <c r="D1981" t="s">
        <v>2344</v>
      </c>
      <c r="E1981" t="s">
        <v>2036</v>
      </c>
      <c r="F1981">
        <v>202201</v>
      </c>
      <c r="G1981" t="s">
        <v>2168</v>
      </c>
      <c r="H1981">
        <v>14.37</v>
      </c>
    </row>
    <row r="1982" spans="1:8">
      <c r="A1982">
        <v>5352</v>
      </c>
      <c r="B1982" t="s">
        <v>2625</v>
      </c>
      <c r="C1982">
        <v>5697</v>
      </c>
      <c r="D1982" t="s">
        <v>2344</v>
      </c>
      <c r="E1982" t="s">
        <v>2036</v>
      </c>
      <c r="F1982">
        <v>202201</v>
      </c>
      <c r="G1982" t="s">
        <v>2171</v>
      </c>
      <c r="H1982">
        <v>95942.45</v>
      </c>
    </row>
    <row r="1983" spans="1:8">
      <c r="A1983">
        <v>5352</v>
      </c>
      <c r="B1983" t="s">
        <v>2625</v>
      </c>
      <c r="C1983">
        <v>5697</v>
      </c>
      <c r="D1983" t="s">
        <v>2344</v>
      </c>
      <c r="E1983" t="s">
        <v>2036</v>
      </c>
      <c r="F1983">
        <v>202201</v>
      </c>
      <c r="G1983" t="s">
        <v>190</v>
      </c>
      <c r="H1983">
        <v>507172</v>
      </c>
    </row>
    <row r="1984" spans="1:8">
      <c r="A1984">
        <v>5352</v>
      </c>
      <c r="B1984" t="s">
        <v>2625</v>
      </c>
      <c r="C1984">
        <v>5697</v>
      </c>
      <c r="D1984" t="s">
        <v>2344</v>
      </c>
      <c r="E1984" t="s">
        <v>2036</v>
      </c>
      <c r="F1984">
        <v>202201</v>
      </c>
      <c r="G1984" t="s">
        <v>191</v>
      </c>
      <c r="H1984">
        <v>65484</v>
      </c>
    </row>
    <row r="1985" spans="1:8">
      <c r="A1985">
        <v>5352</v>
      </c>
      <c r="B1985" t="s">
        <v>2625</v>
      </c>
      <c r="C1985">
        <v>5697</v>
      </c>
      <c r="D1985" t="s">
        <v>2344</v>
      </c>
      <c r="E1985" t="s">
        <v>2036</v>
      </c>
      <c r="F1985">
        <v>202201</v>
      </c>
      <c r="G1985" t="s">
        <v>176</v>
      </c>
      <c r="H1985">
        <v>0</v>
      </c>
    </row>
    <row r="1986" spans="1:8">
      <c r="A1986">
        <v>5352</v>
      </c>
      <c r="B1986" t="s">
        <v>2625</v>
      </c>
      <c r="C1986">
        <v>5697</v>
      </c>
      <c r="D1986" t="s">
        <v>2344</v>
      </c>
      <c r="E1986" t="s">
        <v>2036</v>
      </c>
      <c r="F1986">
        <v>202201</v>
      </c>
      <c r="G1986" t="s">
        <v>178</v>
      </c>
      <c r="H1986">
        <v>1300</v>
      </c>
    </row>
    <row r="1987" spans="1:8">
      <c r="A1987">
        <v>5352</v>
      </c>
      <c r="B1987" t="s">
        <v>2625</v>
      </c>
      <c r="C1987">
        <v>5697</v>
      </c>
      <c r="D1987" t="s">
        <v>2344</v>
      </c>
      <c r="E1987" t="s">
        <v>2036</v>
      </c>
      <c r="F1987">
        <v>202201</v>
      </c>
      <c r="G1987" t="s">
        <v>180</v>
      </c>
      <c r="H1987">
        <v>1350</v>
      </c>
    </row>
    <row r="1988" spans="1:8">
      <c r="A1988">
        <v>5352</v>
      </c>
      <c r="B1988" t="s">
        <v>2625</v>
      </c>
      <c r="C1988">
        <v>5697</v>
      </c>
      <c r="D1988" t="s">
        <v>2344</v>
      </c>
      <c r="E1988" t="s">
        <v>2036</v>
      </c>
      <c r="F1988">
        <v>202201</v>
      </c>
      <c r="G1988" t="s">
        <v>182</v>
      </c>
      <c r="H1988">
        <v>507172</v>
      </c>
    </row>
    <row r="1989" spans="1:8">
      <c r="A1989">
        <v>5352</v>
      </c>
      <c r="B1989" t="s">
        <v>2625</v>
      </c>
      <c r="C1989">
        <v>5697</v>
      </c>
      <c r="D1989" t="s">
        <v>2344</v>
      </c>
      <c r="E1989" t="s">
        <v>2036</v>
      </c>
      <c r="F1989">
        <v>202201</v>
      </c>
      <c r="G1989" t="s">
        <v>184</v>
      </c>
      <c r="H1989">
        <v>65484</v>
      </c>
    </row>
    <row r="1990" spans="1:8">
      <c r="A1990">
        <v>5352</v>
      </c>
      <c r="B1990" t="s">
        <v>2625</v>
      </c>
      <c r="C1990">
        <v>5697</v>
      </c>
      <c r="D1990" t="s">
        <v>2344</v>
      </c>
      <c r="E1990" t="s">
        <v>2036</v>
      </c>
      <c r="F1990">
        <v>202201</v>
      </c>
      <c r="G1990" t="s">
        <v>192</v>
      </c>
      <c r="H1990">
        <v>0</v>
      </c>
    </row>
    <row r="1991" spans="1:8">
      <c r="A1991">
        <v>5352</v>
      </c>
      <c r="B1991" t="s">
        <v>2625</v>
      </c>
      <c r="C1991">
        <v>5697</v>
      </c>
      <c r="D1991" t="s">
        <v>2344</v>
      </c>
      <c r="E1991" t="s">
        <v>2036</v>
      </c>
      <c r="F1991">
        <v>202201</v>
      </c>
      <c r="G1991" t="s">
        <v>2170</v>
      </c>
      <c r="H1991">
        <v>6094.14</v>
      </c>
    </row>
    <row r="1992" spans="1:8">
      <c r="A1992">
        <v>5352</v>
      </c>
      <c r="B1992" t="s">
        <v>2625</v>
      </c>
      <c r="C1992">
        <v>5697</v>
      </c>
      <c r="D1992" t="s">
        <v>2344</v>
      </c>
      <c r="E1992" t="s">
        <v>2036</v>
      </c>
      <c r="F1992">
        <v>202201</v>
      </c>
      <c r="G1992" t="s">
        <v>186</v>
      </c>
      <c r="H1992">
        <v>0</v>
      </c>
    </row>
    <row r="1993" spans="1:8">
      <c r="A1993">
        <v>5352</v>
      </c>
      <c r="B1993" t="s">
        <v>2625</v>
      </c>
      <c r="C1993">
        <v>5697</v>
      </c>
      <c r="D1993" t="s">
        <v>2344</v>
      </c>
      <c r="E1993" t="s">
        <v>2036</v>
      </c>
      <c r="F1993">
        <v>202201</v>
      </c>
      <c r="G1993" t="s">
        <v>2169</v>
      </c>
      <c r="H1993">
        <v>182.65</v>
      </c>
    </row>
    <row r="1994" spans="1:8">
      <c r="A1994">
        <v>5352</v>
      </c>
      <c r="B1994" t="s">
        <v>2625</v>
      </c>
      <c r="C1994">
        <v>5697</v>
      </c>
      <c r="D1994" t="s">
        <v>2344</v>
      </c>
      <c r="E1994" t="s">
        <v>2036</v>
      </c>
      <c r="F1994">
        <v>202201</v>
      </c>
      <c r="G1994" t="s">
        <v>2166</v>
      </c>
      <c r="H1994">
        <v>11.83</v>
      </c>
    </row>
    <row r="1995" spans="1:8">
      <c r="A1995">
        <v>5352</v>
      </c>
      <c r="B1995" t="s">
        <v>2625</v>
      </c>
      <c r="C1995">
        <v>5697</v>
      </c>
      <c r="D1995" t="s">
        <v>2344</v>
      </c>
      <c r="E1995" t="s">
        <v>2036</v>
      </c>
      <c r="F1995">
        <v>202201</v>
      </c>
      <c r="G1995" t="s">
        <v>2167</v>
      </c>
      <c r="H1995">
        <v>21.22</v>
      </c>
    </row>
    <row r="1996" spans="1:8">
      <c r="A1996">
        <v>5352</v>
      </c>
      <c r="B1996" t="s">
        <v>2625</v>
      </c>
      <c r="C1996">
        <v>5697</v>
      </c>
      <c r="D1996" t="s">
        <v>2344</v>
      </c>
      <c r="E1996" t="s">
        <v>2036</v>
      </c>
      <c r="F1996">
        <v>202201</v>
      </c>
      <c r="G1996" t="s">
        <v>2168</v>
      </c>
      <c r="H1996">
        <v>14.37</v>
      </c>
    </row>
    <row r="1997" spans="1:8">
      <c r="A1997">
        <v>5352</v>
      </c>
      <c r="B1997" t="s">
        <v>2625</v>
      </c>
      <c r="C1997">
        <v>5697</v>
      </c>
      <c r="D1997" t="s">
        <v>2344</v>
      </c>
      <c r="E1997" t="s">
        <v>2036</v>
      </c>
      <c r="F1997">
        <v>202201</v>
      </c>
      <c r="G1997" t="s">
        <v>2171</v>
      </c>
      <c r="H1997">
        <v>162944.81</v>
      </c>
    </row>
    <row r="1998" spans="1:8">
      <c r="A1998">
        <v>5352</v>
      </c>
      <c r="B1998" t="s">
        <v>2625</v>
      </c>
      <c r="C1998">
        <v>5697</v>
      </c>
      <c r="D1998" t="s">
        <v>2344</v>
      </c>
      <c r="E1998" t="s">
        <v>2036</v>
      </c>
      <c r="F1998">
        <v>202201</v>
      </c>
      <c r="G1998" t="s">
        <v>190</v>
      </c>
      <c r="H1998">
        <v>254593</v>
      </c>
    </row>
    <row r="1999" spans="1:8">
      <c r="A1999">
        <v>5352</v>
      </c>
      <c r="B1999" t="s">
        <v>2625</v>
      </c>
      <c r="C1999">
        <v>5697</v>
      </c>
      <c r="D1999" t="s">
        <v>2344</v>
      </c>
      <c r="E1999" t="s">
        <v>2036</v>
      </c>
      <c r="F1999">
        <v>202201</v>
      </c>
      <c r="G1999" t="s">
        <v>191</v>
      </c>
      <c r="H1999">
        <v>40008</v>
      </c>
    </row>
    <row r="2000" spans="1:8">
      <c r="A2000">
        <v>5352</v>
      </c>
      <c r="B2000" t="s">
        <v>2625</v>
      </c>
      <c r="C2000">
        <v>5697</v>
      </c>
      <c r="D2000" t="s">
        <v>2344</v>
      </c>
      <c r="E2000" t="s">
        <v>2036</v>
      </c>
      <c r="F2000">
        <v>202201</v>
      </c>
      <c r="G2000" t="s">
        <v>176</v>
      </c>
      <c r="H2000">
        <v>0</v>
      </c>
    </row>
    <row r="2001" spans="1:8">
      <c r="A2001">
        <v>5352</v>
      </c>
      <c r="B2001" t="s">
        <v>2625</v>
      </c>
      <c r="C2001">
        <v>5697</v>
      </c>
      <c r="D2001" t="s">
        <v>2344</v>
      </c>
      <c r="E2001" t="s">
        <v>2036</v>
      </c>
      <c r="F2001">
        <v>202201</v>
      </c>
      <c r="G2001" t="s">
        <v>178</v>
      </c>
      <c r="H2001">
        <v>810</v>
      </c>
    </row>
    <row r="2002" spans="1:8">
      <c r="A2002">
        <v>5352</v>
      </c>
      <c r="B2002" t="s">
        <v>2625</v>
      </c>
      <c r="C2002">
        <v>5697</v>
      </c>
      <c r="D2002" t="s">
        <v>2344</v>
      </c>
      <c r="E2002" t="s">
        <v>2036</v>
      </c>
      <c r="F2002">
        <v>202201</v>
      </c>
      <c r="G2002" t="s">
        <v>180</v>
      </c>
      <c r="H2002">
        <v>930</v>
      </c>
    </row>
    <row r="2003" spans="1:8">
      <c r="A2003">
        <v>5352</v>
      </c>
      <c r="B2003" t="s">
        <v>2625</v>
      </c>
      <c r="C2003">
        <v>5697</v>
      </c>
      <c r="D2003" t="s">
        <v>2344</v>
      </c>
      <c r="E2003" t="s">
        <v>2036</v>
      </c>
      <c r="F2003">
        <v>202201</v>
      </c>
      <c r="G2003" t="s">
        <v>182</v>
      </c>
      <c r="H2003">
        <v>254593</v>
      </c>
    </row>
    <row r="2004" spans="1:8">
      <c r="A2004">
        <v>5352</v>
      </c>
      <c r="B2004" t="s">
        <v>2625</v>
      </c>
      <c r="C2004">
        <v>5697</v>
      </c>
      <c r="D2004" t="s">
        <v>2344</v>
      </c>
      <c r="E2004" t="s">
        <v>2036</v>
      </c>
      <c r="F2004">
        <v>202201</v>
      </c>
      <c r="G2004" t="s">
        <v>184</v>
      </c>
      <c r="H2004">
        <v>40008</v>
      </c>
    </row>
    <row r="2005" spans="1:8">
      <c r="A2005">
        <v>5352</v>
      </c>
      <c r="B2005" t="s">
        <v>2625</v>
      </c>
      <c r="C2005">
        <v>5697</v>
      </c>
      <c r="D2005" t="s">
        <v>2344</v>
      </c>
      <c r="E2005" t="s">
        <v>2036</v>
      </c>
      <c r="F2005">
        <v>202201</v>
      </c>
      <c r="G2005" t="s">
        <v>192</v>
      </c>
      <c r="H2005">
        <v>0</v>
      </c>
    </row>
    <row r="2006" spans="1:8">
      <c r="A2006">
        <v>5352</v>
      </c>
      <c r="B2006" t="s">
        <v>2625</v>
      </c>
      <c r="C2006">
        <v>5697</v>
      </c>
      <c r="D2006" t="s">
        <v>2344</v>
      </c>
      <c r="E2006" t="s">
        <v>2036</v>
      </c>
      <c r="F2006">
        <v>202201</v>
      </c>
      <c r="G2006" t="s">
        <v>2170</v>
      </c>
      <c r="H2006">
        <v>3394.18</v>
      </c>
    </row>
    <row r="2007" spans="1:8">
      <c r="A2007">
        <v>5352</v>
      </c>
      <c r="B2007" t="s">
        <v>2625</v>
      </c>
      <c r="C2007">
        <v>5697</v>
      </c>
      <c r="D2007" t="s">
        <v>2344</v>
      </c>
      <c r="E2007" t="s">
        <v>2036</v>
      </c>
      <c r="F2007">
        <v>202201</v>
      </c>
      <c r="G2007" t="s">
        <v>186</v>
      </c>
      <c r="H2007">
        <v>0</v>
      </c>
    </row>
    <row r="2008" spans="1:8">
      <c r="A2008">
        <v>5352</v>
      </c>
      <c r="B2008" t="s">
        <v>2625</v>
      </c>
      <c r="C2008">
        <v>5697</v>
      </c>
      <c r="D2008" t="s">
        <v>2344</v>
      </c>
      <c r="E2008" t="s">
        <v>2036</v>
      </c>
      <c r="F2008">
        <v>202201</v>
      </c>
      <c r="G2008" t="s">
        <v>2169</v>
      </c>
      <c r="H2008">
        <v>182.65</v>
      </c>
    </row>
    <row r="2009" spans="1:8">
      <c r="A2009">
        <v>5352</v>
      </c>
      <c r="B2009" t="s">
        <v>2625</v>
      </c>
      <c r="C2009">
        <v>5697</v>
      </c>
      <c r="D2009" t="s">
        <v>2344</v>
      </c>
      <c r="E2009" t="s">
        <v>2036</v>
      </c>
      <c r="F2009">
        <v>202201</v>
      </c>
      <c r="G2009" t="s">
        <v>2166</v>
      </c>
      <c r="H2009">
        <v>11.83</v>
      </c>
    </row>
    <row r="2010" spans="1:8">
      <c r="A2010">
        <v>5352</v>
      </c>
      <c r="B2010" t="s">
        <v>2625</v>
      </c>
      <c r="C2010">
        <v>5697</v>
      </c>
      <c r="D2010" t="s">
        <v>2344</v>
      </c>
      <c r="E2010" t="s">
        <v>2036</v>
      </c>
      <c r="F2010">
        <v>202201</v>
      </c>
      <c r="G2010" t="s">
        <v>2167</v>
      </c>
      <c r="H2010">
        <v>21.22</v>
      </c>
    </row>
    <row r="2011" spans="1:8">
      <c r="A2011">
        <v>5352</v>
      </c>
      <c r="B2011" t="s">
        <v>2625</v>
      </c>
      <c r="C2011">
        <v>5697</v>
      </c>
      <c r="D2011" t="s">
        <v>2344</v>
      </c>
      <c r="E2011" t="s">
        <v>2036</v>
      </c>
      <c r="F2011">
        <v>202201</v>
      </c>
      <c r="G2011" t="s">
        <v>2168</v>
      </c>
      <c r="H2011">
        <v>14.37</v>
      </c>
    </row>
    <row r="2012" spans="1:8">
      <c r="A2012">
        <v>5352</v>
      </c>
      <c r="B2012" t="s">
        <v>2625</v>
      </c>
      <c r="C2012">
        <v>5697</v>
      </c>
      <c r="D2012" t="s">
        <v>2344</v>
      </c>
      <c r="E2012" t="s">
        <v>2036</v>
      </c>
      <c r="F2012">
        <v>202201</v>
      </c>
      <c r="G2012" t="s">
        <v>2171</v>
      </c>
      <c r="H2012">
        <v>90753.36</v>
      </c>
    </row>
    <row r="2013" spans="1:8">
      <c r="A2013">
        <v>5352</v>
      </c>
      <c r="B2013" t="s">
        <v>2625</v>
      </c>
      <c r="C2013">
        <v>5697</v>
      </c>
      <c r="D2013" t="s">
        <v>2344</v>
      </c>
      <c r="E2013" t="s">
        <v>2036</v>
      </c>
      <c r="F2013">
        <v>202201</v>
      </c>
      <c r="G2013" t="s">
        <v>190</v>
      </c>
      <c r="H2013">
        <v>63329</v>
      </c>
    </row>
    <row r="2014" spans="1:8">
      <c r="A2014">
        <v>5352</v>
      </c>
      <c r="B2014" t="s">
        <v>2625</v>
      </c>
      <c r="C2014">
        <v>5697</v>
      </c>
      <c r="D2014" t="s">
        <v>2344</v>
      </c>
      <c r="E2014" t="s">
        <v>2036</v>
      </c>
      <c r="F2014">
        <v>202201</v>
      </c>
      <c r="G2014" t="s">
        <v>191</v>
      </c>
      <c r="H2014">
        <v>10503</v>
      </c>
    </row>
    <row r="2015" spans="1:8">
      <c r="A2015">
        <v>5352</v>
      </c>
      <c r="B2015" t="s">
        <v>2625</v>
      </c>
      <c r="C2015">
        <v>5697</v>
      </c>
      <c r="D2015" t="s">
        <v>2344</v>
      </c>
      <c r="E2015" t="s">
        <v>2036</v>
      </c>
      <c r="F2015">
        <v>202201</v>
      </c>
      <c r="G2015" t="s">
        <v>176</v>
      </c>
      <c r="H2015">
        <v>0</v>
      </c>
    </row>
    <row r="2016" spans="1:8">
      <c r="A2016">
        <v>5352</v>
      </c>
      <c r="B2016" t="s">
        <v>2625</v>
      </c>
      <c r="C2016">
        <v>5697</v>
      </c>
      <c r="D2016" t="s">
        <v>2344</v>
      </c>
      <c r="E2016" t="s">
        <v>2036</v>
      </c>
      <c r="F2016">
        <v>202201</v>
      </c>
      <c r="G2016" t="s">
        <v>178</v>
      </c>
      <c r="H2016">
        <v>250</v>
      </c>
    </row>
    <row r="2017" spans="1:8">
      <c r="A2017">
        <v>5352</v>
      </c>
      <c r="B2017" t="s">
        <v>2625</v>
      </c>
      <c r="C2017">
        <v>5697</v>
      </c>
      <c r="D2017" t="s">
        <v>2344</v>
      </c>
      <c r="E2017" t="s">
        <v>2036</v>
      </c>
      <c r="F2017">
        <v>202201</v>
      </c>
      <c r="G2017" t="s">
        <v>180</v>
      </c>
      <c r="H2017">
        <v>250</v>
      </c>
    </row>
    <row r="2018" spans="1:8">
      <c r="A2018">
        <v>5352</v>
      </c>
      <c r="B2018" t="s">
        <v>2625</v>
      </c>
      <c r="C2018">
        <v>5697</v>
      </c>
      <c r="D2018" t="s">
        <v>2344</v>
      </c>
      <c r="E2018" t="s">
        <v>2036</v>
      </c>
      <c r="F2018">
        <v>202201</v>
      </c>
      <c r="G2018" t="s">
        <v>182</v>
      </c>
      <c r="H2018">
        <v>63329</v>
      </c>
    </row>
    <row r="2019" spans="1:8">
      <c r="A2019">
        <v>5352</v>
      </c>
      <c r="B2019" t="s">
        <v>2625</v>
      </c>
      <c r="C2019">
        <v>5697</v>
      </c>
      <c r="D2019" t="s">
        <v>2344</v>
      </c>
      <c r="E2019" t="s">
        <v>2036</v>
      </c>
      <c r="F2019">
        <v>202201</v>
      </c>
      <c r="G2019" t="s">
        <v>184</v>
      </c>
      <c r="H2019">
        <v>10503</v>
      </c>
    </row>
    <row r="2020" spans="1:8">
      <c r="A2020">
        <v>5352</v>
      </c>
      <c r="B2020" t="s">
        <v>2625</v>
      </c>
      <c r="C2020">
        <v>5697</v>
      </c>
      <c r="D2020" t="s">
        <v>2344</v>
      </c>
      <c r="E2020" t="s">
        <v>2036</v>
      </c>
      <c r="F2020">
        <v>202201</v>
      </c>
      <c r="G2020" t="s">
        <v>192</v>
      </c>
      <c r="H2020">
        <v>0</v>
      </c>
    </row>
    <row r="2021" spans="1:8">
      <c r="A2021">
        <v>5352</v>
      </c>
      <c r="B2021" t="s">
        <v>2625</v>
      </c>
      <c r="C2021">
        <v>5697</v>
      </c>
      <c r="D2021" t="s">
        <v>2344</v>
      </c>
      <c r="E2021" t="s">
        <v>2036</v>
      </c>
      <c r="F2021">
        <v>202201</v>
      </c>
      <c r="G2021" t="s">
        <v>2170</v>
      </c>
      <c r="H2021">
        <v>886.18</v>
      </c>
    </row>
    <row r="2022" spans="1:8">
      <c r="A2022">
        <v>5352</v>
      </c>
      <c r="B2022" t="s">
        <v>2625</v>
      </c>
      <c r="C2022">
        <v>5697</v>
      </c>
      <c r="D2022" t="s">
        <v>2344</v>
      </c>
      <c r="E2022" t="s">
        <v>2036</v>
      </c>
      <c r="F2022">
        <v>202201</v>
      </c>
      <c r="G2022" t="s">
        <v>186</v>
      </c>
      <c r="H2022">
        <v>0</v>
      </c>
    </row>
    <row r="2023" spans="1:8">
      <c r="A2023">
        <v>5352</v>
      </c>
      <c r="B2023" t="s">
        <v>2625</v>
      </c>
      <c r="C2023">
        <v>5697</v>
      </c>
      <c r="D2023" t="s">
        <v>2344</v>
      </c>
      <c r="E2023" t="s">
        <v>2036</v>
      </c>
      <c r="F2023">
        <v>202201</v>
      </c>
      <c r="G2023" t="s">
        <v>2169</v>
      </c>
      <c r="H2023">
        <v>182.65</v>
      </c>
    </row>
    <row r="2024" spans="1:8">
      <c r="A2024">
        <v>5352</v>
      </c>
      <c r="B2024" t="s">
        <v>2625</v>
      </c>
      <c r="C2024">
        <v>5697</v>
      </c>
      <c r="D2024" t="s">
        <v>2344</v>
      </c>
      <c r="E2024" t="s">
        <v>2036</v>
      </c>
      <c r="F2024">
        <v>202201</v>
      </c>
      <c r="G2024" t="s">
        <v>2166</v>
      </c>
      <c r="H2024">
        <v>11.83</v>
      </c>
    </row>
    <row r="2025" spans="1:8">
      <c r="A2025">
        <v>5352</v>
      </c>
      <c r="B2025" t="s">
        <v>2625</v>
      </c>
      <c r="C2025">
        <v>5697</v>
      </c>
      <c r="D2025" t="s">
        <v>2344</v>
      </c>
      <c r="E2025" t="s">
        <v>2036</v>
      </c>
      <c r="F2025">
        <v>202201</v>
      </c>
      <c r="G2025" t="s">
        <v>2167</v>
      </c>
      <c r="H2025">
        <v>21.22</v>
      </c>
    </row>
    <row r="2026" spans="1:8">
      <c r="A2026">
        <v>5352</v>
      </c>
      <c r="B2026" t="s">
        <v>2625</v>
      </c>
      <c r="C2026">
        <v>5697</v>
      </c>
      <c r="D2026" t="s">
        <v>2344</v>
      </c>
      <c r="E2026" t="s">
        <v>2036</v>
      </c>
      <c r="F2026">
        <v>202201</v>
      </c>
      <c r="G2026" t="s">
        <v>2168</v>
      </c>
      <c r="H2026">
        <v>14.37</v>
      </c>
    </row>
    <row r="2027" spans="1:8">
      <c r="A2027">
        <v>5352</v>
      </c>
      <c r="B2027" t="s">
        <v>2625</v>
      </c>
      <c r="C2027">
        <v>5697</v>
      </c>
      <c r="D2027" t="s">
        <v>2344</v>
      </c>
      <c r="E2027" t="s">
        <v>2036</v>
      </c>
      <c r="F2027">
        <v>202201</v>
      </c>
      <c r="G2027" t="s">
        <v>2171</v>
      </c>
      <c r="H2027">
        <v>27560.53</v>
      </c>
    </row>
    <row r="2028" spans="1:8">
      <c r="A2028">
        <v>5352</v>
      </c>
      <c r="B2028" t="s">
        <v>2625</v>
      </c>
      <c r="C2028">
        <v>5697</v>
      </c>
      <c r="D2028" t="s">
        <v>2344</v>
      </c>
      <c r="E2028" t="s">
        <v>2036</v>
      </c>
      <c r="F2028">
        <v>202202</v>
      </c>
      <c r="G2028" t="s">
        <v>190</v>
      </c>
      <c r="H2028">
        <v>199503</v>
      </c>
    </row>
    <row r="2029" spans="1:8">
      <c r="A2029">
        <v>5352</v>
      </c>
      <c r="B2029" t="s">
        <v>2625</v>
      </c>
      <c r="C2029">
        <v>5697</v>
      </c>
      <c r="D2029" t="s">
        <v>2344</v>
      </c>
      <c r="E2029" t="s">
        <v>2036</v>
      </c>
      <c r="F2029">
        <v>202202</v>
      </c>
      <c r="G2029" t="s">
        <v>191</v>
      </c>
      <c r="H2029">
        <v>24663</v>
      </c>
    </row>
    <row r="2030" spans="1:8">
      <c r="A2030">
        <v>5352</v>
      </c>
      <c r="B2030" t="s">
        <v>2625</v>
      </c>
      <c r="C2030">
        <v>5697</v>
      </c>
      <c r="D2030" t="s">
        <v>2344</v>
      </c>
      <c r="E2030" t="s">
        <v>2036</v>
      </c>
      <c r="F2030">
        <v>202202</v>
      </c>
      <c r="G2030" t="s">
        <v>176</v>
      </c>
      <c r="H2030">
        <v>-978.79</v>
      </c>
    </row>
    <row r="2031" spans="1:8">
      <c r="A2031">
        <v>5352</v>
      </c>
      <c r="B2031" t="s">
        <v>2625</v>
      </c>
      <c r="C2031">
        <v>5697</v>
      </c>
      <c r="D2031" t="s">
        <v>2344</v>
      </c>
      <c r="E2031" t="s">
        <v>2036</v>
      </c>
      <c r="F2031">
        <v>202202</v>
      </c>
      <c r="G2031" t="s">
        <v>178</v>
      </c>
      <c r="H2031">
        <v>526</v>
      </c>
    </row>
    <row r="2032" spans="1:8">
      <c r="A2032">
        <v>5352</v>
      </c>
      <c r="B2032" t="s">
        <v>2625</v>
      </c>
      <c r="C2032">
        <v>5697</v>
      </c>
      <c r="D2032" t="s">
        <v>2344</v>
      </c>
      <c r="E2032" t="s">
        <v>2036</v>
      </c>
      <c r="F2032">
        <v>202202</v>
      </c>
      <c r="G2032" t="s">
        <v>180</v>
      </c>
      <c r="H2032">
        <v>530</v>
      </c>
    </row>
    <row r="2033" spans="1:8">
      <c r="A2033">
        <v>5352</v>
      </c>
      <c r="B2033" t="s">
        <v>2625</v>
      </c>
      <c r="C2033">
        <v>5697</v>
      </c>
      <c r="D2033" t="s">
        <v>2344</v>
      </c>
      <c r="E2033" t="s">
        <v>2036</v>
      </c>
      <c r="F2033">
        <v>202202</v>
      </c>
      <c r="G2033" t="s">
        <v>182</v>
      </c>
      <c r="H2033">
        <v>199503</v>
      </c>
    </row>
    <row r="2034" spans="1:8">
      <c r="A2034">
        <v>5352</v>
      </c>
      <c r="B2034" t="s">
        <v>2625</v>
      </c>
      <c r="C2034">
        <v>5697</v>
      </c>
      <c r="D2034" t="s">
        <v>2344</v>
      </c>
      <c r="E2034" t="s">
        <v>2036</v>
      </c>
      <c r="F2034">
        <v>202202</v>
      </c>
      <c r="G2034" t="s">
        <v>184</v>
      </c>
      <c r="H2034">
        <v>24663</v>
      </c>
    </row>
    <row r="2035" spans="1:8">
      <c r="A2035">
        <v>5352</v>
      </c>
      <c r="B2035" t="s">
        <v>2625</v>
      </c>
      <c r="C2035">
        <v>5697</v>
      </c>
      <c r="D2035" t="s">
        <v>2344</v>
      </c>
      <c r="E2035" t="s">
        <v>2036</v>
      </c>
      <c r="F2035">
        <v>202202</v>
      </c>
      <c r="G2035" t="s">
        <v>192</v>
      </c>
      <c r="H2035">
        <v>0</v>
      </c>
    </row>
    <row r="2036" spans="1:8">
      <c r="A2036">
        <v>5352</v>
      </c>
      <c r="B2036" t="s">
        <v>2625</v>
      </c>
      <c r="C2036">
        <v>5697</v>
      </c>
      <c r="D2036" t="s">
        <v>2344</v>
      </c>
      <c r="E2036" t="s">
        <v>2036</v>
      </c>
      <c r="F2036">
        <v>202202</v>
      </c>
      <c r="G2036" t="s">
        <v>2170</v>
      </c>
      <c r="H2036">
        <v>3214.94</v>
      </c>
    </row>
    <row r="2037" spans="1:8">
      <c r="A2037">
        <v>5352</v>
      </c>
      <c r="B2037" t="s">
        <v>2625</v>
      </c>
      <c r="C2037">
        <v>5697</v>
      </c>
      <c r="D2037" t="s">
        <v>2344</v>
      </c>
      <c r="E2037" t="s">
        <v>2036</v>
      </c>
      <c r="F2037">
        <v>202202</v>
      </c>
      <c r="G2037" t="s">
        <v>186</v>
      </c>
      <c r="H2037">
        <v>0</v>
      </c>
    </row>
    <row r="2038" spans="1:8">
      <c r="A2038">
        <v>5352</v>
      </c>
      <c r="B2038" t="s">
        <v>2625</v>
      </c>
      <c r="C2038">
        <v>5697</v>
      </c>
      <c r="D2038" t="s">
        <v>2344</v>
      </c>
      <c r="E2038" t="s">
        <v>2036</v>
      </c>
      <c r="F2038">
        <v>202202</v>
      </c>
      <c r="G2038" t="s">
        <v>2169</v>
      </c>
      <c r="H2038">
        <v>182.65</v>
      </c>
    </row>
    <row r="2039" spans="1:8">
      <c r="A2039">
        <v>5352</v>
      </c>
      <c r="B2039" t="s">
        <v>2625</v>
      </c>
      <c r="C2039">
        <v>5697</v>
      </c>
      <c r="D2039" t="s">
        <v>2344</v>
      </c>
      <c r="E2039" t="s">
        <v>2036</v>
      </c>
      <c r="F2039">
        <v>202202</v>
      </c>
      <c r="G2039" t="s">
        <v>2166</v>
      </c>
      <c r="H2039">
        <v>11.83</v>
      </c>
    </row>
    <row r="2040" spans="1:8">
      <c r="A2040">
        <v>5352</v>
      </c>
      <c r="B2040" t="s">
        <v>2625</v>
      </c>
      <c r="C2040">
        <v>5697</v>
      </c>
      <c r="D2040" t="s">
        <v>2344</v>
      </c>
      <c r="E2040" t="s">
        <v>2036</v>
      </c>
      <c r="F2040">
        <v>202202</v>
      </c>
      <c r="G2040" t="s">
        <v>2167</v>
      </c>
      <c r="H2040">
        <v>21.22</v>
      </c>
    </row>
    <row r="2041" spans="1:8">
      <c r="A2041">
        <v>5352</v>
      </c>
      <c r="B2041" t="s">
        <v>2625</v>
      </c>
      <c r="C2041">
        <v>5697</v>
      </c>
      <c r="D2041" t="s">
        <v>2344</v>
      </c>
      <c r="E2041" t="s">
        <v>2036</v>
      </c>
      <c r="F2041">
        <v>202202</v>
      </c>
      <c r="G2041" t="s">
        <v>2168</v>
      </c>
      <c r="H2041">
        <v>14.37</v>
      </c>
    </row>
    <row r="2042" spans="1:8">
      <c r="A2042">
        <v>5352</v>
      </c>
      <c r="B2042" t="s">
        <v>2625</v>
      </c>
      <c r="C2042">
        <v>5697</v>
      </c>
      <c r="D2042" t="s">
        <v>2344</v>
      </c>
      <c r="E2042" t="s">
        <v>2036</v>
      </c>
      <c r="F2042">
        <v>202202</v>
      </c>
      <c r="G2042" t="s">
        <v>2171</v>
      </c>
      <c r="H2042">
        <v>65087.7</v>
      </c>
    </row>
    <row r="2043" spans="1:8">
      <c r="A2043">
        <v>5352</v>
      </c>
      <c r="B2043" t="s">
        <v>2625</v>
      </c>
      <c r="C2043">
        <v>5697</v>
      </c>
      <c r="D2043" t="s">
        <v>2344</v>
      </c>
      <c r="E2043" t="s">
        <v>2036</v>
      </c>
      <c r="F2043">
        <v>202202</v>
      </c>
      <c r="G2043" t="s">
        <v>190</v>
      </c>
      <c r="H2043">
        <v>388871</v>
      </c>
    </row>
    <row r="2044" spans="1:8">
      <c r="A2044">
        <v>5352</v>
      </c>
      <c r="B2044" t="s">
        <v>2625</v>
      </c>
      <c r="C2044">
        <v>5697</v>
      </c>
      <c r="D2044" t="s">
        <v>2344</v>
      </c>
      <c r="E2044" t="s">
        <v>2036</v>
      </c>
      <c r="F2044">
        <v>202202</v>
      </c>
      <c r="G2044" t="s">
        <v>191</v>
      </c>
      <c r="H2044">
        <v>48791</v>
      </c>
    </row>
    <row r="2045" spans="1:8">
      <c r="A2045">
        <v>5352</v>
      </c>
      <c r="B2045" t="s">
        <v>2625</v>
      </c>
      <c r="C2045">
        <v>5697</v>
      </c>
      <c r="D2045" t="s">
        <v>2344</v>
      </c>
      <c r="E2045" t="s">
        <v>2036</v>
      </c>
      <c r="F2045">
        <v>202202</v>
      </c>
      <c r="G2045" t="s">
        <v>176</v>
      </c>
      <c r="H2045">
        <v>-39621.86</v>
      </c>
    </row>
    <row r="2046" spans="1:8">
      <c r="A2046">
        <v>5352</v>
      </c>
      <c r="B2046" t="s">
        <v>2625</v>
      </c>
      <c r="C2046">
        <v>5697</v>
      </c>
      <c r="D2046" t="s">
        <v>2344</v>
      </c>
      <c r="E2046" t="s">
        <v>2036</v>
      </c>
      <c r="F2046">
        <v>202202</v>
      </c>
      <c r="G2046" t="s">
        <v>178</v>
      </c>
      <c r="H2046">
        <v>891</v>
      </c>
    </row>
    <row r="2047" spans="1:8">
      <c r="A2047">
        <v>5352</v>
      </c>
      <c r="B2047" t="s">
        <v>2625</v>
      </c>
      <c r="C2047">
        <v>5697</v>
      </c>
      <c r="D2047" t="s">
        <v>2344</v>
      </c>
      <c r="E2047" t="s">
        <v>2036</v>
      </c>
      <c r="F2047">
        <v>202202</v>
      </c>
      <c r="G2047" t="s">
        <v>180</v>
      </c>
      <c r="H2047">
        <v>899</v>
      </c>
    </row>
    <row r="2048" spans="1:8">
      <c r="A2048">
        <v>5352</v>
      </c>
      <c r="B2048" t="s">
        <v>2625</v>
      </c>
      <c r="C2048">
        <v>5697</v>
      </c>
      <c r="D2048" t="s">
        <v>2344</v>
      </c>
      <c r="E2048" t="s">
        <v>2036</v>
      </c>
      <c r="F2048">
        <v>202202</v>
      </c>
      <c r="G2048" t="s">
        <v>182</v>
      </c>
      <c r="H2048">
        <v>388871</v>
      </c>
    </row>
    <row r="2049" spans="1:8">
      <c r="A2049">
        <v>5352</v>
      </c>
      <c r="B2049" t="s">
        <v>2625</v>
      </c>
      <c r="C2049">
        <v>5697</v>
      </c>
      <c r="D2049" t="s">
        <v>2344</v>
      </c>
      <c r="E2049" t="s">
        <v>2036</v>
      </c>
      <c r="F2049">
        <v>202202</v>
      </c>
      <c r="G2049" t="s">
        <v>184</v>
      </c>
      <c r="H2049">
        <v>48791</v>
      </c>
    </row>
    <row r="2050" spans="1:8">
      <c r="A2050">
        <v>5352</v>
      </c>
      <c r="B2050" t="s">
        <v>2625</v>
      </c>
      <c r="C2050">
        <v>5697</v>
      </c>
      <c r="D2050" t="s">
        <v>2344</v>
      </c>
      <c r="E2050" t="s">
        <v>2036</v>
      </c>
      <c r="F2050">
        <v>202202</v>
      </c>
      <c r="G2050" t="s">
        <v>192</v>
      </c>
      <c r="H2050">
        <v>0</v>
      </c>
    </row>
    <row r="2051" spans="1:8">
      <c r="A2051">
        <v>5352</v>
      </c>
      <c r="B2051" t="s">
        <v>2625</v>
      </c>
      <c r="C2051">
        <v>5697</v>
      </c>
      <c r="D2051" t="s">
        <v>2344</v>
      </c>
      <c r="E2051" t="s">
        <v>2036</v>
      </c>
      <c r="F2051">
        <v>202202</v>
      </c>
      <c r="G2051" t="s">
        <v>2170</v>
      </c>
      <c r="H2051">
        <v>5990.89</v>
      </c>
    </row>
    <row r="2052" spans="1:8">
      <c r="A2052">
        <v>5352</v>
      </c>
      <c r="B2052" t="s">
        <v>2625</v>
      </c>
      <c r="C2052">
        <v>5697</v>
      </c>
      <c r="D2052" t="s">
        <v>2344</v>
      </c>
      <c r="E2052" t="s">
        <v>2036</v>
      </c>
      <c r="F2052">
        <v>202202</v>
      </c>
      <c r="G2052" t="s">
        <v>186</v>
      </c>
      <c r="H2052">
        <v>0</v>
      </c>
    </row>
    <row r="2053" spans="1:8">
      <c r="A2053">
        <v>5352</v>
      </c>
      <c r="B2053" t="s">
        <v>2625</v>
      </c>
      <c r="C2053">
        <v>5697</v>
      </c>
      <c r="D2053" t="s">
        <v>2344</v>
      </c>
      <c r="E2053" t="s">
        <v>2036</v>
      </c>
      <c r="F2053">
        <v>202202</v>
      </c>
      <c r="G2053" t="s">
        <v>2169</v>
      </c>
      <c r="H2053">
        <v>182.65</v>
      </c>
    </row>
    <row r="2054" spans="1:8">
      <c r="A2054">
        <v>5352</v>
      </c>
      <c r="B2054" t="s">
        <v>2625</v>
      </c>
      <c r="C2054">
        <v>5697</v>
      </c>
      <c r="D2054" t="s">
        <v>2344</v>
      </c>
      <c r="E2054" t="s">
        <v>2036</v>
      </c>
      <c r="F2054">
        <v>202202</v>
      </c>
      <c r="G2054" t="s">
        <v>2166</v>
      </c>
      <c r="H2054">
        <v>11.83</v>
      </c>
    </row>
    <row r="2055" spans="1:8">
      <c r="A2055">
        <v>5352</v>
      </c>
      <c r="B2055" t="s">
        <v>2625</v>
      </c>
      <c r="C2055">
        <v>5697</v>
      </c>
      <c r="D2055" t="s">
        <v>2344</v>
      </c>
      <c r="E2055" t="s">
        <v>2036</v>
      </c>
      <c r="F2055">
        <v>202202</v>
      </c>
      <c r="G2055" t="s">
        <v>2167</v>
      </c>
      <c r="H2055">
        <v>21.22</v>
      </c>
    </row>
    <row r="2056" spans="1:8">
      <c r="A2056">
        <v>5352</v>
      </c>
      <c r="B2056" t="s">
        <v>2625</v>
      </c>
      <c r="C2056">
        <v>5697</v>
      </c>
      <c r="D2056" t="s">
        <v>2344</v>
      </c>
      <c r="E2056" t="s">
        <v>2036</v>
      </c>
      <c r="F2056">
        <v>202202</v>
      </c>
      <c r="G2056" t="s">
        <v>2168</v>
      </c>
      <c r="H2056">
        <v>14.37</v>
      </c>
    </row>
    <row r="2057" spans="1:8">
      <c r="A2057">
        <v>5352</v>
      </c>
      <c r="B2057" t="s">
        <v>2625</v>
      </c>
      <c r="C2057">
        <v>5697</v>
      </c>
      <c r="D2057" t="s">
        <v>2344</v>
      </c>
      <c r="E2057" t="s">
        <v>2036</v>
      </c>
      <c r="F2057">
        <v>202202</v>
      </c>
      <c r="G2057" t="s">
        <v>2171</v>
      </c>
      <c r="H2057">
        <v>87035.68</v>
      </c>
    </row>
    <row r="2058" spans="1:8">
      <c r="A2058">
        <v>5352</v>
      </c>
      <c r="B2058" t="s">
        <v>2625</v>
      </c>
      <c r="C2058">
        <v>5697</v>
      </c>
      <c r="D2058" t="s">
        <v>2344</v>
      </c>
      <c r="E2058" t="s">
        <v>2036</v>
      </c>
      <c r="F2058">
        <v>202202</v>
      </c>
      <c r="G2058" t="s">
        <v>190</v>
      </c>
      <c r="H2058">
        <v>613225</v>
      </c>
    </row>
    <row r="2059" spans="1:8">
      <c r="A2059">
        <v>5352</v>
      </c>
      <c r="B2059" t="s">
        <v>2625</v>
      </c>
      <c r="C2059">
        <v>5697</v>
      </c>
      <c r="D2059" t="s">
        <v>2344</v>
      </c>
      <c r="E2059" t="s">
        <v>2036</v>
      </c>
      <c r="F2059">
        <v>202202</v>
      </c>
      <c r="G2059" t="s">
        <v>191</v>
      </c>
      <c r="H2059">
        <v>41660</v>
      </c>
    </row>
    <row r="2060" spans="1:8">
      <c r="A2060">
        <v>5352</v>
      </c>
      <c r="B2060" t="s">
        <v>2625</v>
      </c>
      <c r="C2060">
        <v>5697</v>
      </c>
      <c r="D2060" t="s">
        <v>2344</v>
      </c>
      <c r="E2060" t="s">
        <v>2036</v>
      </c>
      <c r="F2060">
        <v>202202</v>
      </c>
      <c r="G2060" t="s">
        <v>176</v>
      </c>
      <c r="H2060">
        <v>-38883.89</v>
      </c>
    </row>
    <row r="2061" spans="1:8">
      <c r="A2061">
        <v>5352</v>
      </c>
      <c r="B2061" t="s">
        <v>2625</v>
      </c>
      <c r="C2061">
        <v>5697</v>
      </c>
      <c r="D2061" t="s">
        <v>2344</v>
      </c>
      <c r="E2061" t="s">
        <v>2036</v>
      </c>
      <c r="F2061">
        <v>202202</v>
      </c>
      <c r="G2061" t="s">
        <v>178</v>
      </c>
      <c r="H2061">
        <v>1360</v>
      </c>
    </row>
    <row r="2062" spans="1:8">
      <c r="A2062">
        <v>5352</v>
      </c>
      <c r="B2062" t="s">
        <v>2625</v>
      </c>
      <c r="C2062">
        <v>5697</v>
      </c>
      <c r="D2062" t="s">
        <v>2344</v>
      </c>
      <c r="E2062" t="s">
        <v>2036</v>
      </c>
      <c r="F2062">
        <v>202202</v>
      </c>
      <c r="G2062" t="s">
        <v>180</v>
      </c>
      <c r="H2062">
        <v>1250</v>
      </c>
    </row>
    <row r="2063" spans="1:8">
      <c r="A2063">
        <v>5352</v>
      </c>
      <c r="B2063" t="s">
        <v>2625</v>
      </c>
      <c r="C2063">
        <v>5697</v>
      </c>
      <c r="D2063" t="s">
        <v>2344</v>
      </c>
      <c r="E2063" t="s">
        <v>2036</v>
      </c>
      <c r="F2063">
        <v>202202</v>
      </c>
      <c r="G2063" t="s">
        <v>182</v>
      </c>
      <c r="H2063">
        <v>613225</v>
      </c>
    </row>
    <row r="2064" spans="1:8">
      <c r="A2064">
        <v>5352</v>
      </c>
      <c r="B2064" t="s">
        <v>2625</v>
      </c>
      <c r="C2064">
        <v>5697</v>
      </c>
      <c r="D2064" t="s">
        <v>2344</v>
      </c>
      <c r="E2064" t="s">
        <v>2036</v>
      </c>
      <c r="F2064">
        <v>202202</v>
      </c>
      <c r="G2064" t="s">
        <v>184</v>
      </c>
      <c r="H2064">
        <v>41660</v>
      </c>
    </row>
    <row r="2065" spans="1:8">
      <c r="A2065">
        <v>5352</v>
      </c>
      <c r="B2065" t="s">
        <v>2625</v>
      </c>
      <c r="C2065">
        <v>5697</v>
      </c>
      <c r="D2065" t="s">
        <v>2344</v>
      </c>
      <c r="E2065" t="s">
        <v>2036</v>
      </c>
      <c r="F2065">
        <v>202202</v>
      </c>
      <c r="G2065" t="s">
        <v>192</v>
      </c>
      <c r="H2065">
        <v>0</v>
      </c>
    </row>
    <row r="2066" spans="1:8">
      <c r="A2066">
        <v>5352</v>
      </c>
      <c r="B2066" t="s">
        <v>2625</v>
      </c>
      <c r="C2066">
        <v>5697</v>
      </c>
      <c r="D2066" t="s">
        <v>2344</v>
      </c>
      <c r="E2066" t="s">
        <v>2036</v>
      </c>
      <c r="F2066">
        <v>202202</v>
      </c>
      <c r="G2066" t="s">
        <v>2170</v>
      </c>
      <c r="H2066">
        <v>8521.61</v>
      </c>
    </row>
    <row r="2067" spans="1:8">
      <c r="A2067">
        <v>5352</v>
      </c>
      <c r="B2067" t="s">
        <v>2625</v>
      </c>
      <c r="C2067">
        <v>5697</v>
      </c>
      <c r="D2067" t="s">
        <v>2344</v>
      </c>
      <c r="E2067" t="s">
        <v>2036</v>
      </c>
      <c r="F2067">
        <v>202202</v>
      </c>
      <c r="G2067" t="s">
        <v>186</v>
      </c>
      <c r="H2067">
        <v>0</v>
      </c>
    </row>
    <row r="2068" spans="1:8">
      <c r="A2068">
        <v>5352</v>
      </c>
      <c r="B2068" t="s">
        <v>2625</v>
      </c>
      <c r="C2068">
        <v>5697</v>
      </c>
      <c r="D2068" t="s">
        <v>2344</v>
      </c>
      <c r="E2068" t="s">
        <v>2036</v>
      </c>
      <c r="F2068">
        <v>202202</v>
      </c>
      <c r="G2068" t="s">
        <v>2169</v>
      </c>
      <c r="H2068">
        <v>182.65</v>
      </c>
    </row>
    <row r="2069" spans="1:8">
      <c r="A2069">
        <v>5352</v>
      </c>
      <c r="B2069" t="s">
        <v>2625</v>
      </c>
      <c r="C2069">
        <v>5697</v>
      </c>
      <c r="D2069" t="s">
        <v>2344</v>
      </c>
      <c r="E2069" t="s">
        <v>2036</v>
      </c>
      <c r="F2069">
        <v>202202</v>
      </c>
      <c r="G2069" t="s">
        <v>2166</v>
      </c>
      <c r="H2069">
        <v>11.83</v>
      </c>
    </row>
    <row r="2070" spans="1:8">
      <c r="A2070">
        <v>5352</v>
      </c>
      <c r="B2070" t="s">
        <v>2625</v>
      </c>
      <c r="C2070">
        <v>5697</v>
      </c>
      <c r="D2070" t="s">
        <v>2344</v>
      </c>
      <c r="E2070" t="s">
        <v>2036</v>
      </c>
      <c r="F2070">
        <v>202202</v>
      </c>
      <c r="G2070" t="s">
        <v>2167</v>
      </c>
      <c r="H2070">
        <v>21.22</v>
      </c>
    </row>
    <row r="2071" spans="1:8">
      <c r="A2071">
        <v>5352</v>
      </c>
      <c r="B2071" t="s">
        <v>2625</v>
      </c>
      <c r="C2071">
        <v>5697</v>
      </c>
      <c r="D2071" t="s">
        <v>2344</v>
      </c>
      <c r="E2071" t="s">
        <v>2036</v>
      </c>
      <c r="F2071">
        <v>202202</v>
      </c>
      <c r="G2071" t="s">
        <v>2168</v>
      </c>
      <c r="H2071">
        <v>14.37</v>
      </c>
    </row>
    <row r="2072" spans="1:8">
      <c r="A2072">
        <v>5352</v>
      </c>
      <c r="B2072" t="s">
        <v>2625</v>
      </c>
      <c r="C2072">
        <v>5697</v>
      </c>
      <c r="D2072" t="s">
        <v>2344</v>
      </c>
      <c r="E2072" t="s">
        <v>2036</v>
      </c>
      <c r="F2072">
        <v>202202</v>
      </c>
      <c r="G2072" t="s">
        <v>2171</v>
      </c>
      <c r="H2072">
        <v>141276.94</v>
      </c>
    </row>
    <row r="2073" spans="1:8">
      <c r="A2073">
        <v>5352</v>
      </c>
      <c r="B2073" t="s">
        <v>2625</v>
      </c>
      <c r="C2073">
        <v>5697</v>
      </c>
      <c r="D2073" t="s">
        <v>2344</v>
      </c>
      <c r="E2073" t="s">
        <v>2036</v>
      </c>
      <c r="F2073">
        <v>202202</v>
      </c>
      <c r="G2073" t="s">
        <v>190</v>
      </c>
      <c r="H2073">
        <v>1030176</v>
      </c>
    </row>
    <row r="2074" spans="1:8">
      <c r="A2074">
        <v>5352</v>
      </c>
      <c r="B2074" t="s">
        <v>2625</v>
      </c>
      <c r="C2074">
        <v>5697</v>
      </c>
      <c r="D2074" t="s">
        <v>2344</v>
      </c>
      <c r="E2074" t="s">
        <v>2036</v>
      </c>
      <c r="F2074">
        <v>202202</v>
      </c>
      <c r="G2074" t="s">
        <v>191</v>
      </c>
      <c r="H2074">
        <v>136168</v>
      </c>
    </row>
    <row r="2075" spans="1:8">
      <c r="A2075">
        <v>5352</v>
      </c>
      <c r="B2075" t="s">
        <v>2625</v>
      </c>
      <c r="C2075">
        <v>5697</v>
      </c>
      <c r="D2075" t="s">
        <v>2344</v>
      </c>
      <c r="E2075" t="s">
        <v>2036</v>
      </c>
      <c r="F2075">
        <v>202202</v>
      </c>
      <c r="G2075" t="s">
        <v>176</v>
      </c>
      <c r="H2075">
        <v>-42644.78</v>
      </c>
    </row>
    <row r="2076" spans="1:8">
      <c r="A2076">
        <v>5352</v>
      </c>
      <c r="B2076" t="s">
        <v>2625</v>
      </c>
      <c r="C2076">
        <v>5697</v>
      </c>
      <c r="D2076" t="s">
        <v>2344</v>
      </c>
      <c r="E2076" t="s">
        <v>2036</v>
      </c>
      <c r="F2076">
        <v>202202</v>
      </c>
      <c r="G2076" t="s">
        <v>178</v>
      </c>
      <c r="H2076">
        <v>2751</v>
      </c>
    </row>
    <row r="2077" spans="1:8">
      <c r="A2077">
        <v>5352</v>
      </c>
      <c r="B2077" t="s">
        <v>2625</v>
      </c>
      <c r="C2077">
        <v>5697</v>
      </c>
      <c r="D2077" t="s">
        <v>2344</v>
      </c>
      <c r="E2077" t="s">
        <v>2036</v>
      </c>
      <c r="F2077">
        <v>202202</v>
      </c>
      <c r="G2077" t="s">
        <v>180</v>
      </c>
      <c r="H2077">
        <v>2780</v>
      </c>
    </row>
    <row r="2078" spans="1:8">
      <c r="A2078">
        <v>5352</v>
      </c>
      <c r="B2078" t="s">
        <v>2625</v>
      </c>
      <c r="C2078">
        <v>5697</v>
      </c>
      <c r="D2078" t="s">
        <v>2344</v>
      </c>
      <c r="E2078" t="s">
        <v>2036</v>
      </c>
      <c r="F2078">
        <v>202202</v>
      </c>
      <c r="G2078" t="s">
        <v>182</v>
      </c>
      <c r="H2078">
        <v>1098504</v>
      </c>
    </row>
    <row r="2079" spans="1:8">
      <c r="A2079">
        <v>5352</v>
      </c>
      <c r="B2079" t="s">
        <v>2625</v>
      </c>
      <c r="C2079">
        <v>5697</v>
      </c>
      <c r="D2079" t="s">
        <v>2344</v>
      </c>
      <c r="E2079" t="s">
        <v>2036</v>
      </c>
      <c r="F2079">
        <v>202202</v>
      </c>
      <c r="G2079" t="s">
        <v>184</v>
      </c>
      <c r="H2079">
        <v>136168</v>
      </c>
    </row>
    <row r="2080" spans="1:8">
      <c r="A2080">
        <v>5352</v>
      </c>
      <c r="B2080" t="s">
        <v>2625</v>
      </c>
      <c r="C2080">
        <v>5697</v>
      </c>
      <c r="D2080" t="s">
        <v>2344</v>
      </c>
      <c r="E2080" t="s">
        <v>2036</v>
      </c>
      <c r="F2080">
        <v>202202</v>
      </c>
      <c r="G2080" t="s">
        <v>192</v>
      </c>
      <c r="H2080">
        <v>0</v>
      </c>
    </row>
    <row r="2081" spans="1:8">
      <c r="A2081">
        <v>5352</v>
      </c>
      <c r="B2081" t="s">
        <v>2625</v>
      </c>
      <c r="C2081">
        <v>5697</v>
      </c>
      <c r="D2081" t="s">
        <v>2344</v>
      </c>
      <c r="E2081" t="s">
        <v>2036</v>
      </c>
      <c r="F2081">
        <v>202202</v>
      </c>
      <c r="G2081" t="s">
        <v>2170</v>
      </c>
      <c r="H2081">
        <v>17214.21</v>
      </c>
    </row>
    <row r="2082" spans="1:8">
      <c r="A2082">
        <v>5352</v>
      </c>
      <c r="B2082" t="s">
        <v>2625</v>
      </c>
      <c r="C2082">
        <v>5697</v>
      </c>
      <c r="D2082" t="s">
        <v>2344</v>
      </c>
      <c r="E2082" t="s">
        <v>2036</v>
      </c>
      <c r="F2082">
        <v>202202</v>
      </c>
      <c r="G2082" t="s">
        <v>186</v>
      </c>
      <c r="H2082">
        <v>68328</v>
      </c>
    </row>
    <row r="2083" spans="1:8">
      <c r="A2083">
        <v>5352</v>
      </c>
      <c r="B2083" t="s">
        <v>2625</v>
      </c>
      <c r="C2083">
        <v>5697</v>
      </c>
      <c r="D2083" t="s">
        <v>2344</v>
      </c>
      <c r="E2083" t="s">
        <v>2036</v>
      </c>
      <c r="F2083">
        <v>202202</v>
      </c>
      <c r="G2083" t="s">
        <v>2169</v>
      </c>
      <c r="H2083">
        <v>182.65</v>
      </c>
    </row>
    <row r="2084" spans="1:8">
      <c r="A2084">
        <v>5352</v>
      </c>
      <c r="B2084" t="s">
        <v>2625</v>
      </c>
      <c r="C2084">
        <v>5697</v>
      </c>
      <c r="D2084" t="s">
        <v>2344</v>
      </c>
      <c r="E2084" t="s">
        <v>2036</v>
      </c>
      <c r="F2084">
        <v>202202</v>
      </c>
      <c r="G2084" t="s">
        <v>2166</v>
      </c>
      <c r="H2084">
        <v>11.83</v>
      </c>
    </row>
    <row r="2085" spans="1:8">
      <c r="A2085">
        <v>5352</v>
      </c>
      <c r="B2085" t="s">
        <v>2625</v>
      </c>
      <c r="C2085">
        <v>5697</v>
      </c>
      <c r="D2085" t="s">
        <v>2344</v>
      </c>
      <c r="E2085" t="s">
        <v>2036</v>
      </c>
      <c r="F2085">
        <v>202202</v>
      </c>
      <c r="G2085" t="s">
        <v>2167</v>
      </c>
      <c r="H2085">
        <v>21.22</v>
      </c>
    </row>
    <row r="2086" spans="1:8">
      <c r="A2086">
        <v>5352</v>
      </c>
      <c r="B2086" t="s">
        <v>2625</v>
      </c>
      <c r="C2086">
        <v>5697</v>
      </c>
      <c r="D2086" t="s">
        <v>2344</v>
      </c>
      <c r="E2086" t="s">
        <v>2036</v>
      </c>
      <c r="F2086">
        <v>202202</v>
      </c>
      <c r="G2086" t="s">
        <v>2168</v>
      </c>
      <c r="H2086">
        <v>14.37</v>
      </c>
    </row>
    <row r="2087" spans="1:8">
      <c r="A2087">
        <v>5352</v>
      </c>
      <c r="B2087" t="s">
        <v>2625</v>
      </c>
      <c r="C2087">
        <v>5697</v>
      </c>
      <c r="D2087" t="s">
        <v>2344</v>
      </c>
      <c r="E2087" t="s">
        <v>2036</v>
      </c>
      <c r="F2087">
        <v>202202</v>
      </c>
      <c r="G2087" t="s">
        <v>2171</v>
      </c>
      <c r="H2087">
        <v>321292.02</v>
      </c>
    </row>
    <row r="2088" spans="1:8">
      <c r="A2088">
        <v>5352</v>
      </c>
      <c r="B2088" t="s">
        <v>2625</v>
      </c>
      <c r="C2088">
        <v>5697</v>
      </c>
      <c r="D2088" t="s">
        <v>2344</v>
      </c>
      <c r="E2088" t="s">
        <v>2036</v>
      </c>
      <c r="F2088">
        <v>202202</v>
      </c>
      <c r="G2088" t="s">
        <v>190</v>
      </c>
      <c r="H2088">
        <v>691765</v>
      </c>
    </row>
    <row r="2089" spans="1:8">
      <c r="A2089">
        <v>5352</v>
      </c>
      <c r="B2089" t="s">
        <v>2625</v>
      </c>
      <c r="C2089">
        <v>5697</v>
      </c>
      <c r="D2089" t="s">
        <v>2344</v>
      </c>
      <c r="E2089" t="s">
        <v>2036</v>
      </c>
      <c r="F2089">
        <v>202202</v>
      </c>
      <c r="G2089" t="s">
        <v>191</v>
      </c>
      <c r="H2089">
        <v>86123</v>
      </c>
    </row>
    <row r="2090" spans="1:8">
      <c r="A2090">
        <v>5352</v>
      </c>
      <c r="B2090" t="s">
        <v>2625</v>
      </c>
      <c r="C2090">
        <v>5697</v>
      </c>
      <c r="D2090" t="s">
        <v>2344</v>
      </c>
      <c r="E2090" t="s">
        <v>2036</v>
      </c>
      <c r="F2090">
        <v>202202</v>
      </c>
      <c r="G2090" t="s">
        <v>176</v>
      </c>
      <c r="H2090">
        <v>-10022.34</v>
      </c>
    </row>
    <row r="2091" spans="1:8">
      <c r="A2091">
        <v>5352</v>
      </c>
      <c r="B2091" t="s">
        <v>2625</v>
      </c>
      <c r="C2091">
        <v>5697</v>
      </c>
      <c r="D2091" t="s">
        <v>2344</v>
      </c>
      <c r="E2091" t="s">
        <v>2036</v>
      </c>
      <c r="F2091">
        <v>202202</v>
      </c>
      <c r="G2091" t="s">
        <v>178</v>
      </c>
      <c r="H2091">
        <v>1801</v>
      </c>
    </row>
    <row r="2092" spans="1:8">
      <c r="A2092">
        <v>5352</v>
      </c>
      <c r="B2092" t="s">
        <v>2625</v>
      </c>
      <c r="C2092">
        <v>5697</v>
      </c>
      <c r="D2092" t="s">
        <v>2344</v>
      </c>
      <c r="E2092" t="s">
        <v>2036</v>
      </c>
      <c r="F2092">
        <v>202202</v>
      </c>
      <c r="G2092" t="s">
        <v>180</v>
      </c>
      <c r="H2092">
        <v>1814</v>
      </c>
    </row>
    <row r="2093" spans="1:8">
      <c r="A2093">
        <v>5352</v>
      </c>
      <c r="B2093" t="s">
        <v>2625</v>
      </c>
      <c r="C2093">
        <v>5697</v>
      </c>
      <c r="D2093" t="s">
        <v>2344</v>
      </c>
      <c r="E2093" t="s">
        <v>2036</v>
      </c>
      <c r="F2093">
        <v>202202</v>
      </c>
      <c r="G2093" t="s">
        <v>182</v>
      </c>
      <c r="H2093">
        <v>691765</v>
      </c>
    </row>
    <row r="2094" spans="1:8">
      <c r="A2094">
        <v>5352</v>
      </c>
      <c r="B2094" t="s">
        <v>2625</v>
      </c>
      <c r="C2094">
        <v>5697</v>
      </c>
      <c r="D2094" t="s">
        <v>2344</v>
      </c>
      <c r="E2094" t="s">
        <v>2036</v>
      </c>
      <c r="F2094">
        <v>202202</v>
      </c>
      <c r="G2094" t="s">
        <v>184</v>
      </c>
      <c r="H2094">
        <v>86123</v>
      </c>
    </row>
    <row r="2095" spans="1:8">
      <c r="A2095">
        <v>5352</v>
      </c>
      <c r="B2095" t="s">
        <v>2625</v>
      </c>
      <c r="C2095">
        <v>5697</v>
      </c>
      <c r="D2095" t="s">
        <v>2344</v>
      </c>
      <c r="E2095" t="s">
        <v>2036</v>
      </c>
      <c r="F2095">
        <v>202202</v>
      </c>
      <c r="G2095" t="s">
        <v>192</v>
      </c>
      <c r="H2095">
        <v>0</v>
      </c>
    </row>
    <row r="2096" spans="1:8">
      <c r="A2096">
        <v>5352</v>
      </c>
      <c r="B2096" t="s">
        <v>2625</v>
      </c>
      <c r="C2096">
        <v>5697</v>
      </c>
      <c r="D2096" t="s">
        <v>2344</v>
      </c>
      <c r="E2096" t="s">
        <v>2036</v>
      </c>
      <c r="F2096">
        <v>202202</v>
      </c>
      <c r="G2096" t="s">
        <v>2170</v>
      </c>
      <c r="H2096">
        <v>12578.93</v>
      </c>
    </row>
    <row r="2097" spans="1:8">
      <c r="A2097">
        <v>5352</v>
      </c>
      <c r="B2097" t="s">
        <v>2625</v>
      </c>
      <c r="C2097">
        <v>5697</v>
      </c>
      <c r="D2097" t="s">
        <v>2344</v>
      </c>
      <c r="E2097" t="s">
        <v>2036</v>
      </c>
      <c r="F2097">
        <v>202202</v>
      </c>
      <c r="G2097" t="s">
        <v>186</v>
      </c>
      <c r="H2097">
        <v>0</v>
      </c>
    </row>
    <row r="2098" spans="1:8">
      <c r="A2098">
        <v>5352</v>
      </c>
      <c r="B2098" t="s">
        <v>2625</v>
      </c>
      <c r="C2098">
        <v>5697</v>
      </c>
      <c r="D2098" t="s">
        <v>2344</v>
      </c>
      <c r="E2098" t="s">
        <v>2036</v>
      </c>
      <c r="F2098">
        <v>202202</v>
      </c>
      <c r="G2098" t="s">
        <v>2169</v>
      </c>
      <c r="H2098">
        <v>182.65</v>
      </c>
    </row>
    <row r="2099" spans="1:8">
      <c r="A2099">
        <v>5352</v>
      </c>
      <c r="B2099" t="s">
        <v>2625</v>
      </c>
      <c r="C2099">
        <v>5697</v>
      </c>
      <c r="D2099" t="s">
        <v>2344</v>
      </c>
      <c r="E2099" t="s">
        <v>2036</v>
      </c>
      <c r="F2099">
        <v>202202</v>
      </c>
      <c r="G2099" t="s">
        <v>2166</v>
      </c>
      <c r="H2099">
        <v>11.83</v>
      </c>
    </row>
    <row r="2100" spans="1:8">
      <c r="A2100">
        <v>5352</v>
      </c>
      <c r="B2100" t="s">
        <v>2625</v>
      </c>
      <c r="C2100">
        <v>5697</v>
      </c>
      <c r="D2100" t="s">
        <v>2344</v>
      </c>
      <c r="E2100" t="s">
        <v>2036</v>
      </c>
      <c r="F2100">
        <v>202202</v>
      </c>
      <c r="G2100" t="s">
        <v>2167</v>
      </c>
      <c r="H2100">
        <v>21.22</v>
      </c>
    </row>
    <row r="2101" spans="1:8">
      <c r="A2101">
        <v>5352</v>
      </c>
      <c r="B2101" t="s">
        <v>2625</v>
      </c>
      <c r="C2101">
        <v>5697</v>
      </c>
      <c r="D2101" t="s">
        <v>2344</v>
      </c>
      <c r="E2101" t="s">
        <v>2036</v>
      </c>
      <c r="F2101">
        <v>202202</v>
      </c>
      <c r="G2101" t="s">
        <v>2168</v>
      </c>
      <c r="H2101">
        <v>14.37</v>
      </c>
    </row>
    <row r="2102" spans="1:8">
      <c r="A2102">
        <v>5352</v>
      </c>
      <c r="B2102" t="s">
        <v>2625</v>
      </c>
      <c r="C2102">
        <v>5697</v>
      </c>
      <c r="D2102" t="s">
        <v>2344</v>
      </c>
      <c r="E2102" t="s">
        <v>2036</v>
      </c>
      <c r="F2102">
        <v>202202</v>
      </c>
      <c r="G2102" t="s">
        <v>2171</v>
      </c>
      <c r="H2102">
        <v>255916.81</v>
      </c>
    </row>
    <row r="2103" spans="1:8">
      <c r="A2103">
        <v>5352</v>
      </c>
      <c r="B2103" t="s">
        <v>2625</v>
      </c>
      <c r="C2103">
        <v>5697</v>
      </c>
      <c r="D2103" t="s">
        <v>2344</v>
      </c>
      <c r="E2103" t="s">
        <v>2036</v>
      </c>
      <c r="F2103">
        <v>202202</v>
      </c>
      <c r="G2103" t="s">
        <v>190</v>
      </c>
      <c r="H2103">
        <v>150899</v>
      </c>
    </row>
    <row r="2104" spans="1:8">
      <c r="A2104">
        <v>5352</v>
      </c>
      <c r="B2104" t="s">
        <v>2625</v>
      </c>
      <c r="C2104">
        <v>5697</v>
      </c>
      <c r="D2104" t="s">
        <v>2344</v>
      </c>
      <c r="E2104" t="s">
        <v>2036</v>
      </c>
      <c r="F2104">
        <v>202202</v>
      </c>
      <c r="G2104" t="s">
        <v>191</v>
      </c>
      <c r="H2104">
        <v>18471</v>
      </c>
    </row>
    <row r="2105" spans="1:8">
      <c r="A2105">
        <v>5352</v>
      </c>
      <c r="B2105" t="s">
        <v>2625</v>
      </c>
      <c r="C2105">
        <v>5697</v>
      </c>
      <c r="D2105" t="s">
        <v>2344</v>
      </c>
      <c r="E2105" t="s">
        <v>2036</v>
      </c>
      <c r="F2105">
        <v>202202</v>
      </c>
      <c r="G2105" t="s">
        <v>176</v>
      </c>
      <c r="H2105">
        <v>-5841.11</v>
      </c>
    </row>
    <row r="2106" spans="1:8">
      <c r="A2106">
        <v>5352</v>
      </c>
      <c r="B2106" t="s">
        <v>2625</v>
      </c>
      <c r="C2106">
        <v>5697</v>
      </c>
      <c r="D2106" t="s">
        <v>2344</v>
      </c>
      <c r="E2106" t="s">
        <v>2036</v>
      </c>
      <c r="F2106">
        <v>202202</v>
      </c>
      <c r="G2106" t="s">
        <v>178</v>
      </c>
      <c r="H2106">
        <v>504.84</v>
      </c>
    </row>
    <row r="2107" spans="1:8">
      <c r="A2107">
        <v>5352</v>
      </c>
      <c r="B2107" t="s">
        <v>2625</v>
      </c>
      <c r="C2107">
        <v>5697</v>
      </c>
      <c r="D2107" t="s">
        <v>2344</v>
      </c>
      <c r="E2107" t="s">
        <v>2036</v>
      </c>
      <c r="F2107">
        <v>202202</v>
      </c>
      <c r="G2107" t="s">
        <v>180</v>
      </c>
      <c r="H2107">
        <v>443.52</v>
      </c>
    </row>
    <row r="2108" spans="1:8">
      <c r="A2108">
        <v>5352</v>
      </c>
      <c r="B2108" t="s">
        <v>2625</v>
      </c>
      <c r="C2108">
        <v>5697</v>
      </c>
      <c r="D2108" t="s">
        <v>2344</v>
      </c>
      <c r="E2108" t="s">
        <v>2036</v>
      </c>
      <c r="F2108">
        <v>202202</v>
      </c>
      <c r="G2108" t="s">
        <v>182</v>
      </c>
      <c r="H2108">
        <v>150899</v>
      </c>
    </row>
    <row r="2109" spans="1:8">
      <c r="A2109">
        <v>5352</v>
      </c>
      <c r="B2109" t="s">
        <v>2625</v>
      </c>
      <c r="C2109">
        <v>5697</v>
      </c>
      <c r="D2109" t="s">
        <v>2344</v>
      </c>
      <c r="E2109" t="s">
        <v>2036</v>
      </c>
      <c r="F2109">
        <v>202202</v>
      </c>
      <c r="G2109" t="s">
        <v>184</v>
      </c>
      <c r="H2109">
        <v>18471</v>
      </c>
    </row>
    <row r="2110" spans="1:8">
      <c r="A2110">
        <v>5352</v>
      </c>
      <c r="B2110" t="s">
        <v>2625</v>
      </c>
      <c r="C2110">
        <v>5697</v>
      </c>
      <c r="D2110" t="s">
        <v>2344</v>
      </c>
      <c r="E2110" t="s">
        <v>2036</v>
      </c>
      <c r="F2110">
        <v>202202</v>
      </c>
      <c r="G2110" t="s">
        <v>192</v>
      </c>
      <c r="H2110">
        <v>0</v>
      </c>
    </row>
    <row r="2111" spans="1:8">
      <c r="A2111">
        <v>5352</v>
      </c>
      <c r="B2111" t="s">
        <v>2625</v>
      </c>
      <c r="C2111">
        <v>5697</v>
      </c>
      <c r="D2111" t="s">
        <v>2344</v>
      </c>
      <c r="E2111" t="s">
        <v>2036</v>
      </c>
      <c r="F2111">
        <v>202202</v>
      </c>
      <c r="G2111" t="s">
        <v>2170</v>
      </c>
      <c r="H2111">
        <v>2799.44</v>
      </c>
    </row>
    <row r="2112" spans="1:8">
      <c r="A2112">
        <v>5352</v>
      </c>
      <c r="B2112" t="s">
        <v>2625</v>
      </c>
      <c r="C2112">
        <v>5697</v>
      </c>
      <c r="D2112" t="s">
        <v>2344</v>
      </c>
      <c r="E2112" t="s">
        <v>2036</v>
      </c>
      <c r="F2112">
        <v>202202</v>
      </c>
      <c r="G2112" t="s">
        <v>186</v>
      </c>
      <c r="H2112">
        <v>0</v>
      </c>
    </row>
    <row r="2113" spans="1:8">
      <c r="A2113">
        <v>5352</v>
      </c>
      <c r="B2113" t="s">
        <v>2625</v>
      </c>
      <c r="C2113">
        <v>5697</v>
      </c>
      <c r="D2113" t="s">
        <v>2344</v>
      </c>
      <c r="E2113" t="s">
        <v>2036</v>
      </c>
      <c r="F2113">
        <v>202202</v>
      </c>
      <c r="G2113" t="s">
        <v>2169</v>
      </c>
      <c r="H2113">
        <v>182.65</v>
      </c>
    </row>
    <row r="2114" spans="1:8">
      <c r="A2114">
        <v>5352</v>
      </c>
      <c r="B2114" t="s">
        <v>2625</v>
      </c>
      <c r="C2114">
        <v>5697</v>
      </c>
      <c r="D2114" t="s">
        <v>2344</v>
      </c>
      <c r="E2114" t="s">
        <v>2036</v>
      </c>
      <c r="F2114">
        <v>202202</v>
      </c>
      <c r="G2114" t="s">
        <v>2166</v>
      </c>
      <c r="H2114">
        <v>11.83</v>
      </c>
    </row>
    <row r="2115" spans="1:8">
      <c r="A2115">
        <v>5352</v>
      </c>
      <c r="B2115" t="s">
        <v>2625</v>
      </c>
      <c r="C2115">
        <v>5697</v>
      </c>
      <c r="D2115" t="s">
        <v>2344</v>
      </c>
      <c r="E2115" t="s">
        <v>2036</v>
      </c>
      <c r="F2115">
        <v>202202</v>
      </c>
      <c r="G2115" t="s">
        <v>2167</v>
      </c>
      <c r="H2115">
        <v>21.22</v>
      </c>
    </row>
    <row r="2116" spans="1:8">
      <c r="A2116">
        <v>5352</v>
      </c>
      <c r="B2116" t="s">
        <v>2625</v>
      </c>
      <c r="C2116">
        <v>5697</v>
      </c>
      <c r="D2116" t="s">
        <v>2344</v>
      </c>
      <c r="E2116" t="s">
        <v>2036</v>
      </c>
      <c r="F2116">
        <v>202202</v>
      </c>
      <c r="G2116" t="s">
        <v>2168</v>
      </c>
      <c r="H2116">
        <v>14.37</v>
      </c>
    </row>
    <row r="2117" spans="1:8">
      <c r="A2117">
        <v>5352</v>
      </c>
      <c r="B2117" t="s">
        <v>2625</v>
      </c>
      <c r="C2117">
        <v>5697</v>
      </c>
      <c r="D2117" t="s">
        <v>2344</v>
      </c>
      <c r="E2117" t="s">
        <v>2036</v>
      </c>
      <c r="F2117">
        <v>202202</v>
      </c>
      <c r="G2117" t="s">
        <v>2171</v>
      </c>
      <c r="H2117">
        <v>53343.81</v>
      </c>
    </row>
    <row r="2118" spans="1:8">
      <c r="A2118">
        <v>5352</v>
      </c>
      <c r="B2118" t="s">
        <v>2625</v>
      </c>
      <c r="C2118">
        <v>5697</v>
      </c>
      <c r="D2118" t="s">
        <v>2344</v>
      </c>
      <c r="E2118" t="s">
        <v>2036</v>
      </c>
      <c r="F2118">
        <v>202202</v>
      </c>
      <c r="G2118" t="s">
        <v>190</v>
      </c>
      <c r="H2118">
        <v>242892</v>
      </c>
    </row>
    <row r="2119" spans="1:8">
      <c r="A2119">
        <v>5352</v>
      </c>
      <c r="B2119" t="s">
        <v>2625</v>
      </c>
      <c r="C2119">
        <v>5697</v>
      </c>
      <c r="D2119" t="s">
        <v>2344</v>
      </c>
      <c r="E2119" t="s">
        <v>2036</v>
      </c>
      <c r="F2119">
        <v>202202</v>
      </c>
      <c r="G2119" t="s">
        <v>191</v>
      </c>
      <c r="H2119">
        <v>30874</v>
      </c>
    </row>
    <row r="2120" spans="1:8">
      <c r="A2120">
        <v>5352</v>
      </c>
      <c r="B2120" t="s">
        <v>2625</v>
      </c>
      <c r="C2120">
        <v>5697</v>
      </c>
      <c r="D2120" t="s">
        <v>2344</v>
      </c>
      <c r="E2120" t="s">
        <v>2036</v>
      </c>
      <c r="F2120">
        <v>202202</v>
      </c>
      <c r="G2120" t="s">
        <v>176</v>
      </c>
      <c r="H2120">
        <v>-23266.92</v>
      </c>
    </row>
    <row r="2121" spans="1:8">
      <c r="A2121">
        <v>5352</v>
      </c>
      <c r="B2121" t="s">
        <v>2625</v>
      </c>
      <c r="C2121">
        <v>5697</v>
      </c>
      <c r="D2121" t="s">
        <v>2344</v>
      </c>
      <c r="E2121" t="s">
        <v>2036</v>
      </c>
      <c r="F2121">
        <v>202202</v>
      </c>
      <c r="G2121" t="s">
        <v>178</v>
      </c>
      <c r="H2121">
        <v>626</v>
      </c>
    </row>
    <row r="2122" spans="1:8">
      <c r="A2122">
        <v>5352</v>
      </c>
      <c r="B2122" t="s">
        <v>2625</v>
      </c>
      <c r="C2122">
        <v>5697</v>
      </c>
      <c r="D2122" t="s">
        <v>2344</v>
      </c>
      <c r="E2122" t="s">
        <v>2036</v>
      </c>
      <c r="F2122">
        <v>202202</v>
      </c>
      <c r="G2122" t="s">
        <v>180</v>
      </c>
      <c r="H2122">
        <v>619</v>
      </c>
    </row>
    <row r="2123" spans="1:8">
      <c r="A2123">
        <v>5352</v>
      </c>
      <c r="B2123" t="s">
        <v>2625</v>
      </c>
      <c r="C2123">
        <v>5697</v>
      </c>
      <c r="D2123" t="s">
        <v>2344</v>
      </c>
      <c r="E2123" t="s">
        <v>2036</v>
      </c>
      <c r="F2123">
        <v>202202</v>
      </c>
      <c r="G2123" t="s">
        <v>182</v>
      </c>
      <c r="H2123">
        <v>242892</v>
      </c>
    </row>
    <row r="2124" spans="1:8">
      <c r="A2124">
        <v>5352</v>
      </c>
      <c r="B2124" t="s">
        <v>2625</v>
      </c>
      <c r="C2124">
        <v>5697</v>
      </c>
      <c r="D2124" t="s">
        <v>2344</v>
      </c>
      <c r="E2124" t="s">
        <v>2036</v>
      </c>
      <c r="F2124">
        <v>202202</v>
      </c>
      <c r="G2124" t="s">
        <v>184</v>
      </c>
      <c r="H2124">
        <v>30874</v>
      </c>
    </row>
    <row r="2125" spans="1:8">
      <c r="A2125">
        <v>5352</v>
      </c>
      <c r="B2125" t="s">
        <v>2625</v>
      </c>
      <c r="C2125">
        <v>5697</v>
      </c>
      <c r="D2125" t="s">
        <v>2344</v>
      </c>
      <c r="E2125" t="s">
        <v>2036</v>
      </c>
      <c r="F2125">
        <v>202202</v>
      </c>
      <c r="G2125" t="s">
        <v>192</v>
      </c>
      <c r="H2125">
        <v>0</v>
      </c>
    </row>
    <row r="2126" spans="1:8">
      <c r="A2126">
        <v>5352</v>
      </c>
      <c r="B2126" t="s">
        <v>2625</v>
      </c>
      <c r="C2126">
        <v>5697</v>
      </c>
      <c r="D2126" t="s">
        <v>2344</v>
      </c>
      <c r="E2126" t="s">
        <v>2036</v>
      </c>
      <c r="F2126">
        <v>202202</v>
      </c>
      <c r="G2126" t="s">
        <v>2170</v>
      </c>
      <c r="H2126">
        <v>3899.87</v>
      </c>
    </row>
    <row r="2127" spans="1:8">
      <c r="A2127">
        <v>5352</v>
      </c>
      <c r="B2127" t="s">
        <v>2625</v>
      </c>
      <c r="C2127">
        <v>5697</v>
      </c>
      <c r="D2127" t="s">
        <v>2344</v>
      </c>
      <c r="E2127" t="s">
        <v>2036</v>
      </c>
      <c r="F2127">
        <v>202202</v>
      </c>
      <c r="G2127" t="s">
        <v>186</v>
      </c>
      <c r="H2127">
        <v>0</v>
      </c>
    </row>
    <row r="2128" spans="1:8">
      <c r="A2128">
        <v>5352</v>
      </c>
      <c r="B2128" t="s">
        <v>2625</v>
      </c>
      <c r="C2128">
        <v>5697</v>
      </c>
      <c r="D2128" t="s">
        <v>2344</v>
      </c>
      <c r="E2128" t="s">
        <v>2036</v>
      </c>
      <c r="F2128">
        <v>202202</v>
      </c>
      <c r="G2128" t="s">
        <v>2169</v>
      </c>
      <c r="H2128">
        <v>182.65</v>
      </c>
    </row>
    <row r="2129" spans="1:8">
      <c r="A2129">
        <v>5352</v>
      </c>
      <c r="B2129" t="s">
        <v>2625</v>
      </c>
      <c r="C2129">
        <v>5697</v>
      </c>
      <c r="D2129" t="s">
        <v>2344</v>
      </c>
      <c r="E2129" t="s">
        <v>2036</v>
      </c>
      <c r="F2129">
        <v>202202</v>
      </c>
      <c r="G2129" t="s">
        <v>2166</v>
      </c>
      <c r="H2129">
        <v>11.83</v>
      </c>
    </row>
    <row r="2130" spans="1:8">
      <c r="A2130">
        <v>5352</v>
      </c>
      <c r="B2130" t="s">
        <v>2625</v>
      </c>
      <c r="C2130">
        <v>5697</v>
      </c>
      <c r="D2130" t="s">
        <v>2344</v>
      </c>
      <c r="E2130" t="s">
        <v>2036</v>
      </c>
      <c r="F2130">
        <v>202202</v>
      </c>
      <c r="G2130" t="s">
        <v>2167</v>
      </c>
      <c r="H2130">
        <v>21.22</v>
      </c>
    </row>
    <row r="2131" spans="1:8">
      <c r="A2131">
        <v>5352</v>
      </c>
      <c r="B2131" t="s">
        <v>2625</v>
      </c>
      <c r="C2131">
        <v>5697</v>
      </c>
      <c r="D2131" t="s">
        <v>2344</v>
      </c>
      <c r="E2131" t="s">
        <v>2036</v>
      </c>
      <c r="F2131">
        <v>202202</v>
      </c>
      <c r="G2131" t="s">
        <v>2168</v>
      </c>
      <c r="H2131">
        <v>14.37</v>
      </c>
    </row>
    <row r="2132" spans="1:8">
      <c r="A2132">
        <v>5352</v>
      </c>
      <c r="B2132" t="s">
        <v>2625</v>
      </c>
      <c r="C2132">
        <v>5697</v>
      </c>
      <c r="D2132" t="s">
        <v>2344</v>
      </c>
      <c r="E2132" t="s">
        <v>2036</v>
      </c>
      <c r="F2132">
        <v>202202</v>
      </c>
      <c r="G2132" t="s">
        <v>2171</v>
      </c>
      <c r="H2132">
        <v>59182.91</v>
      </c>
    </row>
    <row r="2133" spans="1:8">
      <c r="A2133">
        <v>5352</v>
      </c>
      <c r="B2133" t="s">
        <v>2625</v>
      </c>
      <c r="C2133">
        <v>5697</v>
      </c>
      <c r="D2133" t="s">
        <v>2344</v>
      </c>
      <c r="E2133" t="s">
        <v>2036</v>
      </c>
      <c r="F2133">
        <v>202202</v>
      </c>
      <c r="G2133" t="s">
        <v>190</v>
      </c>
      <c r="H2133">
        <v>14412</v>
      </c>
    </row>
    <row r="2134" spans="1:8">
      <c r="A2134">
        <v>5352</v>
      </c>
      <c r="B2134" t="s">
        <v>2625</v>
      </c>
      <c r="C2134">
        <v>5697</v>
      </c>
      <c r="D2134" t="s">
        <v>2344</v>
      </c>
      <c r="E2134" t="s">
        <v>2036</v>
      </c>
      <c r="F2134">
        <v>202202</v>
      </c>
      <c r="G2134" t="s">
        <v>191</v>
      </c>
      <c r="H2134">
        <v>1941</v>
      </c>
    </row>
    <row r="2135" spans="1:8">
      <c r="A2135">
        <v>5352</v>
      </c>
      <c r="B2135" t="s">
        <v>2625</v>
      </c>
      <c r="C2135">
        <v>5697</v>
      </c>
      <c r="D2135" t="s">
        <v>2344</v>
      </c>
      <c r="E2135" t="s">
        <v>2036</v>
      </c>
      <c r="F2135">
        <v>202202</v>
      </c>
      <c r="G2135" t="s">
        <v>176</v>
      </c>
      <c r="H2135">
        <v>-1556.01</v>
      </c>
    </row>
    <row r="2136" spans="1:8">
      <c r="A2136">
        <v>5352</v>
      </c>
      <c r="B2136" t="s">
        <v>2625</v>
      </c>
      <c r="C2136">
        <v>5697</v>
      </c>
      <c r="D2136" t="s">
        <v>2344</v>
      </c>
      <c r="E2136" t="s">
        <v>2036</v>
      </c>
      <c r="F2136">
        <v>202202</v>
      </c>
      <c r="G2136" t="s">
        <v>178</v>
      </c>
      <c r="H2136">
        <v>80</v>
      </c>
    </row>
    <row r="2137" spans="1:8">
      <c r="A2137">
        <v>5352</v>
      </c>
      <c r="B2137" t="s">
        <v>2625</v>
      </c>
      <c r="C2137">
        <v>5697</v>
      </c>
      <c r="D2137" t="s">
        <v>2344</v>
      </c>
      <c r="E2137" t="s">
        <v>2036</v>
      </c>
      <c r="F2137">
        <v>202202</v>
      </c>
      <c r="G2137" t="s">
        <v>180</v>
      </c>
      <c r="H2137">
        <v>70</v>
      </c>
    </row>
    <row r="2138" spans="1:8">
      <c r="A2138">
        <v>5352</v>
      </c>
      <c r="B2138" t="s">
        <v>2625</v>
      </c>
      <c r="C2138">
        <v>5697</v>
      </c>
      <c r="D2138" t="s">
        <v>2344</v>
      </c>
      <c r="E2138" t="s">
        <v>2036</v>
      </c>
      <c r="F2138">
        <v>202202</v>
      </c>
      <c r="G2138" t="s">
        <v>182</v>
      </c>
      <c r="H2138">
        <v>14412</v>
      </c>
    </row>
    <row r="2139" spans="1:8">
      <c r="A2139">
        <v>5352</v>
      </c>
      <c r="B2139" t="s">
        <v>2625</v>
      </c>
      <c r="C2139">
        <v>5697</v>
      </c>
      <c r="D2139" t="s">
        <v>2344</v>
      </c>
      <c r="E2139" t="s">
        <v>2036</v>
      </c>
      <c r="F2139">
        <v>202202</v>
      </c>
      <c r="G2139" t="s">
        <v>184</v>
      </c>
      <c r="H2139">
        <v>1941</v>
      </c>
    </row>
    <row r="2140" spans="1:8">
      <c r="A2140">
        <v>5352</v>
      </c>
      <c r="B2140" t="s">
        <v>2625</v>
      </c>
      <c r="C2140">
        <v>5697</v>
      </c>
      <c r="D2140" t="s">
        <v>2344</v>
      </c>
      <c r="E2140" t="s">
        <v>2036</v>
      </c>
      <c r="F2140">
        <v>202202</v>
      </c>
      <c r="G2140" t="s">
        <v>192</v>
      </c>
      <c r="H2140">
        <v>0</v>
      </c>
    </row>
    <row r="2141" spans="1:8">
      <c r="A2141">
        <v>5352</v>
      </c>
      <c r="B2141" t="s">
        <v>2625</v>
      </c>
      <c r="C2141">
        <v>5697</v>
      </c>
      <c r="D2141" t="s">
        <v>2344</v>
      </c>
      <c r="E2141" t="s">
        <v>2036</v>
      </c>
      <c r="F2141">
        <v>202202</v>
      </c>
      <c r="G2141" t="s">
        <v>2170</v>
      </c>
      <c r="H2141">
        <v>280.70999999999998</v>
      </c>
    </row>
    <row r="2142" spans="1:8">
      <c r="A2142">
        <v>5352</v>
      </c>
      <c r="B2142" t="s">
        <v>2625</v>
      </c>
      <c r="C2142">
        <v>5697</v>
      </c>
      <c r="D2142" t="s">
        <v>2344</v>
      </c>
      <c r="E2142" t="s">
        <v>2036</v>
      </c>
      <c r="F2142">
        <v>202202</v>
      </c>
      <c r="G2142" t="s">
        <v>186</v>
      </c>
      <c r="H2142">
        <v>0</v>
      </c>
    </row>
    <row r="2143" spans="1:8">
      <c r="A2143">
        <v>5352</v>
      </c>
      <c r="B2143" t="s">
        <v>2625</v>
      </c>
      <c r="C2143">
        <v>5697</v>
      </c>
      <c r="D2143" t="s">
        <v>2344</v>
      </c>
      <c r="E2143" t="s">
        <v>2036</v>
      </c>
      <c r="F2143">
        <v>202202</v>
      </c>
      <c r="G2143" t="s">
        <v>2169</v>
      </c>
      <c r="H2143">
        <v>182.65</v>
      </c>
    </row>
    <row r="2144" spans="1:8">
      <c r="A2144">
        <v>5352</v>
      </c>
      <c r="B2144" t="s">
        <v>2625</v>
      </c>
      <c r="C2144">
        <v>5697</v>
      </c>
      <c r="D2144" t="s">
        <v>2344</v>
      </c>
      <c r="E2144" t="s">
        <v>2036</v>
      </c>
      <c r="F2144">
        <v>202202</v>
      </c>
      <c r="G2144" t="s">
        <v>2166</v>
      </c>
      <c r="H2144">
        <v>11.83</v>
      </c>
    </row>
    <row r="2145" spans="1:8">
      <c r="A2145">
        <v>5352</v>
      </c>
      <c r="B2145" t="s">
        <v>2625</v>
      </c>
      <c r="C2145">
        <v>5697</v>
      </c>
      <c r="D2145" t="s">
        <v>2344</v>
      </c>
      <c r="E2145" t="s">
        <v>2036</v>
      </c>
      <c r="F2145">
        <v>202202</v>
      </c>
      <c r="G2145" t="s">
        <v>2167</v>
      </c>
      <c r="H2145">
        <v>21.22</v>
      </c>
    </row>
    <row r="2146" spans="1:8">
      <c r="A2146">
        <v>5352</v>
      </c>
      <c r="B2146" t="s">
        <v>2625</v>
      </c>
      <c r="C2146">
        <v>5697</v>
      </c>
      <c r="D2146" t="s">
        <v>2344</v>
      </c>
      <c r="E2146" t="s">
        <v>2036</v>
      </c>
      <c r="F2146">
        <v>202202</v>
      </c>
      <c r="G2146" t="s">
        <v>2168</v>
      </c>
      <c r="H2146">
        <v>14.37</v>
      </c>
    </row>
    <row r="2147" spans="1:8">
      <c r="A2147">
        <v>5352</v>
      </c>
      <c r="B2147" t="s">
        <v>2625</v>
      </c>
      <c r="C2147">
        <v>5697</v>
      </c>
      <c r="D2147" t="s">
        <v>2344</v>
      </c>
      <c r="E2147" t="s">
        <v>2036</v>
      </c>
      <c r="F2147">
        <v>202202</v>
      </c>
      <c r="G2147" t="s">
        <v>2171</v>
      </c>
      <c r="H2147">
        <v>4378.3599999999997</v>
      </c>
    </row>
    <row r="2148" spans="1:8">
      <c r="A2148">
        <v>5352</v>
      </c>
      <c r="B2148" t="s">
        <v>2625</v>
      </c>
      <c r="C2148">
        <v>5697</v>
      </c>
      <c r="D2148" t="s">
        <v>2344</v>
      </c>
      <c r="E2148" t="s">
        <v>2036</v>
      </c>
      <c r="F2148">
        <v>202202</v>
      </c>
      <c r="G2148" t="s">
        <v>190</v>
      </c>
      <c r="H2148">
        <v>212346</v>
      </c>
    </row>
    <row r="2149" spans="1:8">
      <c r="A2149">
        <v>5352</v>
      </c>
      <c r="B2149" t="s">
        <v>2625</v>
      </c>
      <c r="C2149">
        <v>5697</v>
      </c>
      <c r="D2149" t="s">
        <v>2344</v>
      </c>
      <c r="E2149" t="s">
        <v>2036</v>
      </c>
      <c r="F2149">
        <v>202202</v>
      </c>
      <c r="G2149" t="s">
        <v>191</v>
      </c>
      <c r="H2149">
        <v>26325</v>
      </c>
    </row>
    <row r="2150" spans="1:8">
      <c r="A2150">
        <v>5352</v>
      </c>
      <c r="B2150" t="s">
        <v>2625</v>
      </c>
      <c r="C2150">
        <v>5697</v>
      </c>
      <c r="D2150" t="s">
        <v>2344</v>
      </c>
      <c r="E2150" t="s">
        <v>2036</v>
      </c>
      <c r="F2150">
        <v>202202</v>
      </c>
      <c r="G2150" t="s">
        <v>176</v>
      </c>
      <c r="H2150">
        <v>-15965.71</v>
      </c>
    </row>
    <row r="2151" spans="1:8">
      <c r="A2151">
        <v>5352</v>
      </c>
      <c r="B2151" t="s">
        <v>2625</v>
      </c>
      <c r="C2151">
        <v>5697</v>
      </c>
      <c r="D2151" t="s">
        <v>2344</v>
      </c>
      <c r="E2151" t="s">
        <v>2036</v>
      </c>
      <c r="F2151">
        <v>202202</v>
      </c>
      <c r="G2151" t="s">
        <v>178</v>
      </c>
      <c r="H2151">
        <v>580</v>
      </c>
    </row>
    <row r="2152" spans="1:8">
      <c r="A2152">
        <v>5352</v>
      </c>
      <c r="B2152" t="s">
        <v>2625</v>
      </c>
      <c r="C2152">
        <v>5697</v>
      </c>
      <c r="D2152" t="s">
        <v>2344</v>
      </c>
      <c r="E2152" t="s">
        <v>2036</v>
      </c>
      <c r="F2152">
        <v>202202</v>
      </c>
      <c r="G2152" t="s">
        <v>180</v>
      </c>
      <c r="H2152">
        <v>580</v>
      </c>
    </row>
    <row r="2153" spans="1:8">
      <c r="A2153">
        <v>5352</v>
      </c>
      <c r="B2153" t="s">
        <v>2625</v>
      </c>
      <c r="C2153">
        <v>5697</v>
      </c>
      <c r="D2153" t="s">
        <v>2344</v>
      </c>
      <c r="E2153" t="s">
        <v>2036</v>
      </c>
      <c r="F2153">
        <v>202202</v>
      </c>
      <c r="G2153" t="s">
        <v>182</v>
      </c>
      <c r="H2153">
        <v>212346</v>
      </c>
    </row>
    <row r="2154" spans="1:8">
      <c r="A2154">
        <v>5352</v>
      </c>
      <c r="B2154" t="s">
        <v>2625</v>
      </c>
      <c r="C2154">
        <v>5697</v>
      </c>
      <c r="D2154" t="s">
        <v>2344</v>
      </c>
      <c r="E2154" t="s">
        <v>2036</v>
      </c>
      <c r="F2154">
        <v>202202</v>
      </c>
      <c r="G2154" t="s">
        <v>184</v>
      </c>
      <c r="H2154">
        <v>26325</v>
      </c>
    </row>
    <row r="2155" spans="1:8">
      <c r="A2155">
        <v>5352</v>
      </c>
      <c r="B2155" t="s">
        <v>2625</v>
      </c>
      <c r="C2155">
        <v>5697</v>
      </c>
      <c r="D2155" t="s">
        <v>2344</v>
      </c>
      <c r="E2155" t="s">
        <v>2036</v>
      </c>
      <c r="F2155">
        <v>202202</v>
      </c>
      <c r="G2155" t="s">
        <v>192</v>
      </c>
      <c r="H2155">
        <v>0</v>
      </c>
    </row>
    <row r="2156" spans="1:8">
      <c r="A2156">
        <v>5352</v>
      </c>
      <c r="B2156" t="s">
        <v>2625</v>
      </c>
      <c r="C2156">
        <v>5697</v>
      </c>
      <c r="D2156" t="s">
        <v>2344</v>
      </c>
      <c r="E2156" t="s">
        <v>2036</v>
      </c>
      <c r="F2156">
        <v>202202</v>
      </c>
      <c r="G2156" t="s">
        <v>2170</v>
      </c>
      <c r="H2156">
        <v>3286.33</v>
      </c>
    </row>
    <row r="2157" spans="1:8">
      <c r="A2157">
        <v>5352</v>
      </c>
      <c r="B2157" t="s">
        <v>2625</v>
      </c>
      <c r="C2157">
        <v>5697</v>
      </c>
      <c r="D2157" t="s">
        <v>2344</v>
      </c>
      <c r="E2157" t="s">
        <v>2036</v>
      </c>
      <c r="F2157">
        <v>202202</v>
      </c>
      <c r="G2157" t="s">
        <v>186</v>
      </c>
      <c r="H2157">
        <v>0</v>
      </c>
    </row>
    <row r="2158" spans="1:8">
      <c r="A2158">
        <v>5352</v>
      </c>
      <c r="B2158" t="s">
        <v>2625</v>
      </c>
      <c r="C2158">
        <v>5697</v>
      </c>
      <c r="D2158" t="s">
        <v>2344</v>
      </c>
      <c r="E2158" t="s">
        <v>2036</v>
      </c>
      <c r="F2158">
        <v>202202</v>
      </c>
      <c r="G2158" t="s">
        <v>2169</v>
      </c>
      <c r="H2158">
        <v>182.65</v>
      </c>
    </row>
    <row r="2159" spans="1:8">
      <c r="A2159">
        <v>5352</v>
      </c>
      <c r="B2159" t="s">
        <v>2625</v>
      </c>
      <c r="C2159">
        <v>5697</v>
      </c>
      <c r="D2159" t="s">
        <v>2344</v>
      </c>
      <c r="E2159" t="s">
        <v>2036</v>
      </c>
      <c r="F2159">
        <v>202202</v>
      </c>
      <c r="G2159" t="s">
        <v>2166</v>
      </c>
      <c r="H2159">
        <v>11.83</v>
      </c>
    </row>
    <row r="2160" spans="1:8">
      <c r="A2160">
        <v>5352</v>
      </c>
      <c r="B2160" t="s">
        <v>2625</v>
      </c>
      <c r="C2160">
        <v>5697</v>
      </c>
      <c r="D2160" t="s">
        <v>2344</v>
      </c>
      <c r="E2160" t="s">
        <v>2036</v>
      </c>
      <c r="F2160">
        <v>202202</v>
      </c>
      <c r="G2160" t="s">
        <v>2167</v>
      </c>
      <c r="H2160">
        <v>21.22</v>
      </c>
    </row>
    <row r="2161" spans="1:8">
      <c r="A2161">
        <v>5352</v>
      </c>
      <c r="B2161" t="s">
        <v>2625</v>
      </c>
      <c r="C2161">
        <v>5697</v>
      </c>
      <c r="D2161" t="s">
        <v>2344</v>
      </c>
      <c r="E2161" t="s">
        <v>2036</v>
      </c>
      <c r="F2161">
        <v>202202</v>
      </c>
      <c r="G2161" t="s">
        <v>2168</v>
      </c>
      <c r="H2161">
        <v>14.37</v>
      </c>
    </row>
    <row r="2162" spans="1:8">
      <c r="A2162">
        <v>5352</v>
      </c>
      <c r="B2162" t="s">
        <v>2625</v>
      </c>
      <c r="C2162">
        <v>5697</v>
      </c>
      <c r="D2162" t="s">
        <v>2344</v>
      </c>
      <c r="E2162" t="s">
        <v>2036</v>
      </c>
      <c r="F2162">
        <v>202202</v>
      </c>
      <c r="G2162" t="s">
        <v>2171</v>
      </c>
      <c r="H2162">
        <v>53512.57</v>
      </c>
    </row>
    <row r="2163" spans="1:8">
      <c r="A2163">
        <v>5352</v>
      </c>
      <c r="B2163" t="s">
        <v>2625</v>
      </c>
      <c r="C2163">
        <v>5697</v>
      </c>
      <c r="D2163" t="s">
        <v>2344</v>
      </c>
      <c r="E2163" t="s">
        <v>2036</v>
      </c>
      <c r="F2163">
        <v>202202</v>
      </c>
      <c r="G2163" t="s">
        <v>190</v>
      </c>
      <c r="H2163">
        <v>289191</v>
      </c>
    </row>
    <row r="2164" spans="1:8">
      <c r="A2164">
        <v>5352</v>
      </c>
      <c r="B2164" t="s">
        <v>2625</v>
      </c>
      <c r="C2164">
        <v>5697</v>
      </c>
      <c r="D2164" t="s">
        <v>2344</v>
      </c>
      <c r="E2164" t="s">
        <v>2036</v>
      </c>
      <c r="F2164">
        <v>202202</v>
      </c>
      <c r="G2164" t="s">
        <v>191</v>
      </c>
      <c r="H2164">
        <v>34975</v>
      </c>
    </row>
    <row r="2165" spans="1:8">
      <c r="A2165">
        <v>5352</v>
      </c>
      <c r="B2165" t="s">
        <v>2625</v>
      </c>
      <c r="C2165">
        <v>5697</v>
      </c>
      <c r="D2165" t="s">
        <v>2344</v>
      </c>
      <c r="E2165" t="s">
        <v>2036</v>
      </c>
      <c r="F2165">
        <v>202202</v>
      </c>
      <c r="G2165" t="s">
        <v>176</v>
      </c>
      <c r="H2165">
        <v>-2709.91</v>
      </c>
    </row>
    <row r="2166" spans="1:8">
      <c r="A2166">
        <v>5352</v>
      </c>
      <c r="B2166" t="s">
        <v>2625</v>
      </c>
      <c r="C2166">
        <v>5697</v>
      </c>
      <c r="D2166" t="s">
        <v>2344</v>
      </c>
      <c r="E2166" t="s">
        <v>2036</v>
      </c>
      <c r="F2166">
        <v>202202</v>
      </c>
      <c r="G2166" t="s">
        <v>178</v>
      </c>
      <c r="H2166">
        <v>744</v>
      </c>
    </row>
    <row r="2167" spans="1:8">
      <c r="A2167">
        <v>5352</v>
      </c>
      <c r="B2167" t="s">
        <v>2625</v>
      </c>
      <c r="C2167">
        <v>5697</v>
      </c>
      <c r="D2167" t="s">
        <v>2344</v>
      </c>
      <c r="E2167" t="s">
        <v>2036</v>
      </c>
      <c r="F2167">
        <v>202202</v>
      </c>
      <c r="G2167" t="s">
        <v>180</v>
      </c>
      <c r="H2167">
        <v>747</v>
      </c>
    </row>
    <row r="2168" spans="1:8">
      <c r="A2168">
        <v>5352</v>
      </c>
      <c r="B2168" t="s">
        <v>2625</v>
      </c>
      <c r="C2168">
        <v>5697</v>
      </c>
      <c r="D2168" t="s">
        <v>2344</v>
      </c>
      <c r="E2168" t="s">
        <v>2036</v>
      </c>
      <c r="F2168">
        <v>202202</v>
      </c>
      <c r="G2168" t="s">
        <v>182</v>
      </c>
      <c r="H2168">
        <v>289191</v>
      </c>
    </row>
    <row r="2169" spans="1:8">
      <c r="A2169">
        <v>5352</v>
      </c>
      <c r="B2169" t="s">
        <v>2625</v>
      </c>
      <c r="C2169">
        <v>5697</v>
      </c>
      <c r="D2169" t="s">
        <v>2344</v>
      </c>
      <c r="E2169" t="s">
        <v>2036</v>
      </c>
      <c r="F2169">
        <v>202202</v>
      </c>
      <c r="G2169" t="s">
        <v>184</v>
      </c>
      <c r="H2169">
        <v>34975</v>
      </c>
    </row>
    <row r="2170" spans="1:8">
      <c r="A2170">
        <v>5352</v>
      </c>
      <c r="B2170" t="s">
        <v>2625</v>
      </c>
      <c r="C2170">
        <v>5697</v>
      </c>
      <c r="D2170" t="s">
        <v>2344</v>
      </c>
      <c r="E2170" t="s">
        <v>2036</v>
      </c>
      <c r="F2170">
        <v>202202</v>
      </c>
      <c r="G2170" t="s">
        <v>192</v>
      </c>
      <c r="H2170">
        <v>0</v>
      </c>
    </row>
    <row r="2171" spans="1:8">
      <c r="A2171">
        <v>5352</v>
      </c>
      <c r="B2171" t="s">
        <v>2625</v>
      </c>
      <c r="C2171">
        <v>5697</v>
      </c>
      <c r="D2171" t="s">
        <v>2344</v>
      </c>
      <c r="E2171" t="s">
        <v>2036</v>
      </c>
      <c r="F2171">
        <v>202202</v>
      </c>
      <c r="G2171" t="s">
        <v>2170</v>
      </c>
      <c r="H2171">
        <v>4600.58</v>
      </c>
    </row>
    <row r="2172" spans="1:8">
      <c r="A2172">
        <v>5352</v>
      </c>
      <c r="B2172" t="s">
        <v>2625</v>
      </c>
      <c r="C2172">
        <v>5697</v>
      </c>
      <c r="D2172" t="s">
        <v>2344</v>
      </c>
      <c r="E2172" t="s">
        <v>2036</v>
      </c>
      <c r="F2172">
        <v>202202</v>
      </c>
      <c r="G2172" t="s">
        <v>186</v>
      </c>
      <c r="H2172">
        <v>0</v>
      </c>
    </row>
    <row r="2173" spans="1:8">
      <c r="A2173">
        <v>5352</v>
      </c>
      <c r="B2173" t="s">
        <v>2625</v>
      </c>
      <c r="C2173">
        <v>5697</v>
      </c>
      <c r="D2173" t="s">
        <v>2344</v>
      </c>
      <c r="E2173" t="s">
        <v>2036</v>
      </c>
      <c r="F2173">
        <v>202202</v>
      </c>
      <c r="G2173" t="s">
        <v>2169</v>
      </c>
      <c r="H2173">
        <v>182.65</v>
      </c>
    </row>
    <row r="2174" spans="1:8">
      <c r="A2174">
        <v>5352</v>
      </c>
      <c r="B2174" t="s">
        <v>2625</v>
      </c>
      <c r="C2174">
        <v>5697</v>
      </c>
      <c r="D2174" t="s">
        <v>2344</v>
      </c>
      <c r="E2174" t="s">
        <v>2036</v>
      </c>
      <c r="F2174">
        <v>202202</v>
      </c>
      <c r="G2174" t="s">
        <v>2166</v>
      </c>
      <c r="H2174">
        <v>11.83</v>
      </c>
    </row>
    <row r="2175" spans="1:8">
      <c r="A2175">
        <v>5352</v>
      </c>
      <c r="B2175" t="s">
        <v>2625</v>
      </c>
      <c r="C2175">
        <v>5697</v>
      </c>
      <c r="D2175" t="s">
        <v>2344</v>
      </c>
      <c r="E2175" t="s">
        <v>2036</v>
      </c>
      <c r="F2175">
        <v>202202</v>
      </c>
      <c r="G2175" t="s">
        <v>2167</v>
      </c>
      <c r="H2175">
        <v>21.22</v>
      </c>
    </row>
    <row r="2176" spans="1:8">
      <c r="A2176">
        <v>5352</v>
      </c>
      <c r="B2176" t="s">
        <v>2625</v>
      </c>
      <c r="C2176">
        <v>5697</v>
      </c>
      <c r="D2176" t="s">
        <v>2344</v>
      </c>
      <c r="E2176" t="s">
        <v>2036</v>
      </c>
      <c r="F2176">
        <v>202202</v>
      </c>
      <c r="G2176" t="s">
        <v>2168</v>
      </c>
      <c r="H2176">
        <v>14.37</v>
      </c>
    </row>
    <row r="2177" spans="1:8">
      <c r="A2177">
        <v>5352</v>
      </c>
      <c r="B2177" t="s">
        <v>2625</v>
      </c>
      <c r="C2177">
        <v>5697</v>
      </c>
      <c r="D2177" t="s">
        <v>2344</v>
      </c>
      <c r="E2177" t="s">
        <v>2036</v>
      </c>
      <c r="F2177">
        <v>202202</v>
      </c>
      <c r="G2177" t="s">
        <v>2171</v>
      </c>
      <c r="H2177">
        <v>94554.18</v>
      </c>
    </row>
    <row r="2178" spans="1:8">
      <c r="A2178">
        <v>5352</v>
      </c>
      <c r="B2178" t="s">
        <v>2625</v>
      </c>
      <c r="C2178">
        <v>5697</v>
      </c>
      <c r="D2178" t="s">
        <v>2344</v>
      </c>
      <c r="E2178" t="s">
        <v>2036</v>
      </c>
      <c r="F2178">
        <v>202202</v>
      </c>
      <c r="G2178" t="s">
        <v>190</v>
      </c>
      <c r="H2178">
        <v>123176</v>
      </c>
    </row>
    <row r="2179" spans="1:8">
      <c r="A2179">
        <v>5352</v>
      </c>
      <c r="B2179" t="s">
        <v>2625</v>
      </c>
      <c r="C2179">
        <v>5697</v>
      </c>
      <c r="D2179" t="s">
        <v>2344</v>
      </c>
      <c r="E2179" t="s">
        <v>2036</v>
      </c>
      <c r="F2179">
        <v>202202</v>
      </c>
      <c r="G2179" t="s">
        <v>191</v>
      </c>
      <c r="H2179">
        <v>15986</v>
      </c>
    </row>
    <row r="2180" spans="1:8">
      <c r="A2180">
        <v>5352</v>
      </c>
      <c r="B2180" t="s">
        <v>2625</v>
      </c>
      <c r="C2180">
        <v>5697</v>
      </c>
      <c r="D2180" t="s">
        <v>2344</v>
      </c>
      <c r="E2180" t="s">
        <v>2036</v>
      </c>
      <c r="F2180">
        <v>202202</v>
      </c>
      <c r="G2180" t="s">
        <v>176</v>
      </c>
      <c r="H2180">
        <v>-3137.94</v>
      </c>
    </row>
    <row r="2181" spans="1:8">
      <c r="A2181">
        <v>5352</v>
      </c>
      <c r="B2181" t="s">
        <v>2625</v>
      </c>
      <c r="C2181">
        <v>5697</v>
      </c>
      <c r="D2181" t="s">
        <v>2344</v>
      </c>
      <c r="E2181" t="s">
        <v>2036</v>
      </c>
      <c r="F2181">
        <v>202202</v>
      </c>
      <c r="G2181" t="s">
        <v>178</v>
      </c>
      <c r="H2181">
        <v>320</v>
      </c>
    </row>
    <row r="2182" spans="1:8">
      <c r="A2182">
        <v>5352</v>
      </c>
      <c r="B2182" t="s">
        <v>2625</v>
      </c>
      <c r="C2182">
        <v>5697</v>
      </c>
      <c r="D2182" t="s">
        <v>2344</v>
      </c>
      <c r="E2182" t="s">
        <v>2036</v>
      </c>
      <c r="F2182">
        <v>202202</v>
      </c>
      <c r="G2182" t="s">
        <v>180</v>
      </c>
      <c r="H2182">
        <v>332</v>
      </c>
    </row>
    <row r="2183" spans="1:8">
      <c r="A2183">
        <v>5352</v>
      </c>
      <c r="B2183" t="s">
        <v>2625</v>
      </c>
      <c r="C2183">
        <v>5697</v>
      </c>
      <c r="D2183" t="s">
        <v>2344</v>
      </c>
      <c r="E2183" t="s">
        <v>2036</v>
      </c>
      <c r="F2183">
        <v>202202</v>
      </c>
      <c r="G2183" t="s">
        <v>182</v>
      </c>
      <c r="H2183">
        <v>123176</v>
      </c>
    </row>
    <row r="2184" spans="1:8">
      <c r="A2184">
        <v>5352</v>
      </c>
      <c r="B2184" t="s">
        <v>2625</v>
      </c>
      <c r="C2184">
        <v>5697</v>
      </c>
      <c r="D2184" t="s">
        <v>2344</v>
      </c>
      <c r="E2184" t="s">
        <v>2036</v>
      </c>
      <c r="F2184">
        <v>202202</v>
      </c>
      <c r="G2184" t="s">
        <v>184</v>
      </c>
      <c r="H2184">
        <v>15986</v>
      </c>
    </row>
    <row r="2185" spans="1:8">
      <c r="A2185">
        <v>5352</v>
      </c>
      <c r="B2185" t="s">
        <v>2625</v>
      </c>
      <c r="C2185">
        <v>5697</v>
      </c>
      <c r="D2185" t="s">
        <v>2344</v>
      </c>
      <c r="E2185" t="s">
        <v>2036</v>
      </c>
      <c r="F2185">
        <v>202202</v>
      </c>
      <c r="G2185" t="s">
        <v>192</v>
      </c>
      <c r="H2185">
        <v>0</v>
      </c>
    </row>
    <row r="2186" spans="1:8">
      <c r="A2186">
        <v>5352</v>
      </c>
      <c r="B2186" t="s">
        <v>2625</v>
      </c>
      <c r="C2186">
        <v>5697</v>
      </c>
      <c r="D2186" t="s">
        <v>2344</v>
      </c>
      <c r="E2186" t="s">
        <v>2036</v>
      </c>
      <c r="F2186">
        <v>202202</v>
      </c>
      <c r="G2186" t="s">
        <v>2170</v>
      </c>
      <c r="H2186">
        <v>1899.29</v>
      </c>
    </row>
    <row r="2187" spans="1:8">
      <c r="A2187">
        <v>5352</v>
      </c>
      <c r="B2187" t="s">
        <v>2625</v>
      </c>
      <c r="C2187">
        <v>5697</v>
      </c>
      <c r="D2187" t="s">
        <v>2344</v>
      </c>
      <c r="E2187" t="s">
        <v>2036</v>
      </c>
      <c r="F2187">
        <v>202202</v>
      </c>
      <c r="G2187" t="s">
        <v>186</v>
      </c>
      <c r="H2187">
        <v>0</v>
      </c>
    </row>
    <row r="2188" spans="1:8">
      <c r="A2188">
        <v>5352</v>
      </c>
      <c r="B2188" t="s">
        <v>2625</v>
      </c>
      <c r="C2188">
        <v>5697</v>
      </c>
      <c r="D2188" t="s">
        <v>2344</v>
      </c>
      <c r="E2188" t="s">
        <v>2036</v>
      </c>
      <c r="F2188">
        <v>202202</v>
      </c>
      <c r="G2188" t="s">
        <v>2169</v>
      </c>
      <c r="H2188">
        <v>182.65</v>
      </c>
    </row>
    <row r="2189" spans="1:8">
      <c r="A2189">
        <v>5352</v>
      </c>
      <c r="B2189" t="s">
        <v>2625</v>
      </c>
      <c r="C2189">
        <v>5697</v>
      </c>
      <c r="D2189" t="s">
        <v>2344</v>
      </c>
      <c r="E2189" t="s">
        <v>2036</v>
      </c>
      <c r="F2189">
        <v>202202</v>
      </c>
      <c r="G2189" t="s">
        <v>2166</v>
      </c>
      <c r="H2189">
        <v>11.83</v>
      </c>
    </row>
    <row r="2190" spans="1:8">
      <c r="A2190">
        <v>5352</v>
      </c>
      <c r="B2190" t="s">
        <v>2625</v>
      </c>
      <c r="C2190">
        <v>5697</v>
      </c>
      <c r="D2190" t="s">
        <v>2344</v>
      </c>
      <c r="E2190" t="s">
        <v>2036</v>
      </c>
      <c r="F2190">
        <v>202202</v>
      </c>
      <c r="G2190" t="s">
        <v>2167</v>
      </c>
      <c r="H2190">
        <v>21.22</v>
      </c>
    </row>
    <row r="2191" spans="1:8">
      <c r="A2191">
        <v>5352</v>
      </c>
      <c r="B2191" t="s">
        <v>2625</v>
      </c>
      <c r="C2191">
        <v>5697</v>
      </c>
      <c r="D2191" t="s">
        <v>2344</v>
      </c>
      <c r="E2191" t="s">
        <v>2036</v>
      </c>
      <c r="F2191">
        <v>202202</v>
      </c>
      <c r="G2191" t="s">
        <v>2168</v>
      </c>
      <c r="H2191">
        <v>14.37</v>
      </c>
    </row>
    <row r="2192" spans="1:8">
      <c r="A2192">
        <v>5352</v>
      </c>
      <c r="B2192" t="s">
        <v>2625</v>
      </c>
      <c r="C2192">
        <v>5697</v>
      </c>
      <c r="D2192" t="s">
        <v>2344</v>
      </c>
      <c r="E2192" t="s">
        <v>2036</v>
      </c>
      <c r="F2192">
        <v>202202</v>
      </c>
      <c r="G2192" t="s">
        <v>2171</v>
      </c>
      <c r="H2192">
        <v>37016.019999999997</v>
      </c>
    </row>
    <row r="2193" spans="1:8">
      <c r="A2193">
        <v>5352</v>
      </c>
      <c r="B2193" t="s">
        <v>2625</v>
      </c>
      <c r="C2193">
        <v>5697</v>
      </c>
      <c r="D2193" t="s">
        <v>2344</v>
      </c>
      <c r="E2193" t="s">
        <v>2036</v>
      </c>
      <c r="F2193">
        <v>202202</v>
      </c>
      <c r="G2193" t="s">
        <v>190</v>
      </c>
      <c r="H2193">
        <v>143290</v>
      </c>
    </row>
    <row r="2194" spans="1:8">
      <c r="A2194">
        <v>5352</v>
      </c>
      <c r="B2194" t="s">
        <v>2625</v>
      </c>
      <c r="C2194">
        <v>5697</v>
      </c>
      <c r="D2194" t="s">
        <v>2344</v>
      </c>
      <c r="E2194" t="s">
        <v>2036</v>
      </c>
      <c r="F2194">
        <v>202202</v>
      </c>
      <c r="G2194" t="s">
        <v>191</v>
      </c>
      <c r="H2194">
        <v>19314</v>
      </c>
    </row>
    <row r="2195" spans="1:8">
      <c r="A2195">
        <v>5352</v>
      </c>
      <c r="B2195" t="s">
        <v>2625</v>
      </c>
      <c r="C2195">
        <v>5697</v>
      </c>
      <c r="D2195" t="s">
        <v>2344</v>
      </c>
      <c r="E2195" t="s">
        <v>2036</v>
      </c>
      <c r="F2195">
        <v>202202</v>
      </c>
      <c r="G2195" t="s">
        <v>176</v>
      </c>
      <c r="H2195">
        <v>-5549.94</v>
      </c>
    </row>
    <row r="2196" spans="1:8">
      <c r="A2196">
        <v>5352</v>
      </c>
      <c r="B2196" t="s">
        <v>2625</v>
      </c>
      <c r="C2196">
        <v>5697</v>
      </c>
      <c r="D2196" t="s">
        <v>2344</v>
      </c>
      <c r="E2196" t="s">
        <v>2036</v>
      </c>
      <c r="F2196">
        <v>202202</v>
      </c>
      <c r="G2196" t="s">
        <v>178</v>
      </c>
      <c r="H2196">
        <v>600</v>
      </c>
    </row>
    <row r="2197" spans="1:8">
      <c r="A2197">
        <v>5352</v>
      </c>
      <c r="B2197" t="s">
        <v>2625</v>
      </c>
      <c r="C2197">
        <v>5697</v>
      </c>
      <c r="D2197" t="s">
        <v>2344</v>
      </c>
      <c r="E2197" t="s">
        <v>2036</v>
      </c>
      <c r="F2197">
        <v>202202</v>
      </c>
      <c r="G2197" t="s">
        <v>180</v>
      </c>
      <c r="H2197">
        <v>600</v>
      </c>
    </row>
    <row r="2198" spans="1:8">
      <c r="A2198">
        <v>5352</v>
      </c>
      <c r="B2198" t="s">
        <v>2625</v>
      </c>
      <c r="C2198">
        <v>5697</v>
      </c>
      <c r="D2198" t="s">
        <v>2344</v>
      </c>
      <c r="E2198" t="s">
        <v>2036</v>
      </c>
      <c r="F2198">
        <v>202202</v>
      </c>
      <c r="G2198" t="s">
        <v>182</v>
      </c>
      <c r="H2198">
        <v>143290</v>
      </c>
    </row>
    <row r="2199" spans="1:8">
      <c r="A2199">
        <v>5352</v>
      </c>
      <c r="B2199" t="s">
        <v>2625</v>
      </c>
      <c r="C2199">
        <v>5697</v>
      </c>
      <c r="D2199" t="s">
        <v>2344</v>
      </c>
      <c r="E2199" t="s">
        <v>2036</v>
      </c>
      <c r="F2199">
        <v>202202</v>
      </c>
      <c r="G2199" t="s">
        <v>184</v>
      </c>
      <c r="H2199">
        <v>19314</v>
      </c>
    </row>
    <row r="2200" spans="1:8">
      <c r="A2200">
        <v>5352</v>
      </c>
      <c r="B2200" t="s">
        <v>2625</v>
      </c>
      <c r="C2200">
        <v>5697</v>
      </c>
      <c r="D2200" t="s">
        <v>2344</v>
      </c>
      <c r="E2200" t="s">
        <v>2036</v>
      </c>
      <c r="F2200">
        <v>202202</v>
      </c>
      <c r="G2200" t="s">
        <v>192</v>
      </c>
      <c r="H2200">
        <v>0</v>
      </c>
    </row>
    <row r="2201" spans="1:8">
      <c r="A2201">
        <v>5352</v>
      </c>
      <c r="B2201" t="s">
        <v>2625</v>
      </c>
      <c r="C2201">
        <v>5697</v>
      </c>
      <c r="D2201" t="s">
        <v>2344</v>
      </c>
      <c r="E2201" t="s">
        <v>2036</v>
      </c>
      <c r="F2201">
        <v>202202</v>
      </c>
      <c r="G2201" t="s">
        <v>2170</v>
      </c>
      <c r="H2201">
        <v>2575.0500000000002</v>
      </c>
    </row>
    <row r="2202" spans="1:8">
      <c r="A2202">
        <v>5352</v>
      </c>
      <c r="B2202" t="s">
        <v>2625</v>
      </c>
      <c r="C2202">
        <v>5697</v>
      </c>
      <c r="D2202" t="s">
        <v>2344</v>
      </c>
      <c r="E2202" t="s">
        <v>2036</v>
      </c>
      <c r="F2202">
        <v>202202</v>
      </c>
      <c r="G2202" t="s">
        <v>186</v>
      </c>
      <c r="H2202">
        <v>0</v>
      </c>
    </row>
    <row r="2203" spans="1:8">
      <c r="A2203">
        <v>5352</v>
      </c>
      <c r="B2203" t="s">
        <v>2625</v>
      </c>
      <c r="C2203">
        <v>5697</v>
      </c>
      <c r="D2203" t="s">
        <v>2344</v>
      </c>
      <c r="E2203" t="s">
        <v>2036</v>
      </c>
      <c r="F2203">
        <v>202202</v>
      </c>
      <c r="G2203" t="s">
        <v>2169</v>
      </c>
      <c r="H2203">
        <v>182.65</v>
      </c>
    </row>
    <row r="2204" spans="1:8">
      <c r="A2204">
        <v>5352</v>
      </c>
      <c r="B2204" t="s">
        <v>2625</v>
      </c>
      <c r="C2204">
        <v>5697</v>
      </c>
      <c r="D2204" t="s">
        <v>2344</v>
      </c>
      <c r="E2204" t="s">
        <v>2036</v>
      </c>
      <c r="F2204">
        <v>202202</v>
      </c>
      <c r="G2204" t="s">
        <v>2166</v>
      </c>
      <c r="H2204">
        <v>11.83</v>
      </c>
    </row>
    <row r="2205" spans="1:8">
      <c r="A2205">
        <v>5352</v>
      </c>
      <c r="B2205" t="s">
        <v>2625</v>
      </c>
      <c r="C2205">
        <v>5697</v>
      </c>
      <c r="D2205" t="s">
        <v>2344</v>
      </c>
      <c r="E2205" t="s">
        <v>2036</v>
      </c>
      <c r="F2205">
        <v>202202</v>
      </c>
      <c r="G2205" t="s">
        <v>2167</v>
      </c>
      <c r="H2205">
        <v>21.22</v>
      </c>
    </row>
    <row r="2206" spans="1:8">
      <c r="A2206">
        <v>5352</v>
      </c>
      <c r="B2206" t="s">
        <v>2625</v>
      </c>
      <c r="C2206">
        <v>5697</v>
      </c>
      <c r="D2206" t="s">
        <v>2344</v>
      </c>
      <c r="E2206" t="s">
        <v>2036</v>
      </c>
      <c r="F2206">
        <v>202202</v>
      </c>
      <c r="G2206" t="s">
        <v>2168</v>
      </c>
      <c r="H2206">
        <v>14.37</v>
      </c>
    </row>
    <row r="2207" spans="1:8">
      <c r="A2207">
        <v>5352</v>
      </c>
      <c r="B2207" t="s">
        <v>2625</v>
      </c>
      <c r="C2207">
        <v>5697</v>
      </c>
      <c r="D2207" t="s">
        <v>2344</v>
      </c>
      <c r="E2207" t="s">
        <v>2036</v>
      </c>
      <c r="F2207">
        <v>202202</v>
      </c>
      <c r="G2207" t="s">
        <v>2171</v>
      </c>
      <c r="H2207">
        <v>48891.54</v>
      </c>
    </row>
    <row r="2208" spans="1:8">
      <c r="A2208">
        <v>5352</v>
      </c>
      <c r="B2208" t="s">
        <v>2625</v>
      </c>
      <c r="C2208">
        <v>5697</v>
      </c>
      <c r="D2208" t="s">
        <v>2344</v>
      </c>
      <c r="E2208" t="s">
        <v>2036</v>
      </c>
      <c r="F2208">
        <v>202202</v>
      </c>
      <c r="G2208" t="s">
        <v>190</v>
      </c>
      <c r="H2208">
        <v>165640</v>
      </c>
    </row>
    <row r="2209" spans="1:8">
      <c r="A2209">
        <v>5352</v>
      </c>
      <c r="B2209" t="s">
        <v>2625</v>
      </c>
      <c r="C2209">
        <v>5697</v>
      </c>
      <c r="D2209" t="s">
        <v>2344</v>
      </c>
      <c r="E2209" t="s">
        <v>2036</v>
      </c>
      <c r="F2209">
        <v>202202</v>
      </c>
      <c r="G2209" t="s">
        <v>191</v>
      </c>
      <c r="H2209">
        <v>19477</v>
      </c>
    </row>
    <row r="2210" spans="1:8">
      <c r="A2210">
        <v>5352</v>
      </c>
      <c r="B2210" t="s">
        <v>2625</v>
      </c>
      <c r="C2210">
        <v>5697</v>
      </c>
      <c r="D2210" t="s">
        <v>2344</v>
      </c>
      <c r="E2210" t="s">
        <v>2036</v>
      </c>
      <c r="F2210">
        <v>202202</v>
      </c>
      <c r="G2210" t="s">
        <v>176</v>
      </c>
      <c r="H2210">
        <v>-3393.14</v>
      </c>
    </row>
    <row r="2211" spans="1:8">
      <c r="A2211">
        <v>5352</v>
      </c>
      <c r="B2211" t="s">
        <v>2625</v>
      </c>
      <c r="C2211">
        <v>5697</v>
      </c>
      <c r="D2211" t="s">
        <v>2344</v>
      </c>
      <c r="E2211" t="s">
        <v>2036</v>
      </c>
      <c r="F2211">
        <v>202202</v>
      </c>
      <c r="G2211" t="s">
        <v>178</v>
      </c>
      <c r="H2211">
        <v>450</v>
      </c>
    </row>
    <row r="2212" spans="1:8">
      <c r="A2212">
        <v>5352</v>
      </c>
      <c r="B2212" t="s">
        <v>2625</v>
      </c>
      <c r="C2212">
        <v>5697</v>
      </c>
      <c r="D2212" t="s">
        <v>2344</v>
      </c>
      <c r="E2212" t="s">
        <v>2036</v>
      </c>
      <c r="F2212">
        <v>202202</v>
      </c>
      <c r="G2212" t="s">
        <v>180</v>
      </c>
      <c r="H2212">
        <v>450</v>
      </c>
    </row>
    <row r="2213" spans="1:8">
      <c r="A2213">
        <v>5352</v>
      </c>
      <c r="B2213" t="s">
        <v>2625</v>
      </c>
      <c r="C2213">
        <v>5697</v>
      </c>
      <c r="D2213" t="s">
        <v>2344</v>
      </c>
      <c r="E2213" t="s">
        <v>2036</v>
      </c>
      <c r="F2213">
        <v>202202</v>
      </c>
      <c r="G2213" t="s">
        <v>182</v>
      </c>
      <c r="H2213">
        <v>165640</v>
      </c>
    </row>
    <row r="2214" spans="1:8">
      <c r="A2214">
        <v>5352</v>
      </c>
      <c r="B2214" t="s">
        <v>2625</v>
      </c>
      <c r="C2214">
        <v>5697</v>
      </c>
      <c r="D2214" t="s">
        <v>2344</v>
      </c>
      <c r="E2214" t="s">
        <v>2036</v>
      </c>
      <c r="F2214">
        <v>202202</v>
      </c>
      <c r="G2214" t="s">
        <v>184</v>
      </c>
      <c r="H2214">
        <v>19477</v>
      </c>
    </row>
    <row r="2215" spans="1:8">
      <c r="A2215">
        <v>5352</v>
      </c>
      <c r="B2215" t="s">
        <v>2625</v>
      </c>
      <c r="C2215">
        <v>5697</v>
      </c>
      <c r="D2215" t="s">
        <v>2344</v>
      </c>
      <c r="E2215" t="s">
        <v>2036</v>
      </c>
      <c r="F2215">
        <v>202202</v>
      </c>
      <c r="G2215" t="s">
        <v>192</v>
      </c>
      <c r="H2215">
        <v>0</v>
      </c>
    </row>
    <row r="2216" spans="1:8">
      <c r="A2216">
        <v>5352</v>
      </c>
      <c r="B2216" t="s">
        <v>2625</v>
      </c>
      <c r="C2216">
        <v>5697</v>
      </c>
      <c r="D2216" t="s">
        <v>2344</v>
      </c>
      <c r="E2216" t="s">
        <v>2036</v>
      </c>
      <c r="F2216">
        <v>202202</v>
      </c>
      <c r="G2216" t="s">
        <v>2170</v>
      </c>
      <c r="H2216">
        <v>2549.1799999999998</v>
      </c>
    </row>
    <row r="2217" spans="1:8">
      <c r="A2217">
        <v>5352</v>
      </c>
      <c r="B2217" t="s">
        <v>2625</v>
      </c>
      <c r="C2217">
        <v>5697</v>
      </c>
      <c r="D2217" t="s">
        <v>2344</v>
      </c>
      <c r="E2217" t="s">
        <v>2036</v>
      </c>
      <c r="F2217">
        <v>202202</v>
      </c>
      <c r="G2217" t="s">
        <v>186</v>
      </c>
      <c r="H2217">
        <v>0</v>
      </c>
    </row>
    <row r="2218" spans="1:8">
      <c r="A2218">
        <v>5352</v>
      </c>
      <c r="B2218" t="s">
        <v>2625</v>
      </c>
      <c r="C2218">
        <v>5697</v>
      </c>
      <c r="D2218" t="s">
        <v>2344</v>
      </c>
      <c r="E2218" t="s">
        <v>2036</v>
      </c>
      <c r="F2218">
        <v>202202</v>
      </c>
      <c r="G2218" t="s">
        <v>2169</v>
      </c>
      <c r="H2218">
        <v>182.65</v>
      </c>
    </row>
    <row r="2219" spans="1:8">
      <c r="A2219">
        <v>5352</v>
      </c>
      <c r="B2219" t="s">
        <v>2625</v>
      </c>
      <c r="C2219">
        <v>5697</v>
      </c>
      <c r="D2219" t="s">
        <v>2344</v>
      </c>
      <c r="E2219" t="s">
        <v>2036</v>
      </c>
      <c r="F2219">
        <v>202202</v>
      </c>
      <c r="G2219" t="s">
        <v>2166</v>
      </c>
      <c r="H2219">
        <v>11.83</v>
      </c>
    </row>
    <row r="2220" spans="1:8">
      <c r="A2220">
        <v>5352</v>
      </c>
      <c r="B2220" t="s">
        <v>2625</v>
      </c>
      <c r="C2220">
        <v>5697</v>
      </c>
      <c r="D2220" t="s">
        <v>2344</v>
      </c>
      <c r="E2220" t="s">
        <v>2036</v>
      </c>
      <c r="F2220">
        <v>202202</v>
      </c>
      <c r="G2220" t="s">
        <v>2167</v>
      </c>
      <c r="H2220">
        <v>21.22</v>
      </c>
    </row>
    <row r="2221" spans="1:8">
      <c r="A2221">
        <v>5352</v>
      </c>
      <c r="B2221" t="s">
        <v>2625</v>
      </c>
      <c r="C2221">
        <v>5697</v>
      </c>
      <c r="D2221" t="s">
        <v>2344</v>
      </c>
      <c r="E2221" t="s">
        <v>2036</v>
      </c>
      <c r="F2221">
        <v>202202</v>
      </c>
      <c r="G2221" t="s">
        <v>2168</v>
      </c>
      <c r="H2221">
        <v>14.37</v>
      </c>
    </row>
    <row r="2222" spans="1:8">
      <c r="A2222">
        <v>5352</v>
      </c>
      <c r="B2222" t="s">
        <v>2625</v>
      </c>
      <c r="C2222">
        <v>5697</v>
      </c>
      <c r="D2222" t="s">
        <v>2344</v>
      </c>
      <c r="E2222" t="s">
        <v>2036</v>
      </c>
      <c r="F2222">
        <v>202202</v>
      </c>
      <c r="G2222" t="s">
        <v>2171</v>
      </c>
      <c r="H2222">
        <v>50500.27</v>
      </c>
    </row>
    <row r="2223" spans="1:8">
      <c r="A2223">
        <v>5352</v>
      </c>
      <c r="B2223" t="s">
        <v>2625</v>
      </c>
      <c r="C2223">
        <v>5697</v>
      </c>
      <c r="D2223" t="s">
        <v>2344</v>
      </c>
      <c r="E2223" t="s">
        <v>2036</v>
      </c>
      <c r="F2223">
        <v>202202</v>
      </c>
      <c r="G2223" t="s">
        <v>190</v>
      </c>
      <c r="H2223">
        <v>308680</v>
      </c>
    </row>
    <row r="2224" spans="1:8">
      <c r="A2224">
        <v>5352</v>
      </c>
      <c r="B2224" t="s">
        <v>2625</v>
      </c>
      <c r="C2224">
        <v>5697</v>
      </c>
      <c r="D2224" t="s">
        <v>2344</v>
      </c>
      <c r="E2224" t="s">
        <v>2036</v>
      </c>
      <c r="F2224">
        <v>202202</v>
      </c>
      <c r="G2224" t="s">
        <v>191</v>
      </c>
      <c r="H2224">
        <v>36509</v>
      </c>
    </row>
    <row r="2225" spans="1:8">
      <c r="A2225">
        <v>5352</v>
      </c>
      <c r="B2225" t="s">
        <v>2625</v>
      </c>
      <c r="C2225">
        <v>5697</v>
      </c>
      <c r="D2225" t="s">
        <v>2344</v>
      </c>
      <c r="E2225" t="s">
        <v>2036</v>
      </c>
      <c r="F2225">
        <v>202202</v>
      </c>
      <c r="G2225" t="s">
        <v>176</v>
      </c>
      <c r="H2225">
        <v>-7889.57</v>
      </c>
    </row>
    <row r="2226" spans="1:8">
      <c r="A2226">
        <v>5352</v>
      </c>
      <c r="B2226" t="s">
        <v>2625</v>
      </c>
      <c r="C2226">
        <v>5697</v>
      </c>
      <c r="D2226" t="s">
        <v>2344</v>
      </c>
      <c r="E2226" t="s">
        <v>2036</v>
      </c>
      <c r="F2226">
        <v>202202</v>
      </c>
      <c r="G2226" t="s">
        <v>178</v>
      </c>
      <c r="H2226">
        <v>820</v>
      </c>
    </row>
    <row r="2227" spans="1:8">
      <c r="A2227">
        <v>5352</v>
      </c>
      <c r="B2227" t="s">
        <v>2625</v>
      </c>
      <c r="C2227">
        <v>5697</v>
      </c>
      <c r="D2227" t="s">
        <v>2344</v>
      </c>
      <c r="E2227" t="s">
        <v>2036</v>
      </c>
      <c r="F2227">
        <v>202202</v>
      </c>
      <c r="G2227" t="s">
        <v>180</v>
      </c>
      <c r="H2227">
        <v>820</v>
      </c>
    </row>
    <row r="2228" spans="1:8">
      <c r="A2228">
        <v>5352</v>
      </c>
      <c r="B2228" t="s">
        <v>2625</v>
      </c>
      <c r="C2228">
        <v>5697</v>
      </c>
      <c r="D2228" t="s">
        <v>2344</v>
      </c>
      <c r="E2228" t="s">
        <v>2036</v>
      </c>
      <c r="F2228">
        <v>202202</v>
      </c>
      <c r="G2228" t="s">
        <v>182</v>
      </c>
      <c r="H2228">
        <v>308680</v>
      </c>
    </row>
    <row r="2229" spans="1:8">
      <c r="A2229">
        <v>5352</v>
      </c>
      <c r="B2229" t="s">
        <v>2625</v>
      </c>
      <c r="C2229">
        <v>5697</v>
      </c>
      <c r="D2229" t="s">
        <v>2344</v>
      </c>
      <c r="E2229" t="s">
        <v>2036</v>
      </c>
      <c r="F2229">
        <v>202202</v>
      </c>
      <c r="G2229" t="s">
        <v>184</v>
      </c>
      <c r="H2229">
        <v>36509</v>
      </c>
    </row>
    <row r="2230" spans="1:8">
      <c r="A2230">
        <v>5352</v>
      </c>
      <c r="B2230" t="s">
        <v>2625</v>
      </c>
      <c r="C2230">
        <v>5697</v>
      </c>
      <c r="D2230" t="s">
        <v>2344</v>
      </c>
      <c r="E2230" t="s">
        <v>2036</v>
      </c>
      <c r="F2230">
        <v>202202</v>
      </c>
      <c r="G2230" t="s">
        <v>192</v>
      </c>
      <c r="H2230">
        <v>0</v>
      </c>
    </row>
    <row r="2231" spans="1:8">
      <c r="A2231">
        <v>5352</v>
      </c>
      <c r="B2231" t="s">
        <v>2625</v>
      </c>
      <c r="C2231">
        <v>5697</v>
      </c>
      <c r="D2231" t="s">
        <v>2344</v>
      </c>
      <c r="E2231" t="s">
        <v>2036</v>
      </c>
      <c r="F2231">
        <v>202202</v>
      </c>
      <c r="G2231" t="s">
        <v>2170</v>
      </c>
      <c r="H2231">
        <v>4722.08</v>
      </c>
    </row>
    <row r="2232" spans="1:8">
      <c r="A2232">
        <v>5352</v>
      </c>
      <c r="B2232" t="s">
        <v>2625</v>
      </c>
      <c r="C2232">
        <v>5697</v>
      </c>
      <c r="D2232" t="s">
        <v>2344</v>
      </c>
      <c r="E2232" t="s">
        <v>2036</v>
      </c>
      <c r="F2232">
        <v>202202</v>
      </c>
      <c r="G2232" t="s">
        <v>186</v>
      </c>
      <c r="H2232">
        <v>0</v>
      </c>
    </row>
    <row r="2233" spans="1:8">
      <c r="A2233">
        <v>5352</v>
      </c>
      <c r="B2233" t="s">
        <v>2625</v>
      </c>
      <c r="C2233">
        <v>5697</v>
      </c>
      <c r="D2233" t="s">
        <v>2344</v>
      </c>
      <c r="E2233" t="s">
        <v>2036</v>
      </c>
      <c r="F2233">
        <v>202202</v>
      </c>
      <c r="G2233" t="s">
        <v>2169</v>
      </c>
      <c r="H2233">
        <v>182.65</v>
      </c>
    </row>
    <row r="2234" spans="1:8">
      <c r="A2234">
        <v>5352</v>
      </c>
      <c r="B2234" t="s">
        <v>2625</v>
      </c>
      <c r="C2234">
        <v>5697</v>
      </c>
      <c r="D2234" t="s">
        <v>2344</v>
      </c>
      <c r="E2234" t="s">
        <v>2036</v>
      </c>
      <c r="F2234">
        <v>202202</v>
      </c>
      <c r="G2234" t="s">
        <v>2166</v>
      </c>
      <c r="H2234">
        <v>11.83</v>
      </c>
    </row>
    <row r="2235" spans="1:8">
      <c r="A2235">
        <v>5352</v>
      </c>
      <c r="B2235" t="s">
        <v>2625</v>
      </c>
      <c r="C2235">
        <v>5697</v>
      </c>
      <c r="D2235" t="s">
        <v>2344</v>
      </c>
      <c r="E2235" t="s">
        <v>2036</v>
      </c>
      <c r="F2235">
        <v>202202</v>
      </c>
      <c r="G2235" t="s">
        <v>2167</v>
      </c>
      <c r="H2235">
        <v>21.22</v>
      </c>
    </row>
    <row r="2236" spans="1:8">
      <c r="A2236">
        <v>5352</v>
      </c>
      <c r="B2236" t="s">
        <v>2625</v>
      </c>
      <c r="C2236">
        <v>5697</v>
      </c>
      <c r="D2236" t="s">
        <v>2344</v>
      </c>
      <c r="E2236" t="s">
        <v>2036</v>
      </c>
      <c r="F2236">
        <v>202202</v>
      </c>
      <c r="G2236" t="s">
        <v>2168</v>
      </c>
      <c r="H2236">
        <v>14.37</v>
      </c>
    </row>
    <row r="2237" spans="1:8">
      <c r="A2237">
        <v>5352</v>
      </c>
      <c r="B2237" t="s">
        <v>2625</v>
      </c>
      <c r="C2237">
        <v>5697</v>
      </c>
      <c r="D2237" t="s">
        <v>2344</v>
      </c>
      <c r="E2237" t="s">
        <v>2036</v>
      </c>
      <c r="F2237">
        <v>202202</v>
      </c>
      <c r="G2237" t="s">
        <v>2171</v>
      </c>
      <c r="H2237">
        <v>91942.63</v>
      </c>
    </row>
    <row r="2238" spans="1:8">
      <c r="A2238">
        <v>5352</v>
      </c>
      <c r="B2238" t="s">
        <v>2625</v>
      </c>
      <c r="C2238">
        <v>5697</v>
      </c>
      <c r="D2238" t="s">
        <v>2344</v>
      </c>
      <c r="E2238" t="s">
        <v>2036</v>
      </c>
      <c r="F2238">
        <v>202202</v>
      </c>
      <c r="G2238" t="s">
        <v>190</v>
      </c>
      <c r="H2238">
        <v>508655</v>
      </c>
    </row>
    <row r="2239" spans="1:8">
      <c r="A2239">
        <v>5352</v>
      </c>
      <c r="B2239" t="s">
        <v>2625</v>
      </c>
      <c r="C2239">
        <v>5697</v>
      </c>
      <c r="D2239" t="s">
        <v>2344</v>
      </c>
      <c r="E2239" t="s">
        <v>2036</v>
      </c>
      <c r="F2239">
        <v>202202</v>
      </c>
      <c r="G2239" t="s">
        <v>191</v>
      </c>
      <c r="H2239">
        <v>59061</v>
      </c>
    </row>
    <row r="2240" spans="1:8">
      <c r="A2240">
        <v>5352</v>
      </c>
      <c r="B2240" t="s">
        <v>2625</v>
      </c>
      <c r="C2240">
        <v>5697</v>
      </c>
      <c r="D2240" t="s">
        <v>2344</v>
      </c>
      <c r="E2240" t="s">
        <v>2036</v>
      </c>
      <c r="F2240">
        <v>202202</v>
      </c>
      <c r="G2240" t="s">
        <v>176</v>
      </c>
      <c r="H2240">
        <v>0</v>
      </c>
    </row>
    <row r="2241" spans="1:8">
      <c r="A2241">
        <v>5352</v>
      </c>
      <c r="B2241" t="s">
        <v>2625</v>
      </c>
      <c r="C2241">
        <v>5697</v>
      </c>
      <c r="D2241" t="s">
        <v>2344</v>
      </c>
      <c r="E2241" t="s">
        <v>2036</v>
      </c>
      <c r="F2241">
        <v>202202</v>
      </c>
      <c r="G2241" t="s">
        <v>178</v>
      </c>
      <c r="H2241">
        <v>1300</v>
      </c>
    </row>
    <row r="2242" spans="1:8">
      <c r="A2242">
        <v>5352</v>
      </c>
      <c r="B2242" t="s">
        <v>2625</v>
      </c>
      <c r="C2242">
        <v>5697</v>
      </c>
      <c r="D2242" t="s">
        <v>2344</v>
      </c>
      <c r="E2242" t="s">
        <v>2036</v>
      </c>
      <c r="F2242">
        <v>202202</v>
      </c>
      <c r="G2242" t="s">
        <v>180</v>
      </c>
      <c r="H2242">
        <v>1350</v>
      </c>
    </row>
    <row r="2243" spans="1:8">
      <c r="A2243">
        <v>5352</v>
      </c>
      <c r="B2243" t="s">
        <v>2625</v>
      </c>
      <c r="C2243">
        <v>5697</v>
      </c>
      <c r="D2243" t="s">
        <v>2344</v>
      </c>
      <c r="E2243" t="s">
        <v>2036</v>
      </c>
      <c r="F2243">
        <v>202202</v>
      </c>
      <c r="G2243" t="s">
        <v>182</v>
      </c>
      <c r="H2243">
        <v>508655</v>
      </c>
    </row>
    <row r="2244" spans="1:8">
      <c r="A2244">
        <v>5352</v>
      </c>
      <c r="B2244" t="s">
        <v>2625</v>
      </c>
      <c r="C2244">
        <v>5697</v>
      </c>
      <c r="D2244" t="s">
        <v>2344</v>
      </c>
      <c r="E2244" t="s">
        <v>2036</v>
      </c>
      <c r="F2244">
        <v>202202</v>
      </c>
      <c r="G2244" t="s">
        <v>184</v>
      </c>
      <c r="H2244">
        <v>59061</v>
      </c>
    </row>
    <row r="2245" spans="1:8">
      <c r="A2245">
        <v>5352</v>
      </c>
      <c r="B2245" t="s">
        <v>2625</v>
      </c>
      <c r="C2245">
        <v>5697</v>
      </c>
      <c r="D2245" t="s">
        <v>2344</v>
      </c>
      <c r="E2245" t="s">
        <v>2036</v>
      </c>
      <c r="F2245">
        <v>202202</v>
      </c>
      <c r="G2245" t="s">
        <v>192</v>
      </c>
      <c r="H2245">
        <v>0</v>
      </c>
    </row>
    <row r="2246" spans="1:8">
      <c r="A2246">
        <v>5352</v>
      </c>
      <c r="B2246" t="s">
        <v>2625</v>
      </c>
      <c r="C2246">
        <v>5697</v>
      </c>
      <c r="D2246" t="s">
        <v>2344</v>
      </c>
      <c r="E2246" t="s">
        <v>2036</v>
      </c>
      <c r="F2246">
        <v>202202</v>
      </c>
      <c r="G2246" t="s">
        <v>2170</v>
      </c>
      <c r="H2246">
        <v>7739.04</v>
      </c>
    </row>
    <row r="2247" spans="1:8">
      <c r="A2247">
        <v>5352</v>
      </c>
      <c r="B2247" t="s">
        <v>2625</v>
      </c>
      <c r="C2247">
        <v>5697</v>
      </c>
      <c r="D2247" t="s">
        <v>2344</v>
      </c>
      <c r="E2247" t="s">
        <v>2036</v>
      </c>
      <c r="F2247">
        <v>202202</v>
      </c>
      <c r="G2247" t="s">
        <v>186</v>
      </c>
      <c r="H2247">
        <v>0</v>
      </c>
    </row>
    <row r="2248" spans="1:8">
      <c r="A2248">
        <v>5352</v>
      </c>
      <c r="B2248" t="s">
        <v>2625</v>
      </c>
      <c r="C2248">
        <v>5697</v>
      </c>
      <c r="D2248" t="s">
        <v>2344</v>
      </c>
      <c r="E2248" t="s">
        <v>2036</v>
      </c>
      <c r="F2248">
        <v>202202</v>
      </c>
      <c r="G2248" t="s">
        <v>2169</v>
      </c>
      <c r="H2248">
        <v>182.65</v>
      </c>
    </row>
    <row r="2249" spans="1:8">
      <c r="A2249">
        <v>5352</v>
      </c>
      <c r="B2249" t="s">
        <v>2625</v>
      </c>
      <c r="C2249">
        <v>5697</v>
      </c>
      <c r="D2249" t="s">
        <v>2344</v>
      </c>
      <c r="E2249" t="s">
        <v>2036</v>
      </c>
      <c r="F2249">
        <v>202202</v>
      </c>
      <c r="G2249" t="s">
        <v>2166</v>
      </c>
      <c r="H2249">
        <v>11.83</v>
      </c>
    </row>
    <row r="2250" spans="1:8">
      <c r="A2250">
        <v>5352</v>
      </c>
      <c r="B2250" t="s">
        <v>2625</v>
      </c>
      <c r="C2250">
        <v>5697</v>
      </c>
      <c r="D2250" t="s">
        <v>2344</v>
      </c>
      <c r="E2250" t="s">
        <v>2036</v>
      </c>
      <c r="F2250">
        <v>202202</v>
      </c>
      <c r="G2250" t="s">
        <v>2167</v>
      </c>
      <c r="H2250">
        <v>21.22</v>
      </c>
    </row>
    <row r="2251" spans="1:8">
      <c r="A2251">
        <v>5352</v>
      </c>
      <c r="B2251" t="s">
        <v>2625</v>
      </c>
      <c r="C2251">
        <v>5697</v>
      </c>
      <c r="D2251" t="s">
        <v>2344</v>
      </c>
      <c r="E2251" t="s">
        <v>2036</v>
      </c>
      <c r="F2251">
        <v>202202</v>
      </c>
      <c r="G2251" t="s">
        <v>2168</v>
      </c>
      <c r="H2251">
        <v>14.37</v>
      </c>
    </row>
    <row r="2252" spans="1:8">
      <c r="A2252">
        <v>5352</v>
      </c>
      <c r="B2252" t="s">
        <v>2625</v>
      </c>
      <c r="C2252">
        <v>5697</v>
      </c>
      <c r="D2252" t="s">
        <v>2344</v>
      </c>
      <c r="E2252" t="s">
        <v>2036</v>
      </c>
      <c r="F2252">
        <v>202202</v>
      </c>
      <c r="G2252" t="s">
        <v>2171</v>
      </c>
      <c r="H2252">
        <v>163616.43</v>
      </c>
    </row>
    <row r="2253" spans="1:8">
      <c r="A2253">
        <v>5352</v>
      </c>
      <c r="B2253" t="s">
        <v>2625</v>
      </c>
      <c r="C2253">
        <v>5697</v>
      </c>
      <c r="D2253" t="s">
        <v>2344</v>
      </c>
      <c r="E2253" t="s">
        <v>2036</v>
      </c>
      <c r="F2253">
        <v>202202</v>
      </c>
      <c r="G2253" t="s">
        <v>190</v>
      </c>
      <c r="H2253">
        <v>304240</v>
      </c>
    </row>
    <row r="2254" spans="1:8">
      <c r="A2254">
        <v>5352</v>
      </c>
      <c r="B2254" t="s">
        <v>2625</v>
      </c>
      <c r="C2254">
        <v>5697</v>
      </c>
      <c r="D2254" t="s">
        <v>2344</v>
      </c>
      <c r="E2254" t="s">
        <v>2036</v>
      </c>
      <c r="F2254">
        <v>202202</v>
      </c>
      <c r="G2254" t="s">
        <v>191</v>
      </c>
      <c r="H2254">
        <v>40599</v>
      </c>
    </row>
    <row r="2255" spans="1:8">
      <c r="A2255">
        <v>5352</v>
      </c>
      <c r="B2255" t="s">
        <v>2625</v>
      </c>
      <c r="C2255">
        <v>5697</v>
      </c>
      <c r="D2255" t="s">
        <v>2344</v>
      </c>
      <c r="E2255" t="s">
        <v>2036</v>
      </c>
      <c r="F2255">
        <v>202202</v>
      </c>
      <c r="G2255" t="s">
        <v>176</v>
      </c>
      <c r="H2255">
        <v>-5012.62</v>
      </c>
    </row>
    <row r="2256" spans="1:8">
      <c r="A2256">
        <v>5352</v>
      </c>
      <c r="B2256" t="s">
        <v>2625</v>
      </c>
      <c r="C2256">
        <v>5697</v>
      </c>
      <c r="D2256" t="s">
        <v>2344</v>
      </c>
      <c r="E2256" t="s">
        <v>2036</v>
      </c>
      <c r="F2256">
        <v>202202</v>
      </c>
      <c r="G2256" t="s">
        <v>178</v>
      </c>
      <c r="H2256">
        <v>810</v>
      </c>
    </row>
    <row r="2257" spans="1:8">
      <c r="A2257">
        <v>5352</v>
      </c>
      <c r="B2257" t="s">
        <v>2625</v>
      </c>
      <c r="C2257">
        <v>5697</v>
      </c>
      <c r="D2257" t="s">
        <v>2344</v>
      </c>
      <c r="E2257" t="s">
        <v>2036</v>
      </c>
      <c r="F2257">
        <v>202202</v>
      </c>
      <c r="G2257" t="s">
        <v>180</v>
      </c>
      <c r="H2257">
        <v>930</v>
      </c>
    </row>
    <row r="2258" spans="1:8">
      <c r="A2258">
        <v>5352</v>
      </c>
      <c r="B2258" t="s">
        <v>2625</v>
      </c>
      <c r="C2258">
        <v>5697</v>
      </c>
      <c r="D2258" t="s">
        <v>2344</v>
      </c>
      <c r="E2258" t="s">
        <v>2036</v>
      </c>
      <c r="F2258">
        <v>202202</v>
      </c>
      <c r="G2258" t="s">
        <v>182</v>
      </c>
      <c r="H2258">
        <v>304240</v>
      </c>
    </row>
    <row r="2259" spans="1:8">
      <c r="A2259">
        <v>5352</v>
      </c>
      <c r="B2259" t="s">
        <v>2625</v>
      </c>
      <c r="C2259">
        <v>5697</v>
      </c>
      <c r="D2259" t="s">
        <v>2344</v>
      </c>
      <c r="E2259" t="s">
        <v>2036</v>
      </c>
      <c r="F2259">
        <v>202202</v>
      </c>
      <c r="G2259" t="s">
        <v>184</v>
      </c>
      <c r="H2259">
        <v>40599</v>
      </c>
    </row>
    <row r="2260" spans="1:8">
      <c r="A2260">
        <v>5352</v>
      </c>
      <c r="B2260" t="s">
        <v>2625</v>
      </c>
      <c r="C2260">
        <v>5697</v>
      </c>
      <c r="D2260" t="s">
        <v>2344</v>
      </c>
      <c r="E2260" t="s">
        <v>2036</v>
      </c>
      <c r="F2260">
        <v>202202</v>
      </c>
      <c r="G2260" t="s">
        <v>192</v>
      </c>
      <c r="H2260">
        <v>0</v>
      </c>
    </row>
    <row r="2261" spans="1:8">
      <c r="A2261">
        <v>5352</v>
      </c>
      <c r="B2261" t="s">
        <v>2625</v>
      </c>
      <c r="C2261">
        <v>5697</v>
      </c>
      <c r="D2261" t="s">
        <v>2344</v>
      </c>
      <c r="E2261" t="s">
        <v>2036</v>
      </c>
      <c r="F2261">
        <v>202202</v>
      </c>
      <c r="G2261" t="s">
        <v>2170</v>
      </c>
      <c r="H2261">
        <v>4828.6499999999996</v>
      </c>
    </row>
    <row r="2262" spans="1:8">
      <c r="A2262">
        <v>5352</v>
      </c>
      <c r="B2262" t="s">
        <v>2625</v>
      </c>
      <c r="C2262">
        <v>5697</v>
      </c>
      <c r="D2262" t="s">
        <v>2344</v>
      </c>
      <c r="E2262" t="s">
        <v>2036</v>
      </c>
      <c r="F2262">
        <v>202202</v>
      </c>
      <c r="G2262" t="s">
        <v>186</v>
      </c>
      <c r="H2262">
        <v>0</v>
      </c>
    </row>
    <row r="2263" spans="1:8">
      <c r="A2263">
        <v>5352</v>
      </c>
      <c r="B2263" t="s">
        <v>2625</v>
      </c>
      <c r="C2263">
        <v>5697</v>
      </c>
      <c r="D2263" t="s">
        <v>2344</v>
      </c>
      <c r="E2263" t="s">
        <v>2036</v>
      </c>
      <c r="F2263">
        <v>202202</v>
      </c>
      <c r="G2263" t="s">
        <v>2169</v>
      </c>
      <c r="H2263">
        <v>182.65</v>
      </c>
    </row>
    <row r="2264" spans="1:8">
      <c r="A2264">
        <v>5352</v>
      </c>
      <c r="B2264" t="s">
        <v>2625</v>
      </c>
      <c r="C2264">
        <v>5697</v>
      </c>
      <c r="D2264" t="s">
        <v>2344</v>
      </c>
      <c r="E2264" t="s">
        <v>2036</v>
      </c>
      <c r="F2264">
        <v>202202</v>
      </c>
      <c r="G2264" t="s">
        <v>2166</v>
      </c>
      <c r="H2264">
        <v>11.83</v>
      </c>
    </row>
    <row r="2265" spans="1:8">
      <c r="A2265">
        <v>5352</v>
      </c>
      <c r="B2265" t="s">
        <v>2625</v>
      </c>
      <c r="C2265">
        <v>5697</v>
      </c>
      <c r="D2265" t="s">
        <v>2344</v>
      </c>
      <c r="E2265" t="s">
        <v>2036</v>
      </c>
      <c r="F2265">
        <v>202202</v>
      </c>
      <c r="G2265" t="s">
        <v>2167</v>
      </c>
      <c r="H2265">
        <v>21.22</v>
      </c>
    </row>
    <row r="2266" spans="1:8">
      <c r="A2266">
        <v>5352</v>
      </c>
      <c r="B2266" t="s">
        <v>2625</v>
      </c>
      <c r="C2266">
        <v>5697</v>
      </c>
      <c r="D2266" t="s">
        <v>2344</v>
      </c>
      <c r="E2266" t="s">
        <v>2036</v>
      </c>
      <c r="F2266">
        <v>202202</v>
      </c>
      <c r="G2266" t="s">
        <v>2168</v>
      </c>
      <c r="H2266">
        <v>14.37</v>
      </c>
    </row>
    <row r="2267" spans="1:8">
      <c r="A2267">
        <v>5352</v>
      </c>
      <c r="B2267" t="s">
        <v>2625</v>
      </c>
      <c r="C2267">
        <v>5697</v>
      </c>
      <c r="D2267" t="s">
        <v>2344</v>
      </c>
      <c r="E2267" t="s">
        <v>2036</v>
      </c>
      <c r="F2267">
        <v>202202</v>
      </c>
      <c r="G2267" t="s">
        <v>2171</v>
      </c>
      <c r="H2267">
        <v>97073.08</v>
      </c>
    </row>
    <row r="2268" spans="1:8">
      <c r="A2268">
        <v>5352</v>
      </c>
      <c r="B2268" t="s">
        <v>2625</v>
      </c>
      <c r="C2268">
        <v>5697</v>
      </c>
      <c r="D2268" t="s">
        <v>2344</v>
      </c>
      <c r="E2268" t="s">
        <v>2036</v>
      </c>
      <c r="F2268">
        <v>202202</v>
      </c>
      <c r="G2268" t="s">
        <v>190</v>
      </c>
      <c r="H2268">
        <v>72294</v>
      </c>
    </row>
    <row r="2269" spans="1:8">
      <c r="A2269">
        <v>5352</v>
      </c>
      <c r="B2269" t="s">
        <v>2625</v>
      </c>
      <c r="C2269">
        <v>5697</v>
      </c>
      <c r="D2269" t="s">
        <v>2344</v>
      </c>
      <c r="E2269" t="s">
        <v>2036</v>
      </c>
      <c r="F2269">
        <v>202202</v>
      </c>
      <c r="G2269" t="s">
        <v>191</v>
      </c>
      <c r="H2269">
        <v>9647</v>
      </c>
    </row>
    <row r="2270" spans="1:8">
      <c r="A2270">
        <v>5352</v>
      </c>
      <c r="B2270" t="s">
        <v>2625</v>
      </c>
      <c r="C2270">
        <v>5697</v>
      </c>
      <c r="D2270" t="s">
        <v>2344</v>
      </c>
      <c r="E2270" t="s">
        <v>2036</v>
      </c>
      <c r="F2270">
        <v>202202</v>
      </c>
      <c r="G2270" t="s">
        <v>176</v>
      </c>
      <c r="H2270">
        <v>-1416.27</v>
      </c>
    </row>
    <row r="2271" spans="1:8">
      <c r="A2271">
        <v>5352</v>
      </c>
      <c r="B2271" t="s">
        <v>2625</v>
      </c>
      <c r="C2271">
        <v>5697</v>
      </c>
      <c r="D2271" t="s">
        <v>2344</v>
      </c>
      <c r="E2271" t="s">
        <v>2036</v>
      </c>
      <c r="F2271">
        <v>202202</v>
      </c>
      <c r="G2271" t="s">
        <v>178</v>
      </c>
      <c r="H2271">
        <v>250</v>
      </c>
    </row>
    <row r="2272" spans="1:8">
      <c r="A2272">
        <v>5352</v>
      </c>
      <c r="B2272" t="s">
        <v>2625</v>
      </c>
      <c r="C2272">
        <v>5697</v>
      </c>
      <c r="D2272" t="s">
        <v>2344</v>
      </c>
      <c r="E2272" t="s">
        <v>2036</v>
      </c>
      <c r="F2272">
        <v>202202</v>
      </c>
      <c r="G2272" t="s">
        <v>180</v>
      </c>
      <c r="H2272">
        <v>250</v>
      </c>
    </row>
    <row r="2273" spans="1:8">
      <c r="A2273">
        <v>5352</v>
      </c>
      <c r="B2273" t="s">
        <v>2625</v>
      </c>
      <c r="C2273">
        <v>5697</v>
      </c>
      <c r="D2273" t="s">
        <v>2344</v>
      </c>
      <c r="E2273" t="s">
        <v>2036</v>
      </c>
      <c r="F2273">
        <v>202202</v>
      </c>
      <c r="G2273" t="s">
        <v>182</v>
      </c>
      <c r="H2273">
        <v>72294</v>
      </c>
    </row>
    <row r="2274" spans="1:8">
      <c r="A2274">
        <v>5352</v>
      </c>
      <c r="B2274" t="s">
        <v>2625</v>
      </c>
      <c r="C2274">
        <v>5697</v>
      </c>
      <c r="D2274" t="s">
        <v>2344</v>
      </c>
      <c r="E2274" t="s">
        <v>2036</v>
      </c>
      <c r="F2274">
        <v>202202</v>
      </c>
      <c r="G2274" t="s">
        <v>184</v>
      </c>
      <c r="H2274">
        <v>9647</v>
      </c>
    </row>
    <row r="2275" spans="1:8">
      <c r="A2275">
        <v>5352</v>
      </c>
      <c r="B2275" t="s">
        <v>2625</v>
      </c>
      <c r="C2275">
        <v>5697</v>
      </c>
      <c r="D2275" t="s">
        <v>2344</v>
      </c>
      <c r="E2275" t="s">
        <v>2036</v>
      </c>
      <c r="F2275">
        <v>202202</v>
      </c>
      <c r="G2275" t="s">
        <v>192</v>
      </c>
      <c r="H2275">
        <v>0</v>
      </c>
    </row>
    <row r="2276" spans="1:8">
      <c r="A2276">
        <v>5352</v>
      </c>
      <c r="B2276" t="s">
        <v>2625</v>
      </c>
      <c r="C2276">
        <v>5697</v>
      </c>
      <c r="D2276" t="s">
        <v>2344</v>
      </c>
      <c r="E2276" t="s">
        <v>2036</v>
      </c>
      <c r="F2276">
        <v>202202</v>
      </c>
      <c r="G2276" t="s">
        <v>2170</v>
      </c>
      <c r="H2276">
        <v>1211.75</v>
      </c>
    </row>
    <row r="2277" spans="1:8">
      <c r="A2277">
        <v>5352</v>
      </c>
      <c r="B2277" t="s">
        <v>2625</v>
      </c>
      <c r="C2277">
        <v>5697</v>
      </c>
      <c r="D2277" t="s">
        <v>2344</v>
      </c>
      <c r="E2277" t="s">
        <v>2036</v>
      </c>
      <c r="F2277">
        <v>202202</v>
      </c>
      <c r="G2277" t="s">
        <v>186</v>
      </c>
      <c r="H2277">
        <v>0</v>
      </c>
    </row>
    <row r="2278" spans="1:8">
      <c r="A2278">
        <v>5352</v>
      </c>
      <c r="B2278" t="s">
        <v>2625</v>
      </c>
      <c r="C2278">
        <v>5697</v>
      </c>
      <c r="D2278" t="s">
        <v>2344</v>
      </c>
      <c r="E2278" t="s">
        <v>2036</v>
      </c>
      <c r="F2278">
        <v>202202</v>
      </c>
      <c r="G2278" t="s">
        <v>2169</v>
      </c>
      <c r="H2278">
        <v>182.65</v>
      </c>
    </row>
    <row r="2279" spans="1:8">
      <c r="A2279">
        <v>5352</v>
      </c>
      <c r="B2279" t="s">
        <v>2625</v>
      </c>
      <c r="C2279">
        <v>5697</v>
      </c>
      <c r="D2279" t="s">
        <v>2344</v>
      </c>
      <c r="E2279" t="s">
        <v>2036</v>
      </c>
      <c r="F2279">
        <v>202202</v>
      </c>
      <c r="G2279" t="s">
        <v>2166</v>
      </c>
      <c r="H2279">
        <v>11.83</v>
      </c>
    </row>
    <row r="2280" spans="1:8">
      <c r="A2280">
        <v>5352</v>
      </c>
      <c r="B2280" t="s">
        <v>2625</v>
      </c>
      <c r="C2280">
        <v>5697</v>
      </c>
      <c r="D2280" t="s">
        <v>2344</v>
      </c>
      <c r="E2280" t="s">
        <v>2036</v>
      </c>
      <c r="F2280">
        <v>202202</v>
      </c>
      <c r="G2280" t="s">
        <v>2167</v>
      </c>
      <c r="H2280">
        <v>21.22</v>
      </c>
    </row>
    <row r="2281" spans="1:8">
      <c r="A2281">
        <v>5352</v>
      </c>
      <c r="B2281" t="s">
        <v>2625</v>
      </c>
      <c r="C2281">
        <v>5697</v>
      </c>
      <c r="D2281" t="s">
        <v>2344</v>
      </c>
      <c r="E2281" t="s">
        <v>2036</v>
      </c>
      <c r="F2281">
        <v>202202</v>
      </c>
      <c r="G2281" t="s">
        <v>2168</v>
      </c>
      <c r="H2281">
        <v>14.37</v>
      </c>
    </row>
    <row r="2282" spans="1:8">
      <c r="A2282">
        <v>5352</v>
      </c>
      <c r="B2282" t="s">
        <v>2625</v>
      </c>
      <c r="C2282">
        <v>5697</v>
      </c>
      <c r="D2282" t="s">
        <v>2344</v>
      </c>
      <c r="E2282" t="s">
        <v>2036</v>
      </c>
      <c r="F2282">
        <v>202202</v>
      </c>
      <c r="G2282" t="s">
        <v>2171</v>
      </c>
      <c r="H2282">
        <v>28067.46</v>
      </c>
    </row>
    <row r="2283" spans="1:8">
      <c r="A2283">
        <v>5352</v>
      </c>
      <c r="B2283" t="s">
        <v>2625</v>
      </c>
      <c r="C2283">
        <v>5697</v>
      </c>
      <c r="D2283" t="s">
        <v>2344</v>
      </c>
      <c r="E2283" t="s">
        <v>2036</v>
      </c>
      <c r="F2283">
        <v>202203</v>
      </c>
      <c r="G2283" t="s">
        <v>190</v>
      </c>
      <c r="H2283">
        <v>106187</v>
      </c>
    </row>
    <row r="2284" spans="1:8">
      <c r="A2284">
        <v>5352</v>
      </c>
      <c r="B2284" t="s">
        <v>2625</v>
      </c>
      <c r="C2284">
        <v>5697</v>
      </c>
      <c r="D2284" t="s">
        <v>2344</v>
      </c>
      <c r="E2284" t="s">
        <v>2036</v>
      </c>
      <c r="F2284">
        <v>202203</v>
      </c>
      <c r="G2284" t="s">
        <v>191</v>
      </c>
      <c r="H2284">
        <v>14357</v>
      </c>
    </row>
    <row r="2285" spans="1:8">
      <c r="A2285">
        <v>5352</v>
      </c>
      <c r="B2285" t="s">
        <v>2625</v>
      </c>
      <c r="C2285">
        <v>5697</v>
      </c>
      <c r="D2285" t="s">
        <v>2344</v>
      </c>
      <c r="E2285" t="s">
        <v>2036</v>
      </c>
      <c r="F2285">
        <v>202203</v>
      </c>
      <c r="G2285" t="s">
        <v>176</v>
      </c>
      <c r="H2285">
        <v>-1995.01</v>
      </c>
    </row>
    <row r="2286" spans="1:8">
      <c r="A2286">
        <v>5352</v>
      </c>
      <c r="B2286" t="s">
        <v>2625</v>
      </c>
      <c r="C2286">
        <v>5697</v>
      </c>
      <c r="D2286" t="s">
        <v>2344</v>
      </c>
      <c r="E2286" t="s">
        <v>2036</v>
      </c>
      <c r="F2286">
        <v>202203</v>
      </c>
      <c r="G2286" t="s">
        <v>178</v>
      </c>
      <c r="H2286">
        <v>320</v>
      </c>
    </row>
    <row r="2287" spans="1:8">
      <c r="A2287">
        <v>5352</v>
      </c>
      <c r="B2287" t="s">
        <v>2625</v>
      </c>
      <c r="C2287">
        <v>5697</v>
      </c>
      <c r="D2287" t="s">
        <v>2344</v>
      </c>
      <c r="E2287" t="s">
        <v>2036</v>
      </c>
      <c r="F2287">
        <v>202203</v>
      </c>
      <c r="G2287" t="s">
        <v>180</v>
      </c>
      <c r="H2287">
        <v>320</v>
      </c>
    </row>
    <row r="2288" spans="1:8">
      <c r="A2288">
        <v>5352</v>
      </c>
      <c r="B2288" t="s">
        <v>2625</v>
      </c>
      <c r="C2288">
        <v>5697</v>
      </c>
      <c r="D2288" t="s">
        <v>2344</v>
      </c>
      <c r="E2288" t="s">
        <v>2036</v>
      </c>
      <c r="F2288">
        <v>202203</v>
      </c>
      <c r="G2288" t="s">
        <v>182</v>
      </c>
      <c r="H2288">
        <v>106187</v>
      </c>
    </row>
    <row r="2289" spans="1:8">
      <c r="A2289">
        <v>5352</v>
      </c>
      <c r="B2289" t="s">
        <v>2625</v>
      </c>
      <c r="C2289">
        <v>5697</v>
      </c>
      <c r="D2289" t="s">
        <v>2344</v>
      </c>
      <c r="E2289" t="s">
        <v>2036</v>
      </c>
      <c r="F2289">
        <v>202203</v>
      </c>
      <c r="G2289" t="s">
        <v>184</v>
      </c>
      <c r="H2289">
        <v>14357</v>
      </c>
    </row>
    <row r="2290" spans="1:8">
      <c r="A2290">
        <v>5352</v>
      </c>
      <c r="B2290" t="s">
        <v>2625</v>
      </c>
      <c r="C2290">
        <v>5697</v>
      </c>
      <c r="D2290" t="s">
        <v>2344</v>
      </c>
      <c r="E2290" t="s">
        <v>2036</v>
      </c>
      <c r="F2290">
        <v>202203</v>
      </c>
      <c r="G2290" t="s">
        <v>192</v>
      </c>
      <c r="H2290">
        <v>0</v>
      </c>
    </row>
    <row r="2291" spans="1:8">
      <c r="A2291">
        <v>5352</v>
      </c>
      <c r="B2291" t="s">
        <v>2625</v>
      </c>
      <c r="C2291">
        <v>5697</v>
      </c>
      <c r="D2291" t="s">
        <v>2344</v>
      </c>
      <c r="E2291" t="s">
        <v>2036</v>
      </c>
      <c r="F2291">
        <v>202203</v>
      </c>
      <c r="G2291" t="s">
        <v>2170</v>
      </c>
      <c r="H2291">
        <v>1010.72</v>
      </c>
    </row>
    <row r="2292" spans="1:8">
      <c r="A2292">
        <v>5352</v>
      </c>
      <c r="B2292" t="s">
        <v>2625</v>
      </c>
      <c r="C2292">
        <v>5697</v>
      </c>
      <c r="D2292" t="s">
        <v>2344</v>
      </c>
      <c r="E2292" t="s">
        <v>2036</v>
      </c>
      <c r="F2292">
        <v>202203</v>
      </c>
      <c r="G2292" t="s">
        <v>186</v>
      </c>
      <c r="H2292">
        <v>0</v>
      </c>
    </row>
    <row r="2293" spans="1:8">
      <c r="A2293">
        <v>5352</v>
      </c>
      <c r="B2293" t="s">
        <v>2625</v>
      </c>
      <c r="C2293">
        <v>5697</v>
      </c>
      <c r="D2293" t="s">
        <v>2344</v>
      </c>
      <c r="E2293" t="s">
        <v>2036</v>
      </c>
      <c r="F2293">
        <v>202203</v>
      </c>
      <c r="G2293" t="s">
        <v>2169</v>
      </c>
      <c r="H2293">
        <v>182.65</v>
      </c>
    </row>
    <row r="2294" spans="1:8">
      <c r="A2294">
        <v>5352</v>
      </c>
      <c r="B2294" t="s">
        <v>2625</v>
      </c>
      <c r="C2294">
        <v>5697</v>
      </c>
      <c r="D2294" t="s">
        <v>2344</v>
      </c>
      <c r="E2294" t="s">
        <v>2036</v>
      </c>
      <c r="F2294">
        <v>202203</v>
      </c>
      <c r="G2294" t="s">
        <v>2166</v>
      </c>
      <c r="H2294">
        <v>11.83</v>
      </c>
    </row>
    <row r="2295" spans="1:8">
      <c r="A2295">
        <v>5352</v>
      </c>
      <c r="B2295" t="s">
        <v>2625</v>
      </c>
      <c r="C2295">
        <v>5697</v>
      </c>
      <c r="D2295" t="s">
        <v>2344</v>
      </c>
      <c r="E2295" t="s">
        <v>2036</v>
      </c>
      <c r="F2295">
        <v>202203</v>
      </c>
      <c r="G2295" t="s">
        <v>2167</v>
      </c>
      <c r="H2295">
        <v>21.22</v>
      </c>
    </row>
    <row r="2296" spans="1:8">
      <c r="A2296">
        <v>5352</v>
      </c>
      <c r="B2296" t="s">
        <v>2625</v>
      </c>
      <c r="C2296">
        <v>5697</v>
      </c>
      <c r="D2296" t="s">
        <v>2344</v>
      </c>
      <c r="E2296" t="s">
        <v>2036</v>
      </c>
      <c r="F2296">
        <v>202203</v>
      </c>
      <c r="G2296" t="s">
        <v>2168</v>
      </c>
      <c r="H2296">
        <v>14.37</v>
      </c>
    </row>
    <row r="2297" spans="1:8">
      <c r="A2297">
        <v>5352</v>
      </c>
      <c r="B2297" t="s">
        <v>2625</v>
      </c>
      <c r="C2297">
        <v>5697</v>
      </c>
      <c r="D2297" t="s">
        <v>2344</v>
      </c>
      <c r="E2297" t="s">
        <v>2036</v>
      </c>
      <c r="F2297">
        <v>202203</v>
      </c>
      <c r="G2297" t="s">
        <v>2171</v>
      </c>
      <c r="H2297">
        <v>33345.51</v>
      </c>
    </row>
    <row r="2298" spans="1:8">
      <c r="A2298">
        <v>5352</v>
      </c>
      <c r="B2298" t="s">
        <v>2625</v>
      </c>
      <c r="C2298">
        <v>5697</v>
      </c>
      <c r="D2298" t="s">
        <v>2344</v>
      </c>
      <c r="E2298" t="s">
        <v>2036</v>
      </c>
      <c r="F2298">
        <v>202203</v>
      </c>
      <c r="G2298" t="s">
        <v>190</v>
      </c>
      <c r="H2298">
        <v>127556</v>
      </c>
    </row>
    <row r="2299" spans="1:8">
      <c r="A2299">
        <v>5352</v>
      </c>
      <c r="B2299" t="s">
        <v>2625</v>
      </c>
      <c r="C2299">
        <v>5697</v>
      </c>
      <c r="D2299" t="s">
        <v>2344</v>
      </c>
      <c r="E2299" t="s">
        <v>2036</v>
      </c>
      <c r="F2299">
        <v>202203</v>
      </c>
      <c r="G2299" t="s">
        <v>191</v>
      </c>
      <c r="H2299">
        <v>18284</v>
      </c>
    </row>
    <row r="2300" spans="1:8">
      <c r="A2300">
        <v>5352</v>
      </c>
      <c r="B2300" t="s">
        <v>2625</v>
      </c>
      <c r="C2300">
        <v>5697</v>
      </c>
      <c r="D2300" t="s">
        <v>2344</v>
      </c>
      <c r="E2300" t="s">
        <v>2036</v>
      </c>
      <c r="F2300">
        <v>202203</v>
      </c>
      <c r="G2300" t="s">
        <v>176</v>
      </c>
      <c r="H2300">
        <v>-3421</v>
      </c>
    </row>
    <row r="2301" spans="1:8">
      <c r="A2301">
        <v>5352</v>
      </c>
      <c r="B2301" t="s">
        <v>2625</v>
      </c>
      <c r="C2301">
        <v>5697</v>
      </c>
      <c r="D2301" t="s">
        <v>2344</v>
      </c>
      <c r="E2301" t="s">
        <v>2036</v>
      </c>
      <c r="F2301">
        <v>202203</v>
      </c>
      <c r="G2301" t="s">
        <v>178</v>
      </c>
      <c r="H2301">
        <v>600</v>
      </c>
    </row>
    <row r="2302" spans="1:8">
      <c r="A2302">
        <v>5352</v>
      </c>
      <c r="B2302" t="s">
        <v>2625</v>
      </c>
      <c r="C2302">
        <v>5697</v>
      </c>
      <c r="D2302" t="s">
        <v>2344</v>
      </c>
      <c r="E2302" t="s">
        <v>2036</v>
      </c>
      <c r="F2302">
        <v>202203</v>
      </c>
      <c r="G2302" t="s">
        <v>180</v>
      </c>
      <c r="H2302">
        <v>600</v>
      </c>
    </row>
    <row r="2303" spans="1:8">
      <c r="A2303">
        <v>5352</v>
      </c>
      <c r="B2303" t="s">
        <v>2625</v>
      </c>
      <c r="C2303">
        <v>5697</v>
      </c>
      <c r="D2303" t="s">
        <v>2344</v>
      </c>
      <c r="E2303" t="s">
        <v>2036</v>
      </c>
      <c r="F2303">
        <v>202203</v>
      </c>
      <c r="G2303" t="s">
        <v>182</v>
      </c>
      <c r="H2303">
        <v>127556</v>
      </c>
    </row>
    <row r="2304" spans="1:8">
      <c r="A2304">
        <v>5352</v>
      </c>
      <c r="B2304" t="s">
        <v>2625</v>
      </c>
      <c r="C2304">
        <v>5697</v>
      </c>
      <c r="D2304" t="s">
        <v>2344</v>
      </c>
      <c r="E2304" t="s">
        <v>2036</v>
      </c>
      <c r="F2304">
        <v>202203</v>
      </c>
      <c r="G2304" t="s">
        <v>184</v>
      </c>
      <c r="H2304">
        <v>18284</v>
      </c>
    </row>
    <row r="2305" spans="1:8">
      <c r="A2305">
        <v>5352</v>
      </c>
      <c r="B2305" t="s">
        <v>2625</v>
      </c>
      <c r="C2305">
        <v>5697</v>
      </c>
      <c r="D2305" t="s">
        <v>2344</v>
      </c>
      <c r="E2305" t="s">
        <v>2036</v>
      </c>
      <c r="F2305">
        <v>202203</v>
      </c>
      <c r="G2305" t="s">
        <v>192</v>
      </c>
      <c r="H2305">
        <v>0</v>
      </c>
    </row>
    <row r="2306" spans="1:8">
      <c r="A2306">
        <v>5352</v>
      </c>
      <c r="B2306" t="s">
        <v>2625</v>
      </c>
      <c r="C2306">
        <v>5697</v>
      </c>
      <c r="D2306" t="s">
        <v>2344</v>
      </c>
      <c r="E2306" t="s">
        <v>2036</v>
      </c>
      <c r="F2306">
        <v>202203</v>
      </c>
      <c r="G2306" t="s">
        <v>2170</v>
      </c>
      <c r="H2306">
        <v>1429.79</v>
      </c>
    </row>
    <row r="2307" spans="1:8">
      <c r="A2307">
        <v>5352</v>
      </c>
      <c r="B2307" t="s">
        <v>2625</v>
      </c>
      <c r="C2307">
        <v>5697</v>
      </c>
      <c r="D2307" t="s">
        <v>2344</v>
      </c>
      <c r="E2307" t="s">
        <v>2036</v>
      </c>
      <c r="F2307">
        <v>202203</v>
      </c>
      <c r="G2307" t="s">
        <v>186</v>
      </c>
      <c r="H2307">
        <v>0</v>
      </c>
    </row>
    <row r="2308" spans="1:8">
      <c r="A2308">
        <v>5352</v>
      </c>
      <c r="B2308" t="s">
        <v>2625</v>
      </c>
      <c r="C2308">
        <v>5697</v>
      </c>
      <c r="D2308" t="s">
        <v>2344</v>
      </c>
      <c r="E2308" t="s">
        <v>2036</v>
      </c>
      <c r="F2308">
        <v>202203</v>
      </c>
      <c r="G2308" t="s">
        <v>2169</v>
      </c>
      <c r="H2308">
        <v>182.65</v>
      </c>
    </row>
    <row r="2309" spans="1:8">
      <c r="A2309">
        <v>5352</v>
      </c>
      <c r="B2309" t="s">
        <v>2625</v>
      </c>
      <c r="C2309">
        <v>5697</v>
      </c>
      <c r="D2309" t="s">
        <v>2344</v>
      </c>
      <c r="E2309" t="s">
        <v>2036</v>
      </c>
      <c r="F2309">
        <v>202203</v>
      </c>
      <c r="G2309" t="s">
        <v>2166</v>
      </c>
      <c r="H2309">
        <v>11.83</v>
      </c>
    </row>
    <row r="2310" spans="1:8">
      <c r="A2310">
        <v>5352</v>
      </c>
      <c r="B2310" t="s">
        <v>2625</v>
      </c>
      <c r="C2310">
        <v>5697</v>
      </c>
      <c r="D2310" t="s">
        <v>2344</v>
      </c>
      <c r="E2310" t="s">
        <v>2036</v>
      </c>
      <c r="F2310">
        <v>202203</v>
      </c>
      <c r="G2310" t="s">
        <v>2167</v>
      </c>
      <c r="H2310">
        <v>21.22</v>
      </c>
    </row>
    <row r="2311" spans="1:8">
      <c r="A2311">
        <v>5352</v>
      </c>
      <c r="B2311" t="s">
        <v>2625</v>
      </c>
      <c r="C2311">
        <v>5697</v>
      </c>
      <c r="D2311" t="s">
        <v>2344</v>
      </c>
      <c r="E2311" t="s">
        <v>2036</v>
      </c>
      <c r="F2311">
        <v>202203</v>
      </c>
      <c r="G2311" t="s">
        <v>2168</v>
      </c>
      <c r="H2311">
        <v>14.37</v>
      </c>
    </row>
    <row r="2312" spans="1:8">
      <c r="A2312">
        <v>5352</v>
      </c>
      <c r="B2312" t="s">
        <v>2625</v>
      </c>
      <c r="C2312">
        <v>5697</v>
      </c>
      <c r="D2312" t="s">
        <v>2344</v>
      </c>
      <c r="E2312" t="s">
        <v>2036</v>
      </c>
      <c r="F2312">
        <v>202203</v>
      </c>
      <c r="G2312" t="s">
        <v>2171</v>
      </c>
      <c r="H2312">
        <v>46572.17</v>
      </c>
    </row>
    <row r="2313" spans="1:8">
      <c r="A2313">
        <v>5352</v>
      </c>
      <c r="B2313" t="s">
        <v>2625</v>
      </c>
      <c r="C2313">
        <v>5697</v>
      </c>
      <c r="D2313" t="s">
        <v>2344</v>
      </c>
      <c r="E2313" t="s">
        <v>2036</v>
      </c>
      <c r="F2313">
        <v>202203</v>
      </c>
      <c r="G2313" t="s">
        <v>190</v>
      </c>
      <c r="H2313">
        <v>139928</v>
      </c>
    </row>
    <row r="2314" spans="1:8">
      <c r="A2314">
        <v>5352</v>
      </c>
      <c r="B2314" t="s">
        <v>2625</v>
      </c>
      <c r="C2314">
        <v>5697</v>
      </c>
      <c r="D2314" t="s">
        <v>2344</v>
      </c>
      <c r="E2314" t="s">
        <v>2036</v>
      </c>
      <c r="F2314">
        <v>202203</v>
      </c>
      <c r="G2314" t="s">
        <v>191</v>
      </c>
      <c r="H2314">
        <v>16506</v>
      </c>
    </row>
    <row r="2315" spans="1:8">
      <c r="A2315">
        <v>5352</v>
      </c>
      <c r="B2315" t="s">
        <v>2625</v>
      </c>
      <c r="C2315">
        <v>5697</v>
      </c>
      <c r="D2315" t="s">
        <v>2344</v>
      </c>
      <c r="E2315" t="s">
        <v>2036</v>
      </c>
      <c r="F2315">
        <v>202203</v>
      </c>
      <c r="G2315" t="s">
        <v>176</v>
      </c>
      <c r="H2315">
        <v>-728.12</v>
      </c>
    </row>
    <row r="2316" spans="1:8">
      <c r="A2316">
        <v>5352</v>
      </c>
      <c r="B2316" t="s">
        <v>2625</v>
      </c>
      <c r="C2316">
        <v>5697</v>
      </c>
      <c r="D2316" t="s">
        <v>2344</v>
      </c>
      <c r="E2316" t="s">
        <v>2036</v>
      </c>
      <c r="F2316">
        <v>202203</v>
      </c>
      <c r="G2316" t="s">
        <v>178</v>
      </c>
      <c r="H2316">
        <v>450</v>
      </c>
    </row>
    <row r="2317" spans="1:8">
      <c r="A2317">
        <v>5352</v>
      </c>
      <c r="B2317" t="s">
        <v>2625</v>
      </c>
      <c r="C2317">
        <v>5697</v>
      </c>
      <c r="D2317" t="s">
        <v>2344</v>
      </c>
      <c r="E2317" t="s">
        <v>2036</v>
      </c>
      <c r="F2317">
        <v>202203</v>
      </c>
      <c r="G2317" t="s">
        <v>180</v>
      </c>
      <c r="H2317">
        <v>450</v>
      </c>
    </row>
    <row r="2318" spans="1:8">
      <c r="A2318">
        <v>5352</v>
      </c>
      <c r="B2318" t="s">
        <v>2625</v>
      </c>
      <c r="C2318">
        <v>5697</v>
      </c>
      <c r="D2318" t="s">
        <v>2344</v>
      </c>
      <c r="E2318" t="s">
        <v>2036</v>
      </c>
      <c r="F2318">
        <v>202203</v>
      </c>
      <c r="G2318" t="s">
        <v>182</v>
      </c>
      <c r="H2318">
        <v>139928</v>
      </c>
    </row>
    <row r="2319" spans="1:8">
      <c r="A2319">
        <v>5352</v>
      </c>
      <c r="B2319" t="s">
        <v>2625</v>
      </c>
      <c r="C2319">
        <v>5697</v>
      </c>
      <c r="D2319" t="s">
        <v>2344</v>
      </c>
      <c r="E2319" t="s">
        <v>2036</v>
      </c>
      <c r="F2319">
        <v>202203</v>
      </c>
      <c r="G2319" t="s">
        <v>184</v>
      </c>
      <c r="H2319">
        <v>16506</v>
      </c>
    </row>
    <row r="2320" spans="1:8">
      <c r="A2320">
        <v>5352</v>
      </c>
      <c r="B2320" t="s">
        <v>2625</v>
      </c>
      <c r="C2320">
        <v>5697</v>
      </c>
      <c r="D2320" t="s">
        <v>2344</v>
      </c>
      <c r="E2320" t="s">
        <v>2036</v>
      </c>
      <c r="F2320">
        <v>202203</v>
      </c>
      <c r="G2320" t="s">
        <v>192</v>
      </c>
      <c r="H2320">
        <v>0</v>
      </c>
    </row>
    <row r="2321" spans="1:8">
      <c r="A2321">
        <v>5352</v>
      </c>
      <c r="B2321" t="s">
        <v>2625</v>
      </c>
      <c r="C2321">
        <v>5697</v>
      </c>
      <c r="D2321" t="s">
        <v>2344</v>
      </c>
      <c r="E2321" t="s">
        <v>2036</v>
      </c>
      <c r="F2321">
        <v>202203</v>
      </c>
      <c r="G2321" t="s">
        <v>2170</v>
      </c>
      <c r="H2321">
        <v>1345.3</v>
      </c>
    </row>
    <row r="2322" spans="1:8">
      <c r="A2322">
        <v>5352</v>
      </c>
      <c r="B2322" t="s">
        <v>2625</v>
      </c>
      <c r="C2322">
        <v>5697</v>
      </c>
      <c r="D2322" t="s">
        <v>2344</v>
      </c>
      <c r="E2322" t="s">
        <v>2036</v>
      </c>
      <c r="F2322">
        <v>202203</v>
      </c>
      <c r="G2322" t="s">
        <v>186</v>
      </c>
      <c r="H2322">
        <v>0</v>
      </c>
    </row>
    <row r="2323" spans="1:8">
      <c r="A2323">
        <v>5352</v>
      </c>
      <c r="B2323" t="s">
        <v>2625</v>
      </c>
      <c r="C2323">
        <v>5697</v>
      </c>
      <c r="D2323" t="s">
        <v>2344</v>
      </c>
      <c r="E2323" t="s">
        <v>2036</v>
      </c>
      <c r="F2323">
        <v>202203</v>
      </c>
      <c r="G2323" t="s">
        <v>2169</v>
      </c>
      <c r="H2323">
        <v>182.65</v>
      </c>
    </row>
    <row r="2324" spans="1:8">
      <c r="A2324">
        <v>5352</v>
      </c>
      <c r="B2324" t="s">
        <v>2625</v>
      </c>
      <c r="C2324">
        <v>5697</v>
      </c>
      <c r="D2324" t="s">
        <v>2344</v>
      </c>
      <c r="E2324" t="s">
        <v>2036</v>
      </c>
      <c r="F2324">
        <v>202203</v>
      </c>
      <c r="G2324" t="s">
        <v>2166</v>
      </c>
      <c r="H2324">
        <v>11.83</v>
      </c>
    </row>
    <row r="2325" spans="1:8">
      <c r="A2325">
        <v>5352</v>
      </c>
      <c r="B2325" t="s">
        <v>2625</v>
      </c>
      <c r="C2325">
        <v>5697</v>
      </c>
      <c r="D2325" t="s">
        <v>2344</v>
      </c>
      <c r="E2325" t="s">
        <v>2036</v>
      </c>
      <c r="F2325">
        <v>202203</v>
      </c>
      <c r="G2325" t="s">
        <v>2167</v>
      </c>
      <c r="H2325">
        <v>21.22</v>
      </c>
    </row>
    <row r="2326" spans="1:8">
      <c r="A2326">
        <v>5352</v>
      </c>
      <c r="B2326" t="s">
        <v>2625</v>
      </c>
      <c r="C2326">
        <v>5697</v>
      </c>
      <c r="D2326" t="s">
        <v>2344</v>
      </c>
      <c r="E2326" t="s">
        <v>2036</v>
      </c>
      <c r="F2326">
        <v>202203</v>
      </c>
      <c r="G2326" t="s">
        <v>2168</v>
      </c>
      <c r="H2326">
        <v>14.37</v>
      </c>
    </row>
    <row r="2327" spans="1:8">
      <c r="A2327">
        <v>5352</v>
      </c>
      <c r="B2327" t="s">
        <v>2625</v>
      </c>
      <c r="C2327">
        <v>5697</v>
      </c>
      <c r="D2327" t="s">
        <v>2344</v>
      </c>
      <c r="E2327" t="s">
        <v>2036</v>
      </c>
      <c r="F2327">
        <v>202203</v>
      </c>
      <c r="G2327" t="s">
        <v>2171</v>
      </c>
      <c r="H2327">
        <v>46310.29</v>
      </c>
    </row>
    <row r="2328" spans="1:8">
      <c r="A2328">
        <v>5352</v>
      </c>
      <c r="B2328" t="s">
        <v>2625</v>
      </c>
      <c r="C2328">
        <v>5697</v>
      </c>
      <c r="D2328" t="s">
        <v>2344</v>
      </c>
      <c r="E2328" t="s">
        <v>2036</v>
      </c>
      <c r="F2328">
        <v>202203</v>
      </c>
      <c r="G2328" t="s">
        <v>190</v>
      </c>
      <c r="H2328">
        <v>276532</v>
      </c>
    </row>
    <row r="2329" spans="1:8">
      <c r="A2329">
        <v>5352</v>
      </c>
      <c r="B2329" t="s">
        <v>2625</v>
      </c>
      <c r="C2329">
        <v>5697</v>
      </c>
      <c r="D2329" t="s">
        <v>2344</v>
      </c>
      <c r="E2329" t="s">
        <v>2036</v>
      </c>
      <c r="F2329">
        <v>202203</v>
      </c>
      <c r="G2329" t="s">
        <v>191</v>
      </c>
      <c r="H2329">
        <v>33660</v>
      </c>
    </row>
    <row r="2330" spans="1:8">
      <c r="A2330">
        <v>5352</v>
      </c>
      <c r="B2330" t="s">
        <v>2625</v>
      </c>
      <c r="C2330">
        <v>5697</v>
      </c>
      <c r="D2330" t="s">
        <v>2344</v>
      </c>
      <c r="E2330" t="s">
        <v>2036</v>
      </c>
      <c r="F2330">
        <v>202203</v>
      </c>
      <c r="G2330" t="s">
        <v>176</v>
      </c>
      <c r="H2330">
        <v>-6752.21</v>
      </c>
    </row>
    <row r="2331" spans="1:8">
      <c r="A2331">
        <v>5352</v>
      </c>
      <c r="B2331" t="s">
        <v>2625</v>
      </c>
      <c r="C2331">
        <v>5697</v>
      </c>
      <c r="D2331" t="s">
        <v>2344</v>
      </c>
      <c r="E2331" t="s">
        <v>2036</v>
      </c>
      <c r="F2331">
        <v>202203</v>
      </c>
      <c r="G2331" t="s">
        <v>178</v>
      </c>
      <c r="H2331">
        <v>820</v>
      </c>
    </row>
    <row r="2332" spans="1:8">
      <c r="A2332">
        <v>5352</v>
      </c>
      <c r="B2332" t="s">
        <v>2625</v>
      </c>
      <c r="C2332">
        <v>5697</v>
      </c>
      <c r="D2332" t="s">
        <v>2344</v>
      </c>
      <c r="E2332" t="s">
        <v>2036</v>
      </c>
      <c r="F2332">
        <v>202203</v>
      </c>
      <c r="G2332" t="s">
        <v>180</v>
      </c>
      <c r="H2332">
        <v>820</v>
      </c>
    </row>
    <row r="2333" spans="1:8">
      <c r="A2333">
        <v>5352</v>
      </c>
      <c r="B2333" t="s">
        <v>2625</v>
      </c>
      <c r="C2333">
        <v>5697</v>
      </c>
      <c r="D2333" t="s">
        <v>2344</v>
      </c>
      <c r="E2333" t="s">
        <v>2036</v>
      </c>
      <c r="F2333">
        <v>202203</v>
      </c>
      <c r="G2333" t="s">
        <v>182</v>
      </c>
      <c r="H2333">
        <v>276532</v>
      </c>
    </row>
    <row r="2334" spans="1:8">
      <c r="A2334">
        <v>5352</v>
      </c>
      <c r="B2334" t="s">
        <v>2625</v>
      </c>
      <c r="C2334">
        <v>5697</v>
      </c>
      <c r="D2334" t="s">
        <v>2344</v>
      </c>
      <c r="E2334" t="s">
        <v>2036</v>
      </c>
      <c r="F2334">
        <v>202203</v>
      </c>
      <c r="G2334" t="s">
        <v>184</v>
      </c>
      <c r="H2334">
        <v>33660</v>
      </c>
    </row>
    <row r="2335" spans="1:8">
      <c r="A2335">
        <v>5352</v>
      </c>
      <c r="B2335" t="s">
        <v>2625</v>
      </c>
      <c r="C2335">
        <v>5697</v>
      </c>
      <c r="D2335" t="s">
        <v>2344</v>
      </c>
      <c r="E2335" t="s">
        <v>2036</v>
      </c>
      <c r="F2335">
        <v>202203</v>
      </c>
      <c r="G2335" t="s">
        <v>192</v>
      </c>
      <c r="H2335">
        <v>0</v>
      </c>
    </row>
    <row r="2336" spans="1:8">
      <c r="A2336">
        <v>5352</v>
      </c>
      <c r="B2336" t="s">
        <v>2625</v>
      </c>
      <c r="C2336">
        <v>5697</v>
      </c>
      <c r="D2336" t="s">
        <v>2344</v>
      </c>
      <c r="E2336" t="s">
        <v>2036</v>
      </c>
      <c r="F2336">
        <v>202203</v>
      </c>
      <c r="G2336" t="s">
        <v>2170</v>
      </c>
      <c r="H2336">
        <v>2597.23</v>
      </c>
    </row>
    <row r="2337" spans="1:8">
      <c r="A2337">
        <v>5352</v>
      </c>
      <c r="B2337" t="s">
        <v>2625</v>
      </c>
      <c r="C2337">
        <v>5697</v>
      </c>
      <c r="D2337" t="s">
        <v>2344</v>
      </c>
      <c r="E2337" t="s">
        <v>2036</v>
      </c>
      <c r="F2337">
        <v>202203</v>
      </c>
      <c r="G2337" t="s">
        <v>186</v>
      </c>
      <c r="H2337">
        <v>0</v>
      </c>
    </row>
    <row r="2338" spans="1:8">
      <c r="A2338">
        <v>5352</v>
      </c>
      <c r="B2338" t="s">
        <v>2625</v>
      </c>
      <c r="C2338">
        <v>5697</v>
      </c>
      <c r="D2338" t="s">
        <v>2344</v>
      </c>
      <c r="E2338" t="s">
        <v>2036</v>
      </c>
      <c r="F2338">
        <v>202203</v>
      </c>
      <c r="G2338" t="s">
        <v>2169</v>
      </c>
      <c r="H2338">
        <v>182.65</v>
      </c>
    </row>
    <row r="2339" spans="1:8">
      <c r="A2339">
        <v>5352</v>
      </c>
      <c r="B2339" t="s">
        <v>2625</v>
      </c>
      <c r="C2339">
        <v>5697</v>
      </c>
      <c r="D2339" t="s">
        <v>2344</v>
      </c>
      <c r="E2339" t="s">
        <v>2036</v>
      </c>
      <c r="F2339">
        <v>202203</v>
      </c>
      <c r="G2339" t="s">
        <v>2166</v>
      </c>
      <c r="H2339">
        <v>11.83</v>
      </c>
    </row>
    <row r="2340" spans="1:8">
      <c r="A2340">
        <v>5352</v>
      </c>
      <c r="B2340" t="s">
        <v>2625</v>
      </c>
      <c r="C2340">
        <v>5697</v>
      </c>
      <c r="D2340" t="s">
        <v>2344</v>
      </c>
      <c r="E2340" t="s">
        <v>2036</v>
      </c>
      <c r="F2340">
        <v>202203</v>
      </c>
      <c r="G2340" t="s">
        <v>2167</v>
      </c>
      <c r="H2340">
        <v>21.22</v>
      </c>
    </row>
    <row r="2341" spans="1:8">
      <c r="A2341">
        <v>5352</v>
      </c>
      <c r="B2341" t="s">
        <v>2625</v>
      </c>
      <c r="C2341">
        <v>5697</v>
      </c>
      <c r="D2341" t="s">
        <v>2344</v>
      </c>
      <c r="E2341" t="s">
        <v>2036</v>
      </c>
      <c r="F2341">
        <v>202203</v>
      </c>
      <c r="G2341" t="s">
        <v>2168</v>
      </c>
      <c r="H2341">
        <v>14.37</v>
      </c>
    </row>
    <row r="2342" spans="1:8">
      <c r="A2342">
        <v>5352</v>
      </c>
      <c r="B2342" t="s">
        <v>2625</v>
      </c>
      <c r="C2342">
        <v>5697</v>
      </c>
      <c r="D2342" t="s">
        <v>2344</v>
      </c>
      <c r="E2342" t="s">
        <v>2036</v>
      </c>
      <c r="F2342">
        <v>202203</v>
      </c>
      <c r="G2342" t="s">
        <v>2171</v>
      </c>
      <c r="H2342">
        <v>84060.02</v>
      </c>
    </row>
    <row r="2343" spans="1:8">
      <c r="A2343">
        <v>5352</v>
      </c>
      <c r="B2343" t="s">
        <v>2625</v>
      </c>
      <c r="C2343">
        <v>5697</v>
      </c>
      <c r="D2343" t="s">
        <v>2344</v>
      </c>
      <c r="E2343" t="s">
        <v>2036</v>
      </c>
      <c r="F2343">
        <v>202203</v>
      </c>
      <c r="G2343" t="s">
        <v>190</v>
      </c>
      <c r="H2343">
        <v>239806</v>
      </c>
    </row>
    <row r="2344" spans="1:8">
      <c r="A2344">
        <v>5352</v>
      </c>
      <c r="B2344" t="s">
        <v>2625</v>
      </c>
      <c r="C2344">
        <v>5697</v>
      </c>
      <c r="D2344" t="s">
        <v>2344</v>
      </c>
      <c r="E2344" t="s">
        <v>2036</v>
      </c>
      <c r="F2344">
        <v>202203</v>
      </c>
      <c r="G2344" t="s">
        <v>191</v>
      </c>
      <c r="H2344">
        <v>34356</v>
      </c>
    </row>
    <row r="2345" spans="1:8">
      <c r="A2345">
        <v>5352</v>
      </c>
      <c r="B2345" t="s">
        <v>2625</v>
      </c>
      <c r="C2345">
        <v>5697</v>
      </c>
      <c r="D2345" t="s">
        <v>2344</v>
      </c>
      <c r="E2345" t="s">
        <v>2036</v>
      </c>
      <c r="F2345">
        <v>202203</v>
      </c>
      <c r="G2345" t="s">
        <v>176</v>
      </c>
      <c r="H2345">
        <v>0</v>
      </c>
    </row>
    <row r="2346" spans="1:8">
      <c r="A2346">
        <v>5352</v>
      </c>
      <c r="B2346" t="s">
        <v>2625</v>
      </c>
      <c r="C2346">
        <v>5697</v>
      </c>
      <c r="D2346" t="s">
        <v>2344</v>
      </c>
      <c r="E2346" t="s">
        <v>2036</v>
      </c>
      <c r="F2346">
        <v>202203</v>
      </c>
      <c r="G2346" t="s">
        <v>178</v>
      </c>
      <c r="H2346">
        <v>1300</v>
      </c>
    </row>
    <row r="2347" spans="1:8">
      <c r="A2347">
        <v>5352</v>
      </c>
      <c r="B2347" t="s">
        <v>2625</v>
      </c>
      <c r="C2347">
        <v>5697</v>
      </c>
      <c r="D2347" t="s">
        <v>2344</v>
      </c>
      <c r="E2347" t="s">
        <v>2036</v>
      </c>
      <c r="F2347">
        <v>202203</v>
      </c>
      <c r="G2347" t="s">
        <v>180</v>
      </c>
      <c r="H2347">
        <v>1350</v>
      </c>
    </row>
    <row r="2348" spans="1:8">
      <c r="A2348">
        <v>5352</v>
      </c>
      <c r="B2348" t="s">
        <v>2625</v>
      </c>
      <c r="C2348">
        <v>5697</v>
      </c>
      <c r="D2348" t="s">
        <v>2344</v>
      </c>
      <c r="E2348" t="s">
        <v>2036</v>
      </c>
      <c r="F2348">
        <v>202203</v>
      </c>
      <c r="G2348" t="s">
        <v>182</v>
      </c>
      <c r="H2348">
        <v>239806</v>
      </c>
    </row>
    <row r="2349" spans="1:8">
      <c r="A2349">
        <v>5352</v>
      </c>
      <c r="B2349" t="s">
        <v>2625</v>
      </c>
      <c r="C2349">
        <v>5697</v>
      </c>
      <c r="D2349" t="s">
        <v>2344</v>
      </c>
      <c r="E2349" t="s">
        <v>2036</v>
      </c>
      <c r="F2349">
        <v>202203</v>
      </c>
      <c r="G2349" t="s">
        <v>184</v>
      </c>
      <c r="H2349">
        <v>34356</v>
      </c>
    </row>
    <row r="2350" spans="1:8">
      <c r="A2350">
        <v>5352</v>
      </c>
      <c r="B2350" t="s">
        <v>2625</v>
      </c>
      <c r="C2350">
        <v>5697</v>
      </c>
      <c r="D2350" t="s">
        <v>2344</v>
      </c>
      <c r="E2350" t="s">
        <v>2036</v>
      </c>
      <c r="F2350">
        <v>202203</v>
      </c>
      <c r="G2350" t="s">
        <v>192</v>
      </c>
      <c r="H2350">
        <v>0</v>
      </c>
    </row>
    <row r="2351" spans="1:8">
      <c r="A2351">
        <v>5352</v>
      </c>
      <c r="B2351" t="s">
        <v>2625</v>
      </c>
      <c r="C2351">
        <v>5697</v>
      </c>
      <c r="D2351" t="s">
        <v>2344</v>
      </c>
      <c r="E2351" t="s">
        <v>2036</v>
      </c>
      <c r="F2351">
        <v>202203</v>
      </c>
      <c r="G2351" t="s">
        <v>2170</v>
      </c>
      <c r="H2351">
        <v>2886.54</v>
      </c>
    </row>
    <row r="2352" spans="1:8">
      <c r="A2352">
        <v>5352</v>
      </c>
      <c r="B2352" t="s">
        <v>2625</v>
      </c>
      <c r="C2352">
        <v>5697</v>
      </c>
      <c r="D2352" t="s">
        <v>2344</v>
      </c>
      <c r="E2352" t="s">
        <v>2036</v>
      </c>
      <c r="F2352">
        <v>202203</v>
      </c>
      <c r="G2352" t="s">
        <v>186</v>
      </c>
      <c r="H2352">
        <v>0</v>
      </c>
    </row>
    <row r="2353" spans="1:8">
      <c r="A2353">
        <v>5352</v>
      </c>
      <c r="B2353" t="s">
        <v>2625</v>
      </c>
      <c r="C2353">
        <v>5697</v>
      </c>
      <c r="D2353" t="s">
        <v>2344</v>
      </c>
      <c r="E2353" t="s">
        <v>2036</v>
      </c>
      <c r="F2353">
        <v>202203</v>
      </c>
      <c r="G2353" t="s">
        <v>2169</v>
      </c>
      <c r="H2353">
        <v>182.65</v>
      </c>
    </row>
    <row r="2354" spans="1:8">
      <c r="A2354">
        <v>5352</v>
      </c>
      <c r="B2354" t="s">
        <v>2625</v>
      </c>
      <c r="C2354">
        <v>5697</v>
      </c>
      <c r="D2354" t="s">
        <v>2344</v>
      </c>
      <c r="E2354" t="s">
        <v>2036</v>
      </c>
      <c r="F2354">
        <v>202203</v>
      </c>
      <c r="G2354" t="s">
        <v>2166</v>
      </c>
      <c r="H2354">
        <v>11.83</v>
      </c>
    </row>
    <row r="2355" spans="1:8">
      <c r="A2355">
        <v>5352</v>
      </c>
      <c r="B2355" t="s">
        <v>2625</v>
      </c>
      <c r="C2355">
        <v>5697</v>
      </c>
      <c r="D2355" t="s">
        <v>2344</v>
      </c>
      <c r="E2355" t="s">
        <v>2036</v>
      </c>
      <c r="F2355">
        <v>202203</v>
      </c>
      <c r="G2355" t="s">
        <v>2167</v>
      </c>
      <c r="H2355">
        <v>21.22</v>
      </c>
    </row>
    <row r="2356" spans="1:8">
      <c r="A2356">
        <v>5352</v>
      </c>
      <c r="B2356" t="s">
        <v>2625</v>
      </c>
      <c r="C2356">
        <v>5697</v>
      </c>
      <c r="D2356" t="s">
        <v>2344</v>
      </c>
      <c r="E2356" t="s">
        <v>2036</v>
      </c>
      <c r="F2356">
        <v>202203</v>
      </c>
      <c r="G2356" t="s">
        <v>2168</v>
      </c>
      <c r="H2356">
        <v>14.37</v>
      </c>
    </row>
    <row r="2357" spans="1:8">
      <c r="A2357">
        <v>5352</v>
      </c>
      <c r="B2357" t="s">
        <v>2625</v>
      </c>
      <c r="C2357">
        <v>5697</v>
      </c>
      <c r="D2357" t="s">
        <v>2344</v>
      </c>
      <c r="E2357" t="s">
        <v>2036</v>
      </c>
      <c r="F2357">
        <v>202203</v>
      </c>
      <c r="G2357" t="s">
        <v>2171</v>
      </c>
      <c r="H2357">
        <v>100927.92</v>
      </c>
    </row>
    <row r="2358" spans="1:8">
      <c r="A2358">
        <v>5352</v>
      </c>
      <c r="B2358" t="s">
        <v>2625</v>
      </c>
      <c r="C2358">
        <v>5697</v>
      </c>
      <c r="D2358" t="s">
        <v>2344</v>
      </c>
      <c r="E2358" t="s">
        <v>2036</v>
      </c>
      <c r="F2358">
        <v>202203</v>
      </c>
      <c r="G2358" t="s">
        <v>190</v>
      </c>
      <c r="H2358">
        <v>214415</v>
      </c>
    </row>
    <row r="2359" spans="1:8">
      <c r="A2359">
        <v>5352</v>
      </c>
      <c r="B2359" t="s">
        <v>2625</v>
      </c>
      <c r="C2359">
        <v>5697</v>
      </c>
      <c r="D2359" t="s">
        <v>2344</v>
      </c>
      <c r="E2359" t="s">
        <v>2036</v>
      </c>
      <c r="F2359">
        <v>202203</v>
      </c>
      <c r="G2359" t="s">
        <v>191</v>
      </c>
      <c r="H2359">
        <v>32196</v>
      </c>
    </row>
    <row r="2360" spans="1:8">
      <c r="A2360">
        <v>5352</v>
      </c>
      <c r="B2360" t="s">
        <v>2625</v>
      </c>
      <c r="C2360">
        <v>5697</v>
      </c>
      <c r="D2360" t="s">
        <v>2344</v>
      </c>
      <c r="E2360" t="s">
        <v>2036</v>
      </c>
      <c r="F2360">
        <v>202203</v>
      </c>
      <c r="G2360" t="s">
        <v>176</v>
      </c>
      <c r="H2360">
        <v>0</v>
      </c>
    </row>
    <row r="2361" spans="1:8">
      <c r="A2361">
        <v>5352</v>
      </c>
      <c r="B2361" t="s">
        <v>2625</v>
      </c>
      <c r="C2361">
        <v>5697</v>
      </c>
      <c r="D2361" t="s">
        <v>2344</v>
      </c>
      <c r="E2361" t="s">
        <v>2036</v>
      </c>
      <c r="F2361">
        <v>202203</v>
      </c>
      <c r="G2361" t="s">
        <v>178</v>
      </c>
      <c r="H2361">
        <v>810</v>
      </c>
    </row>
    <row r="2362" spans="1:8">
      <c r="A2362">
        <v>5352</v>
      </c>
      <c r="B2362" t="s">
        <v>2625</v>
      </c>
      <c r="C2362">
        <v>5697</v>
      </c>
      <c r="D2362" t="s">
        <v>2344</v>
      </c>
      <c r="E2362" t="s">
        <v>2036</v>
      </c>
      <c r="F2362">
        <v>202203</v>
      </c>
      <c r="G2362" t="s">
        <v>180</v>
      </c>
      <c r="H2362">
        <v>930</v>
      </c>
    </row>
    <row r="2363" spans="1:8">
      <c r="A2363">
        <v>5352</v>
      </c>
      <c r="B2363" t="s">
        <v>2625</v>
      </c>
      <c r="C2363">
        <v>5697</v>
      </c>
      <c r="D2363" t="s">
        <v>2344</v>
      </c>
      <c r="E2363" t="s">
        <v>2036</v>
      </c>
      <c r="F2363">
        <v>202203</v>
      </c>
      <c r="G2363" t="s">
        <v>182</v>
      </c>
      <c r="H2363">
        <v>214415</v>
      </c>
    </row>
    <row r="2364" spans="1:8">
      <c r="A2364">
        <v>5352</v>
      </c>
      <c r="B2364" t="s">
        <v>2625</v>
      </c>
      <c r="C2364">
        <v>5697</v>
      </c>
      <c r="D2364" t="s">
        <v>2344</v>
      </c>
      <c r="E2364" t="s">
        <v>2036</v>
      </c>
      <c r="F2364">
        <v>202203</v>
      </c>
      <c r="G2364" t="s">
        <v>184</v>
      </c>
      <c r="H2364">
        <v>32196</v>
      </c>
    </row>
    <row r="2365" spans="1:8">
      <c r="A2365">
        <v>5352</v>
      </c>
      <c r="B2365" t="s">
        <v>2625</v>
      </c>
      <c r="C2365">
        <v>5697</v>
      </c>
      <c r="D2365" t="s">
        <v>2344</v>
      </c>
      <c r="E2365" t="s">
        <v>2036</v>
      </c>
      <c r="F2365">
        <v>202203</v>
      </c>
      <c r="G2365" t="s">
        <v>192</v>
      </c>
      <c r="H2365">
        <v>0</v>
      </c>
    </row>
    <row r="2366" spans="1:8">
      <c r="A2366">
        <v>5352</v>
      </c>
      <c r="B2366" t="s">
        <v>2625</v>
      </c>
      <c r="C2366">
        <v>5697</v>
      </c>
      <c r="D2366" t="s">
        <v>2344</v>
      </c>
      <c r="E2366" t="s">
        <v>2036</v>
      </c>
      <c r="F2366">
        <v>202203</v>
      </c>
      <c r="G2366" t="s">
        <v>2170</v>
      </c>
      <c r="H2366">
        <v>2293.65</v>
      </c>
    </row>
    <row r="2367" spans="1:8">
      <c r="A2367">
        <v>5352</v>
      </c>
      <c r="B2367" t="s">
        <v>2625</v>
      </c>
      <c r="C2367">
        <v>5697</v>
      </c>
      <c r="D2367" t="s">
        <v>2344</v>
      </c>
      <c r="E2367" t="s">
        <v>2036</v>
      </c>
      <c r="F2367">
        <v>202203</v>
      </c>
      <c r="G2367" t="s">
        <v>186</v>
      </c>
      <c r="H2367">
        <v>0</v>
      </c>
    </row>
    <row r="2368" spans="1:8">
      <c r="A2368">
        <v>5352</v>
      </c>
      <c r="B2368" t="s">
        <v>2625</v>
      </c>
      <c r="C2368">
        <v>5697</v>
      </c>
      <c r="D2368" t="s">
        <v>2344</v>
      </c>
      <c r="E2368" t="s">
        <v>2036</v>
      </c>
      <c r="F2368">
        <v>202203</v>
      </c>
      <c r="G2368" t="s">
        <v>2169</v>
      </c>
      <c r="H2368">
        <v>182.65</v>
      </c>
    </row>
    <row r="2369" spans="1:8">
      <c r="A2369">
        <v>5352</v>
      </c>
      <c r="B2369" t="s">
        <v>2625</v>
      </c>
      <c r="C2369">
        <v>5697</v>
      </c>
      <c r="D2369" t="s">
        <v>2344</v>
      </c>
      <c r="E2369" t="s">
        <v>2036</v>
      </c>
      <c r="F2369">
        <v>202203</v>
      </c>
      <c r="G2369" t="s">
        <v>2166</v>
      </c>
      <c r="H2369">
        <v>11.83</v>
      </c>
    </row>
    <row r="2370" spans="1:8">
      <c r="A2370">
        <v>5352</v>
      </c>
      <c r="B2370" t="s">
        <v>2625</v>
      </c>
      <c r="C2370">
        <v>5697</v>
      </c>
      <c r="D2370" t="s">
        <v>2344</v>
      </c>
      <c r="E2370" t="s">
        <v>2036</v>
      </c>
      <c r="F2370">
        <v>202203</v>
      </c>
      <c r="G2370" t="s">
        <v>2167</v>
      </c>
      <c r="H2370">
        <v>21.22</v>
      </c>
    </row>
    <row r="2371" spans="1:8">
      <c r="A2371">
        <v>5352</v>
      </c>
      <c r="B2371" t="s">
        <v>2625</v>
      </c>
      <c r="C2371">
        <v>5697</v>
      </c>
      <c r="D2371" t="s">
        <v>2344</v>
      </c>
      <c r="E2371" t="s">
        <v>2036</v>
      </c>
      <c r="F2371">
        <v>202203</v>
      </c>
      <c r="G2371" t="s">
        <v>2168</v>
      </c>
      <c r="H2371">
        <v>14.37</v>
      </c>
    </row>
    <row r="2372" spans="1:8">
      <c r="A2372">
        <v>5352</v>
      </c>
      <c r="B2372" t="s">
        <v>2625</v>
      </c>
      <c r="C2372">
        <v>5697</v>
      </c>
      <c r="D2372" t="s">
        <v>2344</v>
      </c>
      <c r="E2372" t="s">
        <v>2036</v>
      </c>
      <c r="F2372">
        <v>202203</v>
      </c>
      <c r="G2372" t="s">
        <v>2171</v>
      </c>
      <c r="H2372">
        <v>80197.820000000007</v>
      </c>
    </row>
    <row r="2373" spans="1:8">
      <c r="A2373">
        <v>5352</v>
      </c>
      <c r="B2373" t="s">
        <v>2625</v>
      </c>
      <c r="C2373">
        <v>5697</v>
      </c>
      <c r="D2373" t="s">
        <v>2344</v>
      </c>
      <c r="E2373" t="s">
        <v>2036</v>
      </c>
      <c r="F2373">
        <v>202203</v>
      </c>
      <c r="G2373" t="s">
        <v>190</v>
      </c>
      <c r="H2373">
        <v>57966</v>
      </c>
    </row>
    <row r="2374" spans="1:8">
      <c r="A2374">
        <v>5352</v>
      </c>
      <c r="B2374" t="s">
        <v>2625</v>
      </c>
      <c r="C2374">
        <v>5697</v>
      </c>
      <c r="D2374" t="s">
        <v>2344</v>
      </c>
      <c r="E2374" t="s">
        <v>2036</v>
      </c>
      <c r="F2374">
        <v>202203</v>
      </c>
      <c r="G2374" t="s">
        <v>191</v>
      </c>
      <c r="H2374">
        <v>8504</v>
      </c>
    </row>
    <row r="2375" spans="1:8">
      <c r="A2375">
        <v>5352</v>
      </c>
      <c r="B2375" t="s">
        <v>2625</v>
      </c>
      <c r="C2375">
        <v>5697</v>
      </c>
      <c r="D2375" t="s">
        <v>2344</v>
      </c>
      <c r="E2375" t="s">
        <v>2036</v>
      </c>
      <c r="F2375">
        <v>202203</v>
      </c>
      <c r="G2375" t="s">
        <v>176</v>
      </c>
      <c r="H2375">
        <v>0</v>
      </c>
    </row>
    <row r="2376" spans="1:8">
      <c r="A2376">
        <v>5352</v>
      </c>
      <c r="B2376" t="s">
        <v>2625</v>
      </c>
      <c r="C2376">
        <v>5697</v>
      </c>
      <c r="D2376" t="s">
        <v>2344</v>
      </c>
      <c r="E2376" t="s">
        <v>2036</v>
      </c>
      <c r="F2376">
        <v>202203</v>
      </c>
      <c r="G2376" t="s">
        <v>178</v>
      </c>
      <c r="H2376">
        <v>250</v>
      </c>
    </row>
    <row r="2377" spans="1:8">
      <c r="A2377">
        <v>5352</v>
      </c>
      <c r="B2377" t="s">
        <v>2625</v>
      </c>
      <c r="C2377">
        <v>5697</v>
      </c>
      <c r="D2377" t="s">
        <v>2344</v>
      </c>
      <c r="E2377" t="s">
        <v>2036</v>
      </c>
      <c r="F2377">
        <v>202203</v>
      </c>
      <c r="G2377" t="s">
        <v>180</v>
      </c>
      <c r="H2377">
        <v>250</v>
      </c>
    </row>
    <row r="2378" spans="1:8">
      <c r="A2378">
        <v>5352</v>
      </c>
      <c r="B2378" t="s">
        <v>2625</v>
      </c>
      <c r="C2378">
        <v>5697</v>
      </c>
      <c r="D2378" t="s">
        <v>2344</v>
      </c>
      <c r="E2378" t="s">
        <v>2036</v>
      </c>
      <c r="F2378">
        <v>202203</v>
      </c>
      <c r="G2378" t="s">
        <v>182</v>
      </c>
      <c r="H2378">
        <v>57966</v>
      </c>
    </row>
    <row r="2379" spans="1:8">
      <c r="A2379">
        <v>5352</v>
      </c>
      <c r="B2379" t="s">
        <v>2625</v>
      </c>
      <c r="C2379">
        <v>5697</v>
      </c>
      <c r="D2379" t="s">
        <v>2344</v>
      </c>
      <c r="E2379" t="s">
        <v>2036</v>
      </c>
      <c r="F2379">
        <v>202203</v>
      </c>
      <c r="G2379" t="s">
        <v>184</v>
      </c>
      <c r="H2379">
        <v>8504</v>
      </c>
    </row>
    <row r="2380" spans="1:8">
      <c r="A2380">
        <v>5352</v>
      </c>
      <c r="B2380" t="s">
        <v>2625</v>
      </c>
      <c r="C2380">
        <v>5697</v>
      </c>
      <c r="D2380" t="s">
        <v>2344</v>
      </c>
      <c r="E2380" t="s">
        <v>2036</v>
      </c>
      <c r="F2380">
        <v>202203</v>
      </c>
      <c r="G2380" t="s">
        <v>192</v>
      </c>
      <c r="H2380">
        <v>0</v>
      </c>
    </row>
    <row r="2381" spans="1:8">
      <c r="A2381">
        <v>5352</v>
      </c>
      <c r="B2381" t="s">
        <v>2625</v>
      </c>
      <c r="C2381">
        <v>5697</v>
      </c>
      <c r="D2381" t="s">
        <v>2344</v>
      </c>
      <c r="E2381" t="s">
        <v>2036</v>
      </c>
      <c r="F2381">
        <v>202203</v>
      </c>
      <c r="G2381" t="s">
        <v>2170</v>
      </c>
      <c r="H2381">
        <v>628.84</v>
      </c>
    </row>
    <row r="2382" spans="1:8">
      <c r="A2382">
        <v>5352</v>
      </c>
      <c r="B2382" t="s">
        <v>2625</v>
      </c>
      <c r="C2382">
        <v>5697</v>
      </c>
      <c r="D2382" t="s">
        <v>2344</v>
      </c>
      <c r="E2382" t="s">
        <v>2036</v>
      </c>
      <c r="F2382">
        <v>202203</v>
      </c>
      <c r="G2382" t="s">
        <v>186</v>
      </c>
      <c r="H2382">
        <v>0</v>
      </c>
    </row>
    <row r="2383" spans="1:8">
      <c r="A2383">
        <v>5352</v>
      </c>
      <c r="B2383" t="s">
        <v>2625</v>
      </c>
      <c r="C2383">
        <v>5697</v>
      </c>
      <c r="D2383" t="s">
        <v>2344</v>
      </c>
      <c r="E2383" t="s">
        <v>2036</v>
      </c>
      <c r="F2383">
        <v>202203</v>
      </c>
      <c r="G2383" t="s">
        <v>2169</v>
      </c>
      <c r="H2383">
        <v>182.65</v>
      </c>
    </row>
    <row r="2384" spans="1:8">
      <c r="A2384">
        <v>5352</v>
      </c>
      <c r="B2384" t="s">
        <v>2625</v>
      </c>
      <c r="C2384">
        <v>5697</v>
      </c>
      <c r="D2384" t="s">
        <v>2344</v>
      </c>
      <c r="E2384" t="s">
        <v>2036</v>
      </c>
      <c r="F2384">
        <v>202203</v>
      </c>
      <c r="G2384" t="s">
        <v>2166</v>
      </c>
      <c r="H2384">
        <v>11.83</v>
      </c>
    </row>
    <row r="2385" spans="1:8">
      <c r="A2385">
        <v>5352</v>
      </c>
      <c r="B2385" t="s">
        <v>2625</v>
      </c>
      <c r="C2385">
        <v>5697</v>
      </c>
      <c r="D2385" t="s">
        <v>2344</v>
      </c>
      <c r="E2385" t="s">
        <v>2036</v>
      </c>
      <c r="F2385">
        <v>202203</v>
      </c>
      <c r="G2385" t="s">
        <v>2167</v>
      </c>
      <c r="H2385">
        <v>21.22</v>
      </c>
    </row>
    <row r="2386" spans="1:8">
      <c r="A2386">
        <v>5352</v>
      </c>
      <c r="B2386" t="s">
        <v>2625</v>
      </c>
      <c r="C2386">
        <v>5697</v>
      </c>
      <c r="D2386" t="s">
        <v>2344</v>
      </c>
      <c r="E2386" t="s">
        <v>2036</v>
      </c>
      <c r="F2386">
        <v>202203</v>
      </c>
      <c r="G2386" t="s">
        <v>2168</v>
      </c>
      <c r="H2386">
        <v>14.37</v>
      </c>
    </row>
    <row r="2387" spans="1:8">
      <c r="A2387">
        <v>5352</v>
      </c>
      <c r="B2387" t="s">
        <v>2625</v>
      </c>
      <c r="C2387">
        <v>5697</v>
      </c>
      <c r="D2387" t="s">
        <v>2344</v>
      </c>
      <c r="E2387" t="s">
        <v>2036</v>
      </c>
      <c r="F2387">
        <v>202203</v>
      </c>
      <c r="G2387" t="s">
        <v>2171</v>
      </c>
      <c r="H2387">
        <v>25852.73</v>
      </c>
    </row>
    <row r="2388" spans="1:8">
      <c r="A2388">
        <v>5352</v>
      </c>
      <c r="B2388" t="s">
        <v>2625</v>
      </c>
      <c r="C2388">
        <v>5697</v>
      </c>
      <c r="D2388" t="s">
        <v>2344</v>
      </c>
      <c r="E2388" t="s">
        <v>2036</v>
      </c>
      <c r="F2388">
        <v>202203</v>
      </c>
      <c r="G2388" t="s">
        <v>190</v>
      </c>
      <c r="H2388">
        <v>113545</v>
      </c>
    </row>
    <row r="2389" spans="1:8">
      <c r="A2389">
        <v>5352</v>
      </c>
      <c r="B2389" t="s">
        <v>2625</v>
      </c>
      <c r="C2389">
        <v>5697</v>
      </c>
      <c r="D2389" t="s">
        <v>2344</v>
      </c>
      <c r="E2389" t="s">
        <v>2036</v>
      </c>
      <c r="F2389">
        <v>202203</v>
      </c>
      <c r="G2389" t="s">
        <v>191</v>
      </c>
      <c r="H2389">
        <v>14917</v>
      </c>
    </row>
    <row r="2390" spans="1:8">
      <c r="A2390">
        <v>5352</v>
      </c>
      <c r="B2390" t="s">
        <v>2625</v>
      </c>
      <c r="C2390">
        <v>5697</v>
      </c>
      <c r="D2390" t="s">
        <v>2344</v>
      </c>
      <c r="E2390" t="s">
        <v>2036</v>
      </c>
      <c r="F2390">
        <v>202203</v>
      </c>
      <c r="G2390" t="s">
        <v>176</v>
      </c>
      <c r="H2390">
        <v>-915.03</v>
      </c>
    </row>
    <row r="2391" spans="1:8">
      <c r="A2391">
        <v>5352</v>
      </c>
      <c r="B2391" t="s">
        <v>2625</v>
      </c>
      <c r="C2391">
        <v>5697</v>
      </c>
      <c r="D2391" t="s">
        <v>2344</v>
      </c>
      <c r="E2391" t="s">
        <v>2036</v>
      </c>
      <c r="F2391">
        <v>202203</v>
      </c>
      <c r="G2391" t="s">
        <v>178</v>
      </c>
      <c r="H2391">
        <v>510</v>
      </c>
    </row>
    <row r="2392" spans="1:8">
      <c r="A2392">
        <v>5352</v>
      </c>
      <c r="B2392" t="s">
        <v>2625</v>
      </c>
      <c r="C2392">
        <v>5697</v>
      </c>
      <c r="D2392" t="s">
        <v>2344</v>
      </c>
      <c r="E2392" t="s">
        <v>2036</v>
      </c>
      <c r="F2392">
        <v>202203</v>
      </c>
      <c r="G2392" t="s">
        <v>180</v>
      </c>
      <c r="H2392">
        <v>570</v>
      </c>
    </row>
    <row r="2393" spans="1:8">
      <c r="A2393">
        <v>5352</v>
      </c>
      <c r="B2393" t="s">
        <v>2625</v>
      </c>
      <c r="C2393">
        <v>5697</v>
      </c>
      <c r="D2393" t="s">
        <v>2344</v>
      </c>
      <c r="E2393" t="s">
        <v>2036</v>
      </c>
      <c r="F2393">
        <v>202203</v>
      </c>
      <c r="G2393" t="s">
        <v>182</v>
      </c>
      <c r="H2393">
        <v>113545</v>
      </c>
    </row>
    <row r="2394" spans="1:8">
      <c r="A2394">
        <v>5352</v>
      </c>
      <c r="B2394" t="s">
        <v>2625</v>
      </c>
      <c r="C2394">
        <v>5697</v>
      </c>
      <c r="D2394" t="s">
        <v>2344</v>
      </c>
      <c r="E2394" t="s">
        <v>2036</v>
      </c>
      <c r="F2394">
        <v>202203</v>
      </c>
      <c r="G2394" t="s">
        <v>184</v>
      </c>
      <c r="H2394">
        <v>14917</v>
      </c>
    </row>
    <row r="2395" spans="1:8">
      <c r="A2395">
        <v>5352</v>
      </c>
      <c r="B2395" t="s">
        <v>2625</v>
      </c>
      <c r="C2395">
        <v>5697</v>
      </c>
      <c r="D2395" t="s">
        <v>2344</v>
      </c>
      <c r="E2395" t="s">
        <v>2036</v>
      </c>
      <c r="F2395">
        <v>202203</v>
      </c>
      <c r="G2395" t="s">
        <v>192</v>
      </c>
      <c r="H2395">
        <v>0</v>
      </c>
    </row>
    <row r="2396" spans="1:8">
      <c r="A2396">
        <v>5352</v>
      </c>
      <c r="B2396" t="s">
        <v>2625</v>
      </c>
      <c r="C2396">
        <v>5697</v>
      </c>
      <c r="D2396" t="s">
        <v>2344</v>
      </c>
      <c r="E2396" t="s">
        <v>2036</v>
      </c>
      <c r="F2396">
        <v>202203</v>
      </c>
      <c r="G2396" t="s">
        <v>2170</v>
      </c>
      <c r="H2396">
        <v>1278.92</v>
      </c>
    </row>
    <row r="2397" spans="1:8">
      <c r="A2397">
        <v>5352</v>
      </c>
      <c r="B2397" t="s">
        <v>2625</v>
      </c>
      <c r="C2397">
        <v>5697</v>
      </c>
      <c r="D2397" t="s">
        <v>2344</v>
      </c>
      <c r="E2397" t="s">
        <v>2036</v>
      </c>
      <c r="F2397">
        <v>202203</v>
      </c>
      <c r="G2397" t="s">
        <v>186</v>
      </c>
      <c r="H2397">
        <v>0</v>
      </c>
    </row>
    <row r="2398" spans="1:8">
      <c r="A2398">
        <v>5352</v>
      </c>
      <c r="B2398" t="s">
        <v>2625</v>
      </c>
      <c r="C2398">
        <v>5697</v>
      </c>
      <c r="D2398" t="s">
        <v>2344</v>
      </c>
      <c r="E2398" t="s">
        <v>2036</v>
      </c>
      <c r="F2398">
        <v>202203</v>
      </c>
      <c r="G2398" t="s">
        <v>2169</v>
      </c>
      <c r="H2398">
        <v>182.65</v>
      </c>
    </row>
    <row r="2399" spans="1:8">
      <c r="A2399">
        <v>5352</v>
      </c>
      <c r="B2399" t="s">
        <v>2625</v>
      </c>
      <c r="C2399">
        <v>5697</v>
      </c>
      <c r="D2399" t="s">
        <v>2344</v>
      </c>
      <c r="E2399" t="s">
        <v>2036</v>
      </c>
      <c r="F2399">
        <v>202203</v>
      </c>
      <c r="G2399" t="s">
        <v>2166</v>
      </c>
      <c r="H2399">
        <v>11.83</v>
      </c>
    </row>
    <row r="2400" spans="1:8">
      <c r="A2400">
        <v>5352</v>
      </c>
      <c r="B2400" t="s">
        <v>2625</v>
      </c>
      <c r="C2400">
        <v>5697</v>
      </c>
      <c r="D2400" t="s">
        <v>2344</v>
      </c>
      <c r="E2400" t="s">
        <v>2036</v>
      </c>
      <c r="F2400">
        <v>202203</v>
      </c>
      <c r="G2400" t="s">
        <v>2167</v>
      </c>
      <c r="H2400">
        <v>21.22</v>
      </c>
    </row>
    <row r="2401" spans="1:8">
      <c r="A2401">
        <v>5352</v>
      </c>
      <c r="B2401" t="s">
        <v>2625</v>
      </c>
      <c r="C2401">
        <v>5697</v>
      </c>
      <c r="D2401" t="s">
        <v>2344</v>
      </c>
      <c r="E2401" t="s">
        <v>2036</v>
      </c>
      <c r="F2401">
        <v>202203</v>
      </c>
      <c r="G2401" t="s">
        <v>2168</v>
      </c>
      <c r="H2401">
        <v>14.37</v>
      </c>
    </row>
    <row r="2402" spans="1:8">
      <c r="A2402">
        <v>5352</v>
      </c>
      <c r="B2402" t="s">
        <v>2625</v>
      </c>
      <c r="C2402">
        <v>5697</v>
      </c>
      <c r="D2402" t="s">
        <v>2344</v>
      </c>
      <c r="E2402" t="s">
        <v>2036</v>
      </c>
      <c r="F2402">
        <v>202203</v>
      </c>
      <c r="G2402" t="s">
        <v>2171</v>
      </c>
      <c r="H2402">
        <v>38656.75</v>
      </c>
    </row>
    <row r="2403" spans="1:8">
      <c r="A2403">
        <v>5352</v>
      </c>
      <c r="B2403" t="s">
        <v>2625</v>
      </c>
      <c r="C2403">
        <v>5697</v>
      </c>
      <c r="D2403" t="s">
        <v>2344</v>
      </c>
      <c r="E2403" t="s">
        <v>2036</v>
      </c>
      <c r="F2403">
        <v>202203</v>
      </c>
      <c r="G2403" t="s">
        <v>190</v>
      </c>
      <c r="H2403">
        <v>348742</v>
      </c>
    </row>
    <row r="2404" spans="1:8">
      <c r="A2404">
        <v>5352</v>
      </c>
      <c r="B2404" t="s">
        <v>2625</v>
      </c>
      <c r="C2404">
        <v>5697</v>
      </c>
      <c r="D2404" t="s">
        <v>2344</v>
      </c>
      <c r="E2404" t="s">
        <v>2036</v>
      </c>
      <c r="F2404">
        <v>202203</v>
      </c>
      <c r="G2404" t="s">
        <v>191</v>
      </c>
      <c r="H2404">
        <v>45908</v>
      </c>
    </row>
    <row r="2405" spans="1:8">
      <c r="A2405">
        <v>5352</v>
      </c>
      <c r="B2405" t="s">
        <v>2625</v>
      </c>
      <c r="C2405">
        <v>5697</v>
      </c>
      <c r="D2405" t="s">
        <v>2344</v>
      </c>
      <c r="E2405" t="s">
        <v>2036</v>
      </c>
      <c r="F2405">
        <v>202203</v>
      </c>
      <c r="G2405" t="s">
        <v>176</v>
      </c>
      <c r="H2405">
        <v>-2385.27</v>
      </c>
    </row>
    <row r="2406" spans="1:8">
      <c r="A2406">
        <v>5352</v>
      </c>
      <c r="B2406" t="s">
        <v>2625</v>
      </c>
      <c r="C2406">
        <v>5697</v>
      </c>
      <c r="D2406" t="s">
        <v>2344</v>
      </c>
      <c r="E2406" t="s">
        <v>2036</v>
      </c>
      <c r="F2406">
        <v>202203</v>
      </c>
      <c r="G2406" t="s">
        <v>178</v>
      </c>
      <c r="H2406">
        <v>970</v>
      </c>
    </row>
    <row r="2407" spans="1:8">
      <c r="A2407">
        <v>5352</v>
      </c>
      <c r="B2407" t="s">
        <v>2625</v>
      </c>
      <c r="C2407">
        <v>5697</v>
      </c>
      <c r="D2407" t="s">
        <v>2344</v>
      </c>
      <c r="E2407" t="s">
        <v>2036</v>
      </c>
      <c r="F2407">
        <v>202203</v>
      </c>
      <c r="G2407" t="s">
        <v>180</v>
      </c>
      <c r="H2407">
        <v>970</v>
      </c>
    </row>
    <row r="2408" spans="1:8">
      <c r="A2408">
        <v>5352</v>
      </c>
      <c r="B2408" t="s">
        <v>2625</v>
      </c>
      <c r="C2408">
        <v>5697</v>
      </c>
      <c r="D2408" t="s">
        <v>2344</v>
      </c>
      <c r="E2408" t="s">
        <v>2036</v>
      </c>
      <c r="F2408">
        <v>202203</v>
      </c>
      <c r="G2408" t="s">
        <v>182</v>
      </c>
      <c r="H2408">
        <v>348742</v>
      </c>
    </row>
    <row r="2409" spans="1:8">
      <c r="A2409">
        <v>5352</v>
      </c>
      <c r="B2409" t="s">
        <v>2625</v>
      </c>
      <c r="C2409">
        <v>5697</v>
      </c>
      <c r="D2409" t="s">
        <v>2344</v>
      </c>
      <c r="E2409" t="s">
        <v>2036</v>
      </c>
      <c r="F2409">
        <v>202203</v>
      </c>
      <c r="G2409" t="s">
        <v>184</v>
      </c>
      <c r="H2409">
        <v>45908</v>
      </c>
    </row>
    <row r="2410" spans="1:8">
      <c r="A2410">
        <v>5352</v>
      </c>
      <c r="B2410" t="s">
        <v>2625</v>
      </c>
      <c r="C2410">
        <v>5697</v>
      </c>
      <c r="D2410" t="s">
        <v>2344</v>
      </c>
      <c r="E2410" t="s">
        <v>2036</v>
      </c>
      <c r="F2410">
        <v>202203</v>
      </c>
      <c r="G2410" t="s">
        <v>192</v>
      </c>
      <c r="H2410">
        <v>0</v>
      </c>
    </row>
    <row r="2411" spans="1:8">
      <c r="A2411">
        <v>5352</v>
      </c>
      <c r="B2411" t="s">
        <v>2625</v>
      </c>
      <c r="C2411">
        <v>5697</v>
      </c>
      <c r="D2411" t="s">
        <v>2344</v>
      </c>
      <c r="E2411" t="s">
        <v>2036</v>
      </c>
      <c r="F2411">
        <v>202203</v>
      </c>
      <c r="G2411" t="s">
        <v>2170</v>
      </c>
      <c r="H2411">
        <v>3233.1</v>
      </c>
    </row>
    <row r="2412" spans="1:8">
      <c r="A2412">
        <v>5352</v>
      </c>
      <c r="B2412" t="s">
        <v>2625</v>
      </c>
      <c r="C2412">
        <v>5697</v>
      </c>
      <c r="D2412" t="s">
        <v>2344</v>
      </c>
      <c r="E2412" t="s">
        <v>2036</v>
      </c>
      <c r="F2412">
        <v>202203</v>
      </c>
      <c r="G2412" t="s">
        <v>186</v>
      </c>
      <c r="H2412">
        <v>0</v>
      </c>
    </row>
    <row r="2413" spans="1:8">
      <c r="A2413">
        <v>5352</v>
      </c>
      <c r="B2413" t="s">
        <v>2625</v>
      </c>
      <c r="C2413">
        <v>5697</v>
      </c>
      <c r="D2413" t="s">
        <v>2344</v>
      </c>
      <c r="E2413" t="s">
        <v>2036</v>
      </c>
      <c r="F2413">
        <v>202203</v>
      </c>
      <c r="G2413" t="s">
        <v>2169</v>
      </c>
      <c r="H2413">
        <v>182.65</v>
      </c>
    </row>
    <row r="2414" spans="1:8">
      <c r="A2414">
        <v>5352</v>
      </c>
      <c r="B2414" t="s">
        <v>2625</v>
      </c>
      <c r="C2414">
        <v>5697</v>
      </c>
      <c r="D2414" t="s">
        <v>2344</v>
      </c>
      <c r="E2414" t="s">
        <v>2036</v>
      </c>
      <c r="F2414">
        <v>202203</v>
      </c>
      <c r="G2414" t="s">
        <v>2166</v>
      </c>
      <c r="H2414">
        <v>11.83</v>
      </c>
    </row>
    <row r="2415" spans="1:8">
      <c r="A2415">
        <v>5352</v>
      </c>
      <c r="B2415" t="s">
        <v>2625</v>
      </c>
      <c r="C2415">
        <v>5697</v>
      </c>
      <c r="D2415" t="s">
        <v>2344</v>
      </c>
      <c r="E2415" t="s">
        <v>2036</v>
      </c>
      <c r="F2415">
        <v>202203</v>
      </c>
      <c r="G2415" t="s">
        <v>2167</v>
      </c>
      <c r="H2415">
        <v>21.22</v>
      </c>
    </row>
    <row r="2416" spans="1:8">
      <c r="A2416">
        <v>5352</v>
      </c>
      <c r="B2416" t="s">
        <v>2625</v>
      </c>
      <c r="C2416">
        <v>5697</v>
      </c>
      <c r="D2416" t="s">
        <v>2344</v>
      </c>
      <c r="E2416" t="s">
        <v>2036</v>
      </c>
      <c r="F2416">
        <v>202203</v>
      </c>
      <c r="G2416" t="s">
        <v>2168</v>
      </c>
      <c r="H2416">
        <v>14.37</v>
      </c>
    </row>
    <row r="2417" spans="1:8">
      <c r="A2417">
        <v>5352</v>
      </c>
      <c r="B2417" t="s">
        <v>2625</v>
      </c>
      <c r="C2417">
        <v>5697</v>
      </c>
      <c r="D2417" t="s">
        <v>2344</v>
      </c>
      <c r="E2417" t="s">
        <v>2036</v>
      </c>
      <c r="F2417">
        <v>202203</v>
      </c>
      <c r="G2417" t="s">
        <v>2171</v>
      </c>
      <c r="H2417">
        <v>108154.66</v>
      </c>
    </row>
    <row r="2418" spans="1:8">
      <c r="A2418">
        <v>5352</v>
      </c>
      <c r="B2418" t="s">
        <v>2625</v>
      </c>
      <c r="C2418">
        <v>5697</v>
      </c>
      <c r="D2418" t="s">
        <v>2344</v>
      </c>
      <c r="E2418" t="s">
        <v>2036</v>
      </c>
      <c r="F2418">
        <v>202203</v>
      </c>
      <c r="G2418" t="s">
        <v>190</v>
      </c>
      <c r="H2418">
        <v>172212</v>
      </c>
    </row>
    <row r="2419" spans="1:8">
      <c r="A2419">
        <v>5352</v>
      </c>
      <c r="B2419" t="s">
        <v>2625</v>
      </c>
      <c r="C2419">
        <v>5697</v>
      </c>
      <c r="D2419" t="s">
        <v>2344</v>
      </c>
      <c r="E2419" t="s">
        <v>2036</v>
      </c>
      <c r="F2419">
        <v>202203</v>
      </c>
      <c r="G2419" t="s">
        <v>191</v>
      </c>
      <c r="H2419">
        <v>22190</v>
      </c>
    </row>
    <row r="2420" spans="1:8">
      <c r="A2420">
        <v>5352</v>
      </c>
      <c r="B2420" t="s">
        <v>2625</v>
      </c>
      <c r="C2420">
        <v>5697</v>
      </c>
      <c r="D2420" t="s">
        <v>2344</v>
      </c>
      <c r="E2420" t="s">
        <v>2036</v>
      </c>
      <c r="F2420">
        <v>202203</v>
      </c>
      <c r="G2420" t="s">
        <v>176</v>
      </c>
      <c r="H2420">
        <v>0</v>
      </c>
    </row>
    <row r="2421" spans="1:8">
      <c r="A2421">
        <v>5352</v>
      </c>
      <c r="B2421" t="s">
        <v>2625</v>
      </c>
      <c r="C2421">
        <v>5697</v>
      </c>
      <c r="D2421" t="s">
        <v>2344</v>
      </c>
      <c r="E2421" t="s">
        <v>2036</v>
      </c>
      <c r="F2421">
        <v>202203</v>
      </c>
      <c r="G2421" t="s">
        <v>178</v>
      </c>
      <c r="H2421">
        <v>538</v>
      </c>
    </row>
    <row r="2422" spans="1:8">
      <c r="A2422">
        <v>5352</v>
      </c>
      <c r="B2422" t="s">
        <v>2625</v>
      </c>
      <c r="C2422">
        <v>5697</v>
      </c>
      <c r="D2422" t="s">
        <v>2344</v>
      </c>
      <c r="E2422" t="s">
        <v>2036</v>
      </c>
      <c r="F2422">
        <v>202203</v>
      </c>
      <c r="G2422" t="s">
        <v>180</v>
      </c>
      <c r="H2422">
        <v>530</v>
      </c>
    </row>
    <row r="2423" spans="1:8">
      <c r="A2423">
        <v>5352</v>
      </c>
      <c r="B2423" t="s">
        <v>2625</v>
      </c>
      <c r="C2423">
        <v>5697</v>
      </c>
      <c r="D2423" t="s">
        <v>2344</v>
      </c>
      <c r="E2423" t="s">
        <v>2036</v>
      </c>
      <c r="F2423">
        <v>202203</v>
      </c>
      <c r="G2423" t="s">
        <v>182</v>
      </c>
      <c r="H2423">
        <v>172212</v>
      </c>
    </row>
    <row r="2424" spans="1:8">
      <c r="A2424">
        <v>5352</v>
      </c>
      <c r="B2424" t="s">
        <v>2625</v>
      </c>
      <c r="C2424">
        <v>5697</v>
      </c>
      <c r="D2424" t="s">
        <v>2344</v>
      </c>
      <c r="E2424" t="s">
        <v>2036</v>
      </c>
      <c r="F2424">
        <v>202203</v>
      </c>
      <c r="G2424" t="s">
        <v>184</v>
      </c>
      <c r="H2424">
        <v>22190</v>
      </c>
    </row>
    <row r="2425" spans="1:8">
      <c r="A2425">
        <v>5352</v>
      </c>
      <c r="B2425" t="s">
        <v>2625</v>
      </c>
      <c r="C2425">
        <v>5697</v>
      </c>
      <c r="D2425" t="s">
        <v>2344</v>
      </c>
      <c r="E2425" t="s">
        <v>2036</v>
      </c>
      <c r="F2425">
        <v>202203</v>
      </c>
      <c r="G2425" t="s">
        <v>192</v>
      </c>
      <c r="H2425">
        <v>0</v>
      </c>
    </row>
    <row r="2426" spans="1:8">
      <c r="A2426">
        <v>5352</v>
      </c>
      <c r="B2426" t="s">
        <v>2625</v>
      </c>
      <c r="C2426">
        <v>5697</v>
      </c>
      <c r="D2426" t="s">
        <v>2344</v>
      </c>
      <c r="E2426" t="s">
        <v>2036</v>
      </c>
      <c r="F2426">
        <v>202203</v>
      </c>
      <c r="G2426" t="s">
        <v>2170</v>
      </c>
      <c r="H2426">
        <v>1699.57</v>
      </c>
    </row>
    <row r="2427" spans="1:8">
      <c r="A2427">
        <v>5352</v>
      </c>
      <c r="B2427" t="s">
        <v>2625</v>
      </c>
      <c r="C2427">
        <v>5697</v>
      </c>
      <c r="D2427" t="s">
        <v>2344</v>
      </c>
      <c r="E2427" t="s">
        <v>2036</v>
      </c>
      <c r="F2427">
        <v>202203</v>
      </c>
      <c r="G2427" t="s">
        <v>186</v>
      </c>
      <c r="H2427">
        <v>0</v>
      </c>
    </row>
    <row r="2428" spans="1:8">
      <c r="A2428">
        <v>5352</v>
      </c>
      <c r="B2428" t="s">
        <v>2625</v>
      </c>
      <c r="C2428">
        <v>5697</v>
      </c>
      <c r="D2428" t="s">
        <v>2344</v>
      </c>
      <c r="E2428" t="s">
        <v>2036</v>
      </c>
      <c r="F2428">
        <v>202203</v>
      </c>
      <c r="G2428" t="s">
        <v>2169</v>
      </c>
      <c r="H2428">
        <v>182.65</v>
      </c>
    </row>
    <row r="2429" spans="1:8">
      <c r="A2429">
        <v>5352</v>
      </c>
      <c r="B2429" t="s">
        <v>2625</v>
      </c>
      <c r="C2429">
        <v>5697</v>
      </c>
      <c r="D2429" t="s">
        <v>2344</v>
      </c>
      <c r="E2429" t="s">
        <v>2036</v>
      </c>
      <c r="F2429">
        <v>202203</v>
      </c>
      <c r="G2429" t="s">
        <v>2166</v>
      </c>
      <c r="H2429">
        <v>11.83</v>
      </c>
    </row>
    <row r="2430" spans="1:8">
      <c r="A2430">
        <v>5352</v>
      </c>
      <c r="B2430" t="s">
        <v>2625</v>
      </c>
      <c r="C2430">
        <v>5697</v>
      </c>
      <c r="D2430" t="s">
        <v>2344</v>
      </c>
      <c r="E2430" t="s">
        <v>2036</v>
      </c>
      <c r="F2430">
        <v>202203</v>
      </c>
      <c r="G2430" t="s">
        <v>2167</v>
      </c>
      <c r="H2430">
        <v>21.22</v>
      </c>
    </row>
    <row r="2431" spans="1:8">
      <c r="A2431">
        <v>5352</v>
      </c>
      <c r="B2431" t="s">
        <v>2625</v>
      </c>
      <c r="C2431">
        <v>5697</v>
      </c>
      <c r="D2431" t="s">
        <v>2344</v>
      </c>
      <c r="E2431" t="s">
        <v>2036</v>
      </c>
      <c r="F2431">
        <v>202203</v>
      </c>
      <c r="G2431" t="s">
        <v>2168</v>
      </c>
      <c r="H2431">
        <v>14.37</v>
      </c>
    </row>
    <row r="2432" spans="1:8">
      <c r="A2432">
        <v>5352</v>
      </c>
      <c r="B2432" t="s">
        <v>2625</v>
      </c>
      <c r="C2432">
        <v>5697</v>
      </c>
      <c r="D2432" t="s">
        <v>2344</v>
      </c>
      <c r="E2432" t="s">
        <v>2036</v>
      </c>
      <c r="F2432">
        <v>202203</v>
      </c>
      <c r="G2432" t="s">
        <v>2171</v>
      </c>
      <c r="H2432">
        <v>58490.22</v>
      </c>
    </row>
    <row r="2433" spans="1:8">
      <c r="A2433">
        <v>5352</v>
      </c>
      <c r="B2433" t="s">
        <v>2625</v>
      </c>
      <c r="C2433">
        <v>5697</v>
      </c>
      <c r="D2433" t="s">
        <v>2344</v>
      </c>
      <c r="E2433" t="s">
        <v>2036</v>
      </c>
      <c r="F2433">
        <v>202203</v>
      </c>
      <c r="G2433" t="s">
        <v>190</v>
      </c>
      <c r="H2433">
        <v>914123</v>
      </c>
    </row>
    <row r="2434" spans="1:8">
      <c r="A2434">
        <v>5352</v>
      </c>
      <c r="B2434" t="s">
        <v>2625</v>
      </c>
      <c r="C2434">
        <v>5697</v>
      </c>
      <c r="D2434" t="s">
        <v>2344</v>
      </c>
      <c r="E2434" t="s">
        <v>2036</v>
      </c>
      <c r="F2434">
        <v>202203</v>
      </c>
      <c r="G2434" t="s">
        <v>191</v>
      </c>
      <c r="H2434">
        <v>127012</v>
      </c>
    </row>
    <row r="2435" spans="1:8">
      <c r="A2435">
        <v>5352</v>
      </c>
      <c r="B2435" t="s">
        <v>2625</v>
      </c>
      <c r="C2435">
        <v>5697</v>
      </c>
      <c r="D2435" t="s">
        <v>2344</v>
      </c>
      <c r="E2435" t="s">
        <v>2036</v>
      </c>
      <c r="F2435">
        <v>202203</v>
      </c>
      <c r="G2435" t="s">
        <v>176</v>
      </c>
      <c r="H2435">
        <v>0</v>
      </c>
    </row>
    <row r="2436" spans="1:8">
      <c r="A2436">
        <v>5352</v>
      </c>
      <c r="B2436" t="s">
        <v>2625</v>
      </c>
      <c r="C2436">
        <v>5697</v>
      </c>
      <c r="D2436" t="s">
        <v>2344</v>
      </c>
      <c r="E2436" t="s">
        <v>2036</v>
      </c>
      <c r="F2436">
        <v>202203</v>
      </c>
      <c r="G2436" t="s">
        <v>178</v>
      </c>
      <c r="H2436">
        <v>2750</v>
      </c>
    </row>
    <row r="2437" spans="1:8">
      <c r="A2437">
        <v>5352</v>
      </c>
      <c r="B2437" t="s">
        <v>2625</v>
      </c>
      <c r="C2437">
        <v>5697</v>
      </c>
      <c r="D2437" t="s">
        <v>2344</v>
      </c>
      <c r="E2437" t="s">
        <v>2036</v>
      </c>
      <c r="F2437">
        <v>202203</v>
      </c>
      <c r="G2437" t="s">
        <v>180</v>
      </c>
      <c r="H2437">
        <v>2760</v>
      </c>
    </row>
    <row r="2438" spans="1:8">
      <c r="A2438">
        <v>5352</v>
      </c>
      <c r="B2438" t="s">
        <v>2625</v>
      </c>
      <c r="C2438">
        <v>5697</v>
      </c>
      <c r="D2438" t="s">
        <v>2344</v>
      </c>
      <c r="E2438" t="s">
        <v>2036</v>
      </c>
      <c r="F2438">
        <v>202203</v>
      </c>
      <c r="G2438" t="s">
        <v>182</v>
      </c>
      <c r="H2438">
        <v>975318</v>
      </c>
    </row>
    <row r="2439" spans="1:8">
      <c r="A2439">
        <v>5352</v>
      </c>
      <c r="B2439" t="s">
        <v>2625</v>
      </c>
      <c r="C2439">
        <v>5697</v>
      </c>
      <c r="D2439" t="s">
        <v>2344</v>
      </c>
      <c r="E2439" t="s">
        <v>2036</v>
      </c>
      <c r="F2439">
        <v>202203</v>
      </c>
      <c r="G2439" t="s">
        <v>184</v>
      </c>
      <c r="H2439">
        <v>127012</v>
      </c>
    </row>
    <row r="2440" spans="1:8">
      <c r="A2440">
        <v>5352</v>
      </c>
      <c r="B2440" t="s">
        <v>2625</v>
      </c>
      <c r="C2440">
        <v>5697</v>
      </c>
      <c r="D2440" t="s">
        <v>2344</v>
      </c>
      <c r="E2440" t="s">
        <v>2036</v>
      </c>
      <c r="F2440">
        <v>202203</v>
      </c>
      <c r="G2440" t="s">
        <v>192</v>
      </c>
      <c r="H2440">
        <v>0</v>
      </c>
    </row>
    <row r="2441" spans="1:8">
      <c r="A2441">
        <v>5352</v>
      </c>
      <c r="B2441" t="s">
        <v>2625</v>
      </c>
      <c r="C2441">
        <v>5697</v>
      </c>
      <c r="D2441" t="s">
        <v>2344</v>
      </c>
      <c r="E2441" t="s">
        <v>2036</v>
      </c>
      <c r="F2441">
        <v>202203</v>
      </c>
      <c r="G2441" t="s">
        <v>2170</v>
      </c>
      <c r="H2441">
        <v>8747.1299999999992</v>
      </c>
    </row>
    <row r="2442" spans="1:8">
      <c r="A2442">
        <v>5352</v>
      </c>
      <c r="B2442" t="s">
        <v>2625</v>
      </c>
      <c r="C2442">
        <v>5697</v>
      </c>
      <c r="D2442" t="s">
        <v>2344</v>
      </c>
      <c r="E2442" t="s">
        <v>2036</v>
      </c>
      <c r="F2442">
        <v>202203</v>
      </c>
      <c r="G2442" t="s">
        <v>186</v>
      </c>
      <c r="H2442">
        <v>61195</v>
      </c>
    </row>
    <row r="2443" spans="1:8">
      <c r="A2443">
        <v>5352</v>
      </c>
      <c r="B2443" t="s">
        <v>2625</v>
      </c>
      <c r="C2443">
        <v>5697</v>
      </c>
      <c r="D2443" t="s">
        <v>2344</v>
      </c>
      <c r="E2443" t="s">
        <v>2036</v>
      </c>
      <c r="F2443">
        <v>202203</v>
      </c>
      <c r="G2443" t="s">
        <v>2169</v>
      </c>
      <c r="H2443">
        <v>182.65</v>
      </c>
    </row>
    <row r="2444" spans="1:8">
      <c r="A2444">
        <v>5352</v>
      </c>
      <c r="B2444" t="s">
        <v>2625</v>
      </c>
      <c r="C2444">
        <v>5697</v>
      </c>
      <c r="D2444" t="s">
        <v>2344</v>
      </c>
      <c r="E2444" t="s">
        <v>2036</v>
      </c>
      <c r="F2444">
        <v>202203</v>
      </c>
      <c r="G2444" t="s">
        <v>2166</v>
      </c>
      <c r="H2444">
        <v>11.83</v>
      </c>
    </row>
    <row r="2445" spans="1:8">
      <c r="A2445">
        <v>5352</v>
      </c>
      <c r="B2445" t="s">
        <v>2625</v>
      </c>
      <c r="C2445">
        <v>5697</v>
      </c>
      <c r="D2445" t="s">
        <v>2344</v>
      </c>
      <c r="E2445" t="s">
        <v>2036</v>
      </c>
      <c r="F2445">
        <v>202203</v>
      </c>
      <c r="G2445" t="s">
        <v>2167</v>
      </c>
      <c r="H2445">
        <v>21.22</v>
      </c>
    </row>
    <row r="2446" spans="1:8">
      <c r="A2446">
        <v>5352</v>
      </c>
      <c r="B2446" t="s">
        <v>2625</v>
      </c>
      <c r="C2446">
        <v>5697</v>
      </c>
      <c r="D2446" t="s">
        <v>2344</v>
      </c>
      <c r="E2446" t="s">
        <v>2036</v>
      </c>
      <c r="F2446">
        <v>202203</v>
      </c>
      <c r="G2446" t="s">
        <v>2168</v>
      </c>
      <c r="H2446">
        <v>14.37</v>
      </c>
    </row>
    <row r="2447" spans="1:8">
      <c r="A2447">
        <v>5352</v>
      </c>
      <c r="B2447" t="s">
        <v>2625</v>
      </c>
      <c r="C2447">
        <v>5697</v>
      </c>
      <c r="D2447" t="s">
        <v>2344</v>
      </c>
      <c r="E2447" t="s">
        <v>2036</v>
      </c>
      <c r="F2447">
        <v>202203</v>
      </c>
      <c r="G2447" t="s">
        <v>2171</v>
      </c>
      <c r="H2447">
        <v>280136.90000000002</v>
      </c>
    </row>
    <row r="2448" spans="1:8">
      <c r="A2448">
        <v>5352</v>
      </c>
      <c r="B2448" t="s">
        <v>2625</v>
      </c>
      <c r="C2448">
        <v>5697</v>
      </c>
      <c r="D2448" t="s">
        <v>2344</v>
      </c>
      <c r="E2448" t="s">
        <v>2036</v>
      </c>
      <c r="F2448">
        <v>202203</v>
      </c>
      <c r="G2448" t="s">
        <v>190</v>
      </c>
      <c r="H2448">
        <v>216027</v>
      </c>
    </row>
    <row r="2449" spans="1:8">
      <c r="A2449">
        <v>5352</v>
      </c>
      <c r="B2449" t="s">
        <v>2625</v>
      </c>
      <c r="C2449">
        <v>5697</v>
      </c>
      <c r="D2449" t="s">
        <v>2344</v>
      </c>
      <c r="E2449" t="s">
        <v>2036</v>
      </c>
      <c r="F2449">
        <v>202203</v>
      </c>
      <c r="G2449" t="s">
        <v>191</v>
      </c>
      <c r="H2449">
        <v>29233</v>
      </c>
    </row>
    <row r="2450" spans="1:8">
      <c r="A2450">
        <v>5352</v>
      </c>
      <c r="B2450" t="s">
        <v>2625</v>
      </c>
      <c r="C2450">
        <v>5697</v>
      </c>
      <c r="D2450" t="s">
        <v>2344</v>
      </c>
      <c r="E2450" t="s">
        <v>2036</v>
      </c>
      <c r="F2450">
        <v>202203</v>
      </c>
      <c r="G2450" t="s">
        <v>176</v>
      </c>
      <c r="H2450">
        <v>0</v>
      </c>
    </row>
    <row r="2451" spans="1:8">
      <c r="A2451">
        <v>5352</v>
      </c>
      <c r="B2451" t="s">
        <v>2625</v>
      </c>
      <c r="C2451">
        <v>5697</v>
      </c>
      <c r="D2451" t="s">
        <v>2344</v>
      </c>
      <c r="E2451" t="s">
        <v>2036</v>
      </c>
      <c r="F2451">
        <v>202203</v>
      </c>
      <c r="G2451" t="s">
        <v>178</v>
      </c>
      <c r="H2451">
        <v>700</v>
      </c>
    </row>
    <row r="2452" spans="1:8">
      <c r="A2452">
        <v>5352</v>
      </c>
      <c r="B2452" t="s">
        <v>2625</v>
      </c>
      <c r="C2452">
        <v>5697</v>
      </c>
      <c r="D2452" t="s">
        <v>2344</v>
      </c>
      <c r="E2452" t="s">
        <v>2036</v>
      </c>
      <c r="F2452">
        <v>202203</v>
      </c>
      <c r="G2452" t="s">
        <v>180</v>
      </c>
      <c r="H2452">
        <v>680</v>
      </c>
    </row>
    <row r="2453" spans="1:8">
      <c r="A2453">
        <v>5352</v>
      </c>
      <c r="B2453" t="s">
        <v>2625</v>
      </c>
      <c r="C2453">
        <v>5697</v>
      </c>
      <c r="D2453" t="s">
        <v>2344</v>
      </c>
      <c r="E2453" t="s">
        <v>2036</v>
      </c>
      <c r="F2453">
        <v>202203</v>
      </c>
      <c r="G2453" t="s">
        <v>182</v>
      </c>
      <c r="H2453">
        <v>216027</v>
      </c>
    </row>
    <row r="2454" spans="1:8">
      <c r="A2454">
        <v>5352</v>
      </c>
      <c r="B2454" t="s">
        <v>2625</v>
      </c>
      <c r="C2454">
        <v>5697</v>
      </c>
      <c r="D2454" t="s">
        <v>2344</v>
      </c>
      <c r="E2454" t="s">
        <v>2036</v>
      </c>
      <c r="F2454">
        <v>202203</v>
      </c>
      <c r="G2454" t="s">
        <v>184</v>
      </c>
      <c r="H2454">
        <v>29233</v>
      </c>
    </row>
    <row r="2455" spans="1:8">
      <c r="A2455">
        <v>5352</v>
      </c>
      <c r="B2455" t="s">
        <v>2625</v>
      </c>
      <c r="C2455">
        <v>5697</v>
      </c>
      <c r="D2455" t="s">
        <v>2344</v>
      </c>
      <c r="E2455" t="s">
        <v>2036</v>
      </c>
      <c r="F2455">
        <v>202203</v>
      </c>
      <c r="G2455" t="s">
        <v>192</v>
      </c>
      <c r="H2455">
        <v>0</v>
      </c>
    </row>
    <row r="2456" spans="1:8">
      <c r="A2456">
        <v>5352</v>
      </c>
      <c r="B2456" t="s">
        <v>2625</v>
      </c>
      <c r="C2456">
        <v>5697</v>
      </c>
      <c r="D2456" t="s">
        <v>2344</v>
      </c>
      <c r="E2456" t="s">
        <v>2036</v>
      </c>
      <c r="F2456">
        <v>202203</v>
      </c>
      <c r="G2456" t="s">
        <v>2170</v>
      </c>
      <c r="H2456">
        <v>2191.7600000000002</v>
      </c>
    </row>
    <row r="2457" spans="1:8">
      <c r="A2457">
        <v>5352</v>
      </c>
      <c r="B2457" t="s">
        <v>2625</v>
      </c>
      <c r="C2457">
        <v>5697</v>
      </c>
      <c r="D2457" t="s">
        <v>2344</v>
      </c>
      <c r="E2457" t="s">
        <v>2036</v>
      </c>
      <c r="F2457">
        <v>202203</v>
      </c>
      <c r="G2457" t="s">
        <v>186</v>
      </c>
      <c r="H2457">
        <v>0</v>
      </c>
    </row>
    <row r="2458" spans="1:8">
      <c r="A2458">
        <v>5352</v>
      </c>
      <c r="B2458" t="s">
        <v>2625</v>
      </c>
      <c r="C2458">
        <v>5697</v>
      </c>
      <c r="D2458" t="s">
        <v>2344</v>
      </c>
      <c r="E2458" t="s">
        <v>2036</v>
      </c>
      <c r="F2458">
        <v>202203</v>
      </c>
      <c r="G2458" t="s">
        <v>2169</v>
      </c>
      <c r="H2458">
        <v>182.65</v>
      </c>
    </row>
    <row r="2459" spans="1:8">
      <c r="A2459">
        <v>5352</v>
      </c>
      <c r="B2459" t="s">
        <v>2625</v>
      </c>
      <c r="C2459">
        <v>5697</v>
      </c>
      <c r="D2459" t="s">
        <v>2344</v>
      </c>
      <c r="E2459" t="s">
        <v>2036</v>
      </c>
      <c r="F2459">
        <v>202203</v>
      </c>
      <c r="G2459" t="s">
        <v>2166</v>
      </c>
      <c r="H2459">
        <v>11.83</v>
      </c>
    </row>
    <row r="2460" spans="1:8">
      <c r="A2460">
        <v>5352</v>
      </c>
      <c r="B2460" t="s">
        <v>2625</v>
      </c>
      <c r="C2460">
        <v>5697</v>
      </c>
      <c r="D2460" t="s">
        <v>2344</v>
      </c>
      <c r="E2460" t="s">
        <v>2036</v>
      </c>
      <c r="F2460">
        <v>202203</v>
      </c>
      <c r="G2460" t="s">
        <v>2167</v>
      </c>
      <c r="H2460">
        <v>21.22</v>
      </c>
    </row>
    <row r="2461" spans="1:8">
      <c r="A2461">
        <v>5352</v>
      </c>
      <c r="B2461" t="s">
        <v>2625</v>
      </c>
      <c r="C2461">
        <v>5697</v>
      </c>
      <c r="D2461" t="s">
        <v>2344</v>
      </c>
      <c r="E2461" t="s">
        <v>2036</v>
      </c>
      <c r="F2461">
        <v>202203</v>
      </c>
      <c r="G2461" t="s">
        <v>2168</v>
      </c>
      <c r="H2461">
        <v>14.37</v>
      </c>
    </row>
    <row r="2462" spans="1:8">
      <c r="A2462">
        <v>5352</v>
      </c>
      <c r="B2462" t="s">
        <v>2625</v>
      </c>
      <c r="C2462">
        <v>5697</v>
      </c>
      <c r="D2462" t="s">
        <v>2344</v>
      </c>
      <c r="E2462" t="s">
        <v>2036</v>
      </c>
      <c r="F2462">
        <v>202203</v>
      </c>
      <c r="G2462" t="s">
        <v>2171</v>
      </c>
      <c r="H2462">
        <v>73273.929999999993</v>
      </c>
    </row>
    <row r="2463" spans="1:8">
      <c r="A2463">
        <v>5352</v>
      </c>
      <c r="B2463" t="s">
        <v>2625</v>
      </c>
      <c r="C2463">
        <v>5697</v>
      </c>
      <c r="D2463" t="s">
        <v>2344</v>
      </c>
      <c r="E2463" t="s">
        <v>2036</v>
      </c>
      <c r="F2463">
        <v>202203</v>
      </c>
      <c r="G2463" t="s">
        <v>190</v>
      </c>
      <c r="H2463">
        <v>12892</v>
      </c>
    </row>
    <row r="2464" spans="1:8">
      <c r="A2464">
        <v>5352</v>
      </c>
      <c r="B2464" t="s">
        <v>2625</v>
      </c>
      <c r="C2464">
        <v>5697</v>
      </c>
      <c r="D2464" t="s">
        <v>2344</v>
      </c>
      <c r="E2464" t="s">
        <v>2036</v>
      </c>
      <c r="F2464">
        <v>202203</v>
      </c>
      <c r="G2464" t="s">
        <v>191</v>
      </c>
      <c r="H2464">
        <v>1821</v>
      </c>
    </row>
    <row r="2465" spans="1:8">
      <c r="A2465">
        <v>5352</v>
      </c>
      <c r="B2465" t="s">
        <v>2625</v>
      </c>
      <c r="C2465">
        <v>5697</v>
      </c>
      <c r="D2465" t="s">
        <v>2344</v>
      </c>
      <c r="E2465" t="s">
        <v>2036</v>
      </c>
      <c r="F2465">
        <v>202203</v>
      </c>
      <c r="G2465" t="s">
        <v>176</v>
      </c>
      <c r="H2465">
        <v>0</v>
      </c>
    </row>
    <row r="2466" spans="1:8">
      <c r="A2466">
        <v>5352</v>
      </c>
      <c r="B2466" t="s">
        <v>2625</v>
      </c>
      <c r="C2466">
        <v>5697</v>
      </c>
      <c r="D2466" t="s">
        <v>2344</v>
      </c>
      <c r="E2466" t="s">
        <v>2036</v>
      </c>
      <c r="F2466">
        <v>202203</v>
      </c>
      <c r="G2466" t="s">
        <v>178</v>
      </c>
      <c r="H2466">
        <v>120</v>
      </c>
    </row>
    <row r="2467" spans="1:8">
      <c r="A2467">
        <v>5352</v>
      </c>
      <c r="B2467" t="s">
        <v>2625</v>
      </c>
      <c r="C2467">
        <v>5697</v>
      </c>
      <c r="D2467" t="s">
        <v>2344</v>
      </c>
      <c r="E2467" t="s">
        <v>2036</v>
      </c>
      <c r="F2467">
        <v>202203</v>
      </c>
      <c r="G2467" t="s">
        <v>180</v>
      </c>
      <c r="H2467">
        <v>120</v>
      </c>
    </row>
    <row r="2468" spans="1:8">
      <c r="A2468">
        <v>5352</v>
      </c>
      <c r="B2468" t="s">
        <v>2625</v>
      </c>
      <c r="C2468">
        <v>5697</v>
      </c>
      <c r="D2468" t="s">
        <v>2344</v>
      </c>
      <c r="E2468" t="s">
        <v>2036</v>
      </c>
      <c r="F2468">
        <v>202203</v>
      </c>
      <c r="G2468" t="s">
        <v>182</v>
      </c>
      <c r="H2468">
        <v>12892</v>
      </c>
    </row>
    <row r="2469" spans="1:8">
      <c r="A2469">
        <v>5352</v>
      </c>
      <c r="B2469" t="s">
        <v>2625</v>
      </c>
      <c r="C2469">
        <v>5697</v>
      </c>
      <c r="D2469" t="s">
        <v>2344</v>
      </c>
      <c r="E2469" t="s">
        <v>2036</v>
      </c>
      <c r="F2469">
        <v>202203</v>
      </c>
      <c r="G2469" t="s">
        <v>184</v>
      </c>
      <c r="H2469">
        <v>1821</v>
      </c>
    </row>
    <row r="2470" spans="1:8">
      <c r="A2470">
        <v>5352</v>
      </c>
      <c r="B2470" t="s">
        <v>2625</v>
      </c>
      <c r="C2470">
        <v>5697</v>
      </c>
      <c r="D2470" t="s">
        <v>2344</v>
      </c>
      <c r="E2470" t="s">
        <v>2036</v>
      </c>
      <c r="F2470">
        <v>202203</v>
      </c>
      <c r="G2470" t="s">
        <v>192</v>
      </c>
      <c r="H2470">
        <v>0</v>
      </c>
    </row>
    <row r="2471" spans="1:8">
      <c r="A2471">
        <v>5352</v>
      </c>
      <c r="B2471" t="s">
        <v>2625</v>
      </c>
      <c r="C2471">
        <v>5697</v>
      </c>
      <c r="D2471" t="s">
        <v>2344</v>
      </c>
      <c r="E2471" t="s">
        <v>2036</v>
      </c>
      <c r="F2471">
        <v>202203</v>
      </c>
      <c r="G2471" t="s">
        <v>2170</v>
      </c>
      <c r="H2471">
        <v>202.1</v>
      </c>
    </row>
    <row r="2472" spans="1:8">
      <c r="A2472">
        <v>5352</v>
      </c>
      <c r="B2472" t="s">
        <v>2625</v>
      </c>
      <c r="C2472">
        <v>5697</v>
      </c>
      <c r="D2472" t="s">
        <v>2344</v>
      </c>
      <c r="E2472" t="s">
        <v>2036</v>
      </c>
      <c r="F2472">
        <v>202203</v>
      </c>
      <c r="G2472" t="s">
        <v>186</v>
      </c>
      <c r="H2472">
        <v>0</v>
      </c>
    </row>
    <row r="2473" spans="1:8">
      <c r="A2473">
        <v>5352</v>
      </c>
      <c r="B2473" t="s">
        <v>2625</v>
      </c>
      <c r="C2473">
        <v>5697</v>
      </c>
      <c r="D2473" t="s">
        <v>2344</v>
      </c>
      <c r="E2473" t="s">
        <v>2036</v>
      </c>
      <c r="F2473">
        <v>202203</v>
      </c>
      <c r="G2473" t="s">
        <v>2169</v>
      </c>
      <c r="H2473">
        <v>182.65</v>
      </c>
    </row>
    <row r="2474" spans="1:8">
      <c r="A2474">
        <v>5352</v>
      </c>
      <c r="B2474" t="s">
        <v>2625</v>
      </c>
      <c r="C2474">
        <v>5697</v>
      </c>
      <c r="D2474" t="s">
        <v>2344</v>
      </c>
      <c r="E2474" t="s">
        <v>2036</v>
      </c>
      <c r="F2474">
        <v>202203</v>
      </c>
      <c r="G2474" t="s">
        <v>2166</v>
      </c>
      <c r="H2474">
        <v>11.83</v>
      </c>
    </row>
    <row r="2475" spans="1:8">
      <c r="A2475">
        <v>5352</v>
      </c>
      <c r="B2475" t="s">
        <v>2625</v>
      </c>
      <c r="C2475">
        <v>5697</v>
      </c>
      <c r="D2475" t="s">
        <v>2344</v>
      </c>
      <c r="E2475" t="s">
        <v>2036</v>
      </c>
      <c r="F2475">
        <v>202203</v>
      </c>
      <c r="G2475" t="s">
        <v>2167</v>
      </c>
      <c r="H2475">
        <v>21.22</v>
      </c>
    </row>
    <row r="2476" spans="1:8">
      <c r="A2476">
        <v>5352</v>
      </c>
      <c r="B2476" t="s">
        <v>2625</v>
      </c>
      <c r="C2476">
        <v>5697</v>
      </c>
      <c r="D2476" t="s">
        <v>2344</v>
      </c>
      <c r="E2476" t="s">
        <v>2036</v>
      </c>
      <c r="F2476">
        <v>202203</v>
      </c>
      <c r="G2476" t="s">
        <v>2168</v>
      </c>
      <c r="H2476">
        <v>14.37</v>
      </c>
    </row>
    <row r="2477" spans="1:8">
      <c r="A2477">
        <v>5352</v>
      </c>
      <c r="B2477" t="s">
        <v>2625</v>
      </c>
      <c r="C2477">
        <v>5697</v>
      </c>
      <c r="D2477" t="s">
        <v>2344</v>
      </c>
      <c r="E2477" t="s">
        <v>2036</v>
      </c>
      <c r="F2477">
        <v>202203</v>
      </c>
      <c r="G2477" t="s">
        <v>2171</v>
      </c>
      <c r="H2477">
        <v>7066.83</v>
      </c>
    </row>
    <row r="2478" spans="1:8">
      <c r="A2478">
        <v>5352</v>
      </c>
      <c r="B2478" t="s">
        <v>2625</v>
      </c>
      <c r="C2478">
        <v>5697</v>
      </c>
      <c r="D2478" t="s">
        <v>2344</v>
      </c>
      <c r="E2478" t="s">
        <v>2036</v>
      </c>
      <c r="F2478">
        <v>202203</v>
      </c>
      <c r="G2478" t="s">
        <v>190</v>
      </c>
      <c r="H2478">
        <v>603202</v>
      </c>
    </row>
    <row r="2479" spans="1:8">
      <c r="A2479">
        <v>5352</v>
      </c>
      <c r="B2479" t="s">
        <v>2625</v>
      </c>
      <c r="C2479">
        <v>5697</v>
      </c>
      <c r="D2479" t="s">
        <v>2344</v>
      </c>
      <c r="E2479" t="s">
        <v>2036</v>
      </c>
      <c r="F2479">
        <v>202203</v>
      </c>
      <c r="G2479" t="s">
        <v>191</v>
      </c>
      <c r="H2479">
        <v>37199</v>
      </c>
    </row>
    <row r="2480" spans="1:8">
      <c r="A2480">
        <v>5352</v>
      </c>
      <c r="B2480" t="s">
        <v>2625</v>
      </c>
      <c r="C2480">
        <v>5697</v>
      </c>
      <c r="D2480" t="s">
        <v>2344</v>
      </c>
      <c r="E2480" t="s">
        <v>2036</v>
      </c>
      <c r="F2480">
        <v>202203</v>
      </c>
      <c r="G2480" t="s">
        <v>176</v>
      </c>
      <c r="H2480">
        <v>0</v>
      </c>
    </row>
    <row r="2481" spans="1:8">
      <c r="A2481">
        <v>5352</v>
      </c>
      <c r="B2481" t="s">
        <v>2625</v>
      </c>
      <c r="C2481">
        <v>5697</v>
      </c>
      <c r="D2481" t="s">
        <v>2344</v>
      </c>
      <c r="E2481" t="s">
        <v>2036</v>
      </c>
      <c r="F2481">
        <v>202203</v>
      </c>
      <c r="G2481" t="s">
        <v>178</v>
      </c>
      <c r="H2481">
        <v>1450</v>
      </c>
    </row>
    <row r="2482" spans="1:8">
      <c r="A2482">
        <v>5352</v>
      </c>
      <c r="B2482" t="s">
        <v>2625</v>
      </c>
      <c r="C2482">
        <v>5697</v>
      </c>
      <c r="D2482" t="s">
        <v>2344</v>
      </c>
      <c r="E2482" t="s">
        <v>2036</v>
      </c>
      <c r="F2482">
        <v>202203</v>
      </c>
      <c r="G2482" t="s">
        <v>180</v>
      </c>
      <c r="H2482">
        <v>1450</v>
      </c>
    </row>
    <row r="2483" spans="1:8">
      <c r="A2483">
        <v>5352</v>
      </c>
      <c r="B2483" t="s">
        <v>2625</v>
      </c>
      <c r="C2483">
        <v>5697</v>
      </c>
      <c r="D2483" t="s">
        <v>2344</v>
      </c>
      <c r="E2483" t="s">
        <v>2036</v>
      </c>
      <c r="F2483">
        <v>202203</v>
      </c>
      <c r="G2483" t="s">
        <v>182</v>
      </c>
      <c r="H2483">
        <v>603202</v>
      </c>
    </row>
    <row r="2484" spans="1:8">
      <c r="A2484">
        <v>5352</v>
      </c>
      <c r="B2484" t="s">
        <v>2625</v>
      </c>
      <c r="C2484">
        <v>5697</v>
      </c>
      <c r="D2484" t="s">
        <v>2344</v>
      </c>
      <c r="E2484" t="s">
        <v>2036</v>
      </c>
      <c r="F2484">
        <v>202203</v>
      </c>
      <c r="G2484" t="s">
        <v>184</v>
      </c>
      <c r="H2484">
        <v>37199</v>
      </c>
    </row>
    <row r="2485" spans="1:8">
      <c r="A2485">
        <v>5352</v>
      </c>
      <c r="B2485" t="s">
        <v>2625</v>
      </c>
      <c r="C2485">
        <v>5697</v>
      </c>
      <c r="D2485" t="s">
        <v>2344</v>
      </c>
      <c r="E2485" t="s">
        <v>2036</v>
      </c>
      <c r="F2485">
        <v>202203</v>
      </c>
      <c r="G2485" t="s">
        <v>192</v>
      </c>
      <c r="H2485">
        <v>0</v>
      </c>
    </row>
    <row r="2486" spans="1:8">
      <c r="A2486">
        <v>5352</v>
      </c>
      <c r="B2486" t="s">
        <v>2625</v>
      </c>
      <c r="C2486">
        <v>5697</v>
      </c>
      <c r="D2486" t="s">
        <v>2344</v>
      </c>
      <c r="E2486" t="s">
        <v>2036</v>
      </c>
      <c r="F2486">
        <v>202203</v>
      </c>
      <c r="G2486" t="s">
        <v>2170</v>
      </c>
      <c r="H2486">
        <v>5125.7</v>
      </c>
    </row>
    <row r="2487" spans="1:8">
      <c r="A2487">
        <v>5352</v>
      </c>
      <c r="B2487" t="s">
        <v>2625</v>
      </c>
      <c r="C2487">
        <v>5697</v>
      </c>
      <c r="D2487" t="s">
        <v>2344</v>
      </c>
      <c r="E2487" t="s">
        <v>2036</v>
      </c>
      <c r="F2487">
        <v>202203</v>
      </c>
      <c r="G2487" t="s">
        <v>186</v>
      </c>
      <c r="H2487">
        <v>0</v>
      </c>
    </row>
    <row r="2488" spans="1:8">
      <c r="A2488">
        <v>5352</v>
      </c>
      <c r="B2488" t="s">
        <v>2625</v>
      </c>
      <c r="C2488">
        <v>5697</v>
      </c>
      <c r="D2488" t="s">
        <v>2344</v>
      </c>
      <c r="E2488" t="s">
        <v>2036</v>
      </c>
      <c r="F2488">
        <v>202203</v>
      </c>
      <c r="G2488" t="s">
        <v>2169</v>
      </c>
      <c r="H2488">
        <v>182.65</v>
      </c>
    </row>
    <row r="2489" spans="1:8">
      <c r="A2489">
        <v>5352</v>
      </c>
      <c r="B2489" t="s">
        <v>2625</v>
      </c>
      <c r="C2489">
        <v>5697</v>
      </c>
      <c r="D2489" t="s">
        <v>2344</v>
      </c>
      <c r="E2489" t="s">
        <v>2036</v>
      </c>
      <c r="F2489">
        <v>202203</v>
      </c>
      <c r="G2489" t="s">
        <v>2166</v>
      </c>
      <c r="H2489">
        <v>11.83</v>
      </c>
    </row>
    <row r="2490" spans="1:8">
      <c r="A2490">
        <v>5352</v>
      </c>
      <c r="B2490" t="s">
        <v>2625</v>
      </c>
      <c r="C2490">
        <v>5697</v>
      </c>
      <c r="D2490" t="s">
        <v>2344</v>
      </c>
      <c r="E2490" t="s">
        <v>2036</v>
      </c>
      <c r="F2490">
        <v>202203</v>
      </c>
      <c r="G2490" t="s">
        <v>2167</v>
      </c>
      <c r="H2490">
        <v>21.22</v>
      </c>
    </row>
    <row r="2491" spans="1:8">
      <c r="A2491">
        <v>5352</v>
      </c>
      <c r="B2491" t="s">
        <v>2625</v>
      </c>
      <c r="C2491">
        <v>5697</v>
      </c>
      <c r="D2491" t="s">
        <v>2344</v>
      </c>
      <c r="E2491" t="s">
        <v>2036</v>
      </c>
      <c r="F2491">
        <v>202203</v>
      </c>
      <c r="G2491" t="s">
        <v>2168</v>
      </c>
      <c r="H2491">
        <v>14.37</v>
      </c>
    </row>
    <row r="2492" spans="1:8">
      <c r="A2492">
        <v>5352</v>
      </c>
      <c r="B2492" t="s">
        <v>2625</v>
      </c>
      <c r="C2492">
        <v>5697</v>
      </c>
      <c r="D2492" t="s">
        <v>2344</v>
      </c>
      <c r="E2492" t="s">
        <v>2036</v>
      </c>
      <c r="F2492">
        <v>202203</v>
      </c>
      <c r="G2492" t="s">
        <v>2171</v>
      </c>
      <c r="H2492">
        <v>179219.98</v>
      </c>
    </row>
    <row r="2493" spans="1:8">
      <c r="A2493">
        <v>5352</v>
      </c>
      <c r="B2493" t="s">
        <v>2625</v>
      </c>
      <c r="C2493">
        <v>5697</v>
      </c>
      <c r="D2493" t="s">
        <v>2344</v>
      </c>
      <c r="E2493" t="s">
        <v>2036</v>
      </c>
      <c r="F2493">
        <v>202203</v>
      </c>
      <c r="G2493" t="s">
        <v>190</v>
      </c>
      <c r="H2493">
        <v>175859</v>
      </c>
    </row>
    <row r="2494" spans="1:8">
      <c r="A2494">
        <v>5352</v>
      </c>
      <c r="B2494" t="s">
        <v>2625</v>
      </c>
      <c r="C2494">
        <v>5697</v>
      </c>
      <c r="D2494" t="s">
        <v>2344</v>
      </c>
      <c r="E2494" t="s">
        <v>2036</v>
      </c>
      <c r="F2494">
        <v>202203</v>
      </c>
      <c r="G2494" t="s">
        <v>191</v>
      </c>
      <c r="H2494">
        <v>23786</v>
      </c>
    </row>
    <row r="2495" spans="1:8">
      <c r="A2495">
        <v>5352</v>
      </c>
      <c r="B2495" t="s">
        <v>2625</v>
      </c>
      <c r="C2495">
        <v>5697</v>
      </c>
      <c r="D2495" t="s">
        <v>2344</v>
      </c>
      <c r="E2495" t="s">
        <v>2036</v>
      </c>
      <c r="F2495">
        <v>202203</v>
      </c>
      <c r="G2495" t="s">
        <v>176</v>
      </c>
      <c r="H2495">
        <v>-1400.26</v>
      </c>
    </row>
    <row r="2496" spans="1:8">
      <c r="A2496">
        <v>5352</v>
      </c>
      <c r="B2496" t="s">
        <v>2625</v>
      </c>
      <c r="C2496">
        <v>5697</v>
      </c>
      <c r="D2496" t="s">
        <v>2344</v>
      </c>
      <c r="E2496" t="s">
        <v>2036</v>
      </c>
      <c r="F2496">
        <v>202203</v>
      </c>
      <c r="G2496" t="s">
        <v>178</v>
      </c>
      <c r="H2496">
        <v>600</v>
      </c>
    </row>
    <row r="2497" spans="1:8">
      <c r="A2497">
        <v>5352</v>
      </c>
      <c r="B2497" t="s">
        <v>2625</v>
      </c>
      <c r="C2497">
        <v>5697</v>
      </c>
      <c r="D2497" t="s">
        <v>2344</v>
      </c>
      <c r="E2497" t="s">
        <v>2036</v>
      </c>
      <c r="F2497">
        <v>202203</v>
      </c>
      <c r="G2497" t="s">
        <v>180</v>
      </c>
      <c r="H2497">
        <v>600</v>
      </c>
    </row>
    <row r="2498" spans="1:8">
      <c r="A2498">
        <v>5352</v>
      </c>
      <c r="B2498" t="s">
        <v>2625</v>
      </c>
      <c r="C2498">
        <v>5697</v>
      </c>
      <c r="D2498" t="s">
        <v>2344</v>
      </c>
      <c r="E2498" t="s">
        <v>2036</v>
      </c>
      <c r="F2498">
        <v>202203</v>
      </c>
      <c r="G2498" t="s">
        <v>182</v>
      </c>
      <c r="H2498">
        <v>175859</v>
      </c>
    </row>
    <row r="2499" spans="1:8">
      <c r="A2499">
        <v>5352</v>
      </c>
      <c r="B2499" t="s">
        <v>2625</v>
      </c>
      <c r="C2499">
        <v>5697</v>
      </c>
      <c r="D2499" t="s">
        <v>2344</v>
      </c>
      <c r="E2499" t="s">
        <v>2036</v>
      </c>
      <c r="F2499">
        <v>202203</v>
      </c>
      <c r="G2499" t="s">
        <v>184</v>
      </c>
      <c r="H2499">
        <v>23786</v>
      </c>
    </row>
    <row r="2500" spans="1:8">
      <c r="A2500">
        <v>5352</v>
      </c>
      <c r="B2500" t="s">
        <v>2625</v>
      </c>
      <c r="C2500">
        <v>5697</v>
      </c>
      <c r="D2500" t="s">
        <v>2344</v>
      </c>
      <c r="E2500" t="s">
        <v>2036</v>
      </c>
      <c r="F2500">
        <v>202203</v>
      </c>
      <c r="G2500" t="s">
        <v>192</v>
      </c>
      <c r="H2500">
        <v>0</v>
      </c>
    </row>
    <row r="2501" spans="1:8">
      <c r="A2501">
        <v>5352</v>
      </c>
      <c r="B2501" t="s">
        <v>2625</v>
      </c>
      <c r="C2501">
        <v>5697</v>
      </c>
      <c r="D2501" t="s">
        <v>2344</v>
      </c>
      <c r="E2501" t="s">
        <v>2036</v>
      </c>
      <c r="F2501">
        <v>202203</v>
      </c>
      <c r="G2501" t="s">
        <v>2170</v>
      </c>
      <c r="H2501">
        <v>1741.91</v>
      </c>
    </row>
    <row r="2502" spans="1:8">
      <c r="A2502">
        <v>5352</v>
      </c>
      <c r="B2502" t="s">
        <v>2625</v>
      </c>
      <c r="C2502">
        <v>5697</v>
      </c>
      <c r="D2502" t="s">
        <v>2344</v>
      </c>
      <c r="E2502" t="s">
        <v>2036</v>
      </c>
      <c r="F2502">
        <v>202203</v>
      </c>
      <c r="G2502" t="s">
        <v>186</v>
      </c>
      <c r="H2502">
        <v>0</v>
      </c>
    </row>
    <row r="2503" spans="1:8">
      <c r="A2503">
        <v>5352</v>
      </c>
      <c r="B2503" t="s">
        <v>2625</v>
      </c>
      <c r="C2503">
        <v>5697</v>
      </c>
      <c r="D2503" t="s">
        <v>2344</v>
      </c>
      <c r="E2503" t="s">
        <v>2036</v>
      </c>
      <c r="F2503">
        <v>202203</v>
      </c>
      <c r="G2503" t="s">
        <v>2169</v>
      </c>
      <c r="H2503">
        <v>182.65</v>
      </c>
    </row>
    <row r="2504" spans="1:8">
      <c r="A2504">
        <v>5352</v>
      </c>
      <c r="B2504" t="s">
        <v>2625</v>
      </c>
      <c r="C2504">
        <v>5697</v>
      </c>
      <c r="D2504" t="s">
        <v>2344</v>
      </c>
      <c r="E2504" t="s">
        <v>2036</v>
      </c>
      <c r="F2504">
        <v>202203</v>
      </c>
      <c r="G2504" t="s">
        <v>2166</v>
      </c>
      <c r="H2504">
        <v>11.83</v>
      </c>
    </row>
    <row r="2505" spans="1:8">
      <c r="A2505">
        <v>5352</v>
      </c>
      <c r="B2505" t="s">
        <v>2625</v>
      </c>
      <c r="C2505">
        <v>5697</v>
      </c>
      <c r="D2505" t="s">
        <v>2344</v>
      </c>
      <c r="E2505" t="s">
        <v>2036</v>
      </c>
      <c r="F2505">
        <v>202203</v>
      </c>
      <c r="G2505" t="s">
        <v>2167</v>
      </c>
      <c r="H2505">
        <v>21.22</v>
      </c>
    </row>
    <row r="2506" spans="1:8">
      <c r="A2506">
        <v>5352</v>
      </c>
      <c r="B2506" t="s">
        <v>2625</v>
      </c>
      <c r="C2506">
        <v>5697</v>
      </c>
      <c r="D2506" t="s">
        <v>2344</v>
      </c>
      <c r="E2506" t="s">
        <v>2036</v>
      </c>
      <c r="F2506">
        <v>202203</v>
      </c>
      <c r="G2506" t="s">
        <v>2168</v>
      </c>
      <c r="H2506">
        <v>14.37</v>
      </c>
    </row>
    <row r="2507" spans="1:8">
      <c r="A2507">
        <v>5352</v>
      </c>
      <c r="B2507" t="s">
        <v>2625</v>
      </c>
      <c r="C2507">
        <v>5697</v>
      </c>
      <c r="D2507" t="s">
        <v>2344</v>
      </c>
      <c r="E2507" t="s">
        <v>2036</v>
      </c>
      <c r="F2507">
        <v>202203</v>
      </c>
      <c r="G2507" t="s">
        <v>2171</v>
      </c>
      <c r="H2507">
        <v>59505.69</v>
      </c>
    </row>
    <row r="2508" spans="1:8">
      <c r="A2508">
        <v>5352</v>
      </c>
      <c r="B2508" t="s">
        <v>2625</v>
      </c>
      <c r="C2508">
        <v>5697</v>
      </c>
      <c r="D2508" t="s">
        <v>2344</v>
      </c>
      <c r="E2508" t="s">
        <v>2036</v>
      </c>
      <c r="F2508">
        <v>202203</v>
      </c>
      <c r="G2508" t="s">
        <v>190</v>
      </c>
      <c r="H2508">
        <v>198666</v>
      </c>
    </row>
    <row r="2509" spans="1:8">
      <c r="A2509">
        <v>5352</v>
      </c>
      <c r="B2509" t="s">
        <v>2625</v>
      </c>
      <c r="C2509">
        <v>5697</v>
      </c>
      <c r="D2509" t="s">
        <v>2344</v>
      </c>
      <c r="E2509" t="s">
        <v>2036</v>
      </c>
      <c r="F2509">
        <v>202203</v>
      </c>
      <c r="G2509" t="s">
        <v>191</v>
      </c>
      <c r="H2509">
        <v>27510</v>
      </c>
    </row>
    <row r="2510" spans="1:8">
      <c r="A2510">
        <v>5352</v>
      </c>
      <c r="B2510" t="s">
        <v>2625</v>
      </c>
      <c r="C2510">
        <v>5697</v>
      </c>
      <c r="D2510" t="s">
        <v>2344</v>
      </c>
      <c r="E2510" t="s">
        <v>2036</v>
      </c>
      <c r="F2510">
        <v>202203</v>
      </c>
      <c r="G2510" t="s">
        <v>176</v>
      </c>
      <c r="H2510">
        <v>0</v>
      </c>
    </row>
    <row r="2511" spans="1:8">
      <c r="A2511">
        <v>5352</v>
      </c>
      <c r="B2511" t="s">
        <v>2625</v>
      </c>
      <c r="C2511">
        <v>5697</v>
      </c>
      <c r="D2511" t="s">
        <v>2344</v>
      </c>
      <c r="E2511" t="s">
        <v>2036</v>
      </c>
      <c r="F2511">
        <v>202203</v>
      </c>
      <c r="G2511" t="s">
        <v>178</v>
      </c>
      <c r="H2511">
        <v>900</v>
      </c>
    </row>
    <row r="2512" spans="1:8">
      <c r="A2512">
        <v>5352</v>
      </c>
      <c r="B2512" t="s">
        <v>2625</v>
      </c>
      <c r="C2512">
        <v>5697</v>
      </c>
      <c r="D2512" t="s">
        <v>2344</v>
      </c>
      <c r="E2512" t="s">
        <v>2036</v>
      </c>
      <c r="F2512">
        <v>202203</v>
      </c>
      <c r="G2512" t="s">
        <v>180</v>
      </c>
      <c r="H2512">
        <v>850</v>
      </c>
    </row>
    <row r="2513" spans="1:8">
      <c r="A2513">
        <v>5352</v>
      </c>
      <c r="B2513" t="s">
        <v>2625</v>
      </c>
      <c r="C2513">
        <v>5697</v>
      </c>
      <c r="D2513" t="s">
        <v>2344</v>
      </c>
      <c r="E2513" t="s">
        <v>2036</v>
      </c>
      <c r="F2513">
        <v>202203</v>
      </c>
      <c r="G2513" t="s">
        <v>182</v>
      </c>
      <c r="H2513">
        <v>198666</v>
      </c>
    </row>
    <row r="2514" spans="1:8">
      <c r="A2514">
        <v>5352</v>
      </c>
      <c r="B2514" t="s">
        <v>2625</v>
      </c>
      <c r="C2514">
        <v>5697</v>
      </c>
      <c r="D2514" t="s">
        <v>2344</v>
      </c>
      <c r="E2514" t="s">
        <v>2036</v>
      </c>
      <c r="F2514">
        <v>202203</v>
      </c>
      <c r="G2514" t="s">
        <v>184</v>
      </c>
      <c r="H2514">
        <v>27510</v>
      </c>
    </row>
    <row r="2515" spans="1:8">
      <c r="A2515">
        <v>5352</v>
      </c>
      <c r="B2515" t="s">
        <v>2625</v>
      </c>
      <c r="C2515">
        <v>5697</v>
      </c>
      <c r="D2515" t="s">
        <v>2344</v>
      </c>
      <c r="E2515" t="s">
        <v>2036</v>
      </c>
      <c r="F2515">
        <v>202203</v>
      </c>
      <c r="G2515" t="s">
        <v>192</v>
      </c>
      <c r="H2515">
        <v>0</v>
      </c>
    </row>
    <row r="2516" spans="1:8">
      <c r="A2516">
        <v>5352</v>
      </c>
      <c r="B2516" t="s">
        <v>2625</v>
      </c>
      <c r="C2516">
        <v>5697</v>
      </c>
      <c r="D2516" t="s">
        <v>2344</v>
      </c>
      <c r="E2516" t="s">
        <v>2036</v>
      </c>
      <c r="F2516">
        <v>202203</v>
      </c>
      <c r="G2516" t="s">
        <v>2170</v>
      </c>
      <c r="H2516">
        <v>2156.4899999999998</v>
      </c>
    </row>
    <row r="2517" spans="1:8">
      <c r="A2517">
        <v>5352</v>
      </c>
      <c r="B2517" t="s">
        <v>2625</v>
      </c>
      <c r="C2517">
        <v>5697</v>
      </c>
      <c r="D2517" t="s">
        <v>2344</v>
      </c>
      <c r="E2517" t="s">
        <v>2036</v>
      </c>
      <c r="F2517">
        <v>202203</v>
      </c>
      <c r="G2517" t="s">
        <v>186</v>
      </c>
      <c r="H2517">
        <v>0</v>
      </c>
    </row>
    <row r="2518" spans="1:8">
      <c r="A2518">
        <v>5352</v>
      </c>
      <c r="B2518" t="s">
        <v>2625</v>
      </c>
      <c r="C2518">
        <v>5697</v>
      </c>
      <c r="D2518" t="s">
        <v>2344</v>
      </c>
      <c r="E2518" t="s">
        <v>2036</v>
      </c>
      <c r="F2518">
        <v>202203</v>
      </c>
      <c r="G2518" t="s">
        <v>2169</v>
      </c>
      <c r="H2518">
        <v>182.65</v>
      </c>
    </row>
    <row r="2519" spans="1:8">
      <c r="A2519">
        <v>5352</v>
      </c>
      <c r="B2519" t="s">
        <v>2625</v>
      </c>
      <c r="C2519">
        <v>5697</v>
      </c>
      <c r="D2519" t="s">
        <v>2344</v>
      </c>
      <c r="E2519" t="s">
        <v>2036</v>
      </c>
      <c r="F2519">
        <v>202203</v>
      </c>
      <c r="G2519" t="s">
        <v>2166</v>
      </c>
      <c r="H2519">
        <v>11.83</v>
      </c>
    </row>
    <row r="2520" spans="1:8">
      <c r="A2520">
        <v>5352</v>
      </c>
      <c r="B2520" t="s">
        <v>2625</v>
      </c>
      <c r="C2520">
        <v>5697</v>
      </c>
      <c r="D2520" t="s">
        <v>2344</v>
      </c>
      <c r="E2520" t="s">
        <v>2036</v>
      </c>
      <c r="F2520">
        <v>202203</v>
      </c>
      <c r="G2520" t="s">
        <v>2167</v>
      </c>
      <c r="H2520">
        <v>21.22</v>
      </c>
    </row>
    <row r="2521" spans="1:8">
      <c r="A2521">
        <v>5352</v>
      </c>
      <c r="B2521" t="s">
        <v>2625</v>
      </c>
      <c r="C2521">
        <v>5697</v>
      </c>
      <c r="D2521" t="s">
        <v>2344</v>
      </c>
      <c r="E2521" t="s">
        <v>2036</v>
      </c>
      <c r="F2521">
        <v>202203</v>
      </c>
      <c r="G2521" t="s">
        <v>2168</v>
      </c>
      <c r="H2521">
        <v>14.37</v>
      </c>
    </row>
    <row r="2522" spans="1:8">
      <c r="A2522">
        <v>5352</v>
      </c>
      <c r="B2522" t="s">
        <v>2625</v>
      </c>
      <c r="C2522">
        <v>5697</v>
      </c>
      <c r="D2522" t="s">
        <v>2344</v>
      </c>
      <c r="E2522" t="s">
        <v>2036</v>
      </c>
      <c r="F2522">
        <v>202203</v>
      </c>
      <c r="G2522" t="s">
        <v>2171</v>
      </c>
      <c r="H2522">
        <v>75283.41</v>
      </c>
    </row>
    <row r="2523" spans="1:8">
      <c r="A2523">
        <v>5352</v>
      </c>
      <c r="B2523" t="s">
        <v>2625</v>
      </c>
      <c r="C2523">
        <v>5697</v>
      </c>
      <c r="D2523" t="s">
        <v>2344</v>
      </c>
      <c r="E2523" t="s">
        <v>2036</v>
      </c>
      <c r="F2523">
        <v>202203</v>
      </c>
      <c r="G2523" t="s">
        <v>190</v>
      </c>
      <c r="H2523">
        <v>580891</v>
      </c>
    </row>
    <row r="2524" spans="1:8">
      <c r="A2524">
        <v>5352</v>
      </c>
      <c r="B2524" t="s">
        <v>2625</v>
      </c>
      <c r="C2524">
        <v>5697</v>
      </c>
      <c r="D2524" t="s">
        <v>2344</v>
      </c>
      <c r="E2524" t="s">
        <v>2036</v>
      </c>
      <c r="F2524">
        <v>202203</v>
      </c>
      <c r="G2524" t="s">
        <v>191</v>
      </c>
      <c r="H2524">
        <v>75515</v>
      </c>
    </row>
    <row r="2525" spans="1:8">
      <c r="A2525">
        <v>5352</v>
      </c>
      <c r="B2525" t="s">
        <v>2625</v>
      </c>
      <c r="C2525">
        <v>5697</v>
      </c>
      <c r="D2525" t="s">
        <v>2344</v>
      </c>
      <c r="E2525" t="s">
        <v>2036</v>
      </c>
      <c r="F2525">
        <v>202203</v>
      </c>
      <c r="G2525" t="s">
        <v>176</v>
      </c>
      <c r="H2525">
        <v>0</v>
      </c>
    </row>
    <row r="2526" spans="1:8">
      <c r="A2526">
        <v>5352</v>
      </c>
      <c r="B2526" t="s">
        <v>2625</v>
      </c>
      <c r="C2526">
        <v>5697</v>
      </c>
      <c r="D2526" t="s">
        <v>2344</v>
      </c>
      <c r="E2526" t="s">
        <v>2036</v>
      </c>
      <c r="F2526">
        <v>202203</v>
      </c>
      <c r="G2526" t="s">
        <v>178</v>
      </c>
      <c r="H2526">
        <v>1670</v>
      </c>
    </row>
    <row r="2527" spans="1:8">
      <c r="A2527">
        <v>5352</v>
      </c>
      <c r="B2527" t="s">
        <v>2625</v>
      </c>
      <c r="C2527">
        <v>5697</v>
      </c>
      <c r="D2527" t="s">
        <v>2344</v>
      </c>
      <c r="E2527" t="s">
        <v>2036</v>
      </c>
      <c r="F2527">
        <v>202203</v>
      </c>
      <c r="G2527" t="s">
        <v>180</v>
      </c>
      <c r="H2527">
        <v>1722</v>
      </c>
    </row>
    <row r="2528" spans="1:8">
      <c r="A2528">
        <v>5352</v>
      </c>
      <c r="B2528" t="s">
        <v>2625</v>
      </c>
      <c r="C2528">
        <v>5697</v>
      </c>
      <c r="D2528" t="s">
        <v>2344</v>
      </c>
      <c r="E2528" t="s">
        <v>2036</v>
      </c>
      <c r="F2528">
        <v>202203</v>
      </c>
      <c r="G2528" t="s">
        <v>182</v>
      </c>
      <c r="H2528">
        <v>580891</v>
      </c>
    </row>
    <row r="2529" spans="1:8">
      <c r="A2529">
        <v>5352</v>
      </c>
      <c r="B2529" t="s">
        <v>2625</v>
      </c>
      <c r="C2529">
        <v>5697</v>
      </c>
      <c r="D2529" t="s">
        <v>2344</v>
      </c>
      <c r="E2529" t="s">
        <v>2036</v>
      </c>
      <c r="F2529">
        <v>202203</v>
      </c>
      <c r="G2529" t="s">
        <v>184</v>
      </c>
      <c r="H2529">
        <v>75515</v>
      </c>
    </row>
    <row r="2530" spans="1:8">
      <c r="A2530">
        <v>5352</v>
      </c>
      <c r="B2530" t="s">
        <v>2625</v>
      </c>
      <c r="C2530">
        <v>5697</v>
      </c>
      <c r="D2530" t="s">
        <v>2344</v>
      </c>
      <c r="E2530" t="s">
        <v>2036</v>
      </c>
      <c r="F2530">
        <v>202203</v>
      </c>
      <c r="G2530" t="s">
        <v>192</v>
      </c>
      <c r="H2530">
        <v>0</v>
      </c>
    </row>
    <row r="2531" spans="1:8">
      <c r="A2531">
        <v>5352</v>
      </c>
      <c r="B2531" t="s">
        <v>2625</v>
      </c>
      <c r="C2531">
        <v>5697</v>
      </c>
      <c r="D2531" t="s">
        <v>2344</v>
      </c>
      <c r="E2531" t="s">
        <v>2036</v>
      </c>
      <c r="F2531">
        <v>202203</v>
      </c>
      <c r="G2531" t="s">
        <v>2170</v>
      </c>
      <c r="H2531">
        <v>5465.09</v>
      </c>
    </row>
    <row r="2532" spans="1:8">
      <c r="A2532">
        <v>5352</v>
      </c>
      <c r="B2532" t="s">
        <v>2625</v>
      </c>
      <c r="C2532">
        <v>5697</v>
      </c>
      <c r="D2532" t="s">
        <v>2344</v>
      </c>
      <c r="E2532" t="s">
        <v>2036</v>
      </c>
      <c r="F2532">
        <v>202203</v>
      </c>
      <c r="G2532" t="s">
        <v>186</v>
      </c>
      <c r="H2532">
        <v>0</v>
      </c>
    </row>
    <row r="2533" spans="1:8">
      <c r="A2533">
        <v>5352</v>
      </c>
      <c r="B2533" t="s">
        <v>2625</v>
      </c>
      <c r="C2533">
        <v>5697</v>
      </c>
      <c r="D2533" t="s">
        <v>2344</v>
      </c>
      <c r="E2533" t="s">
        <v>2036</v>
      </c>
      <c r="F2533">
        <v>202203</v>
      </c>
      <c r="G2533" t="s">
        <v>2169</v>
      </c>
      <c r="H2533">
        <v>182.65</v>
      </c>
    </row>
    <row r="2534" spans="1:8">
      <c r="A2534">
        <v>5352</v>
      </c>
      <c r="B2534" t="s">
        <v>2625</v>
      </c>
      <c r="C2534">
        <v>5697</v>
      </c>
      <c r="D2534" t="s">
        <v>2344</v>
      </c>
      <c r="E2534" t="s">
        <v>2036</v>
      </c>
      <c r="F2534">
        <v>202203</v>
      </c>
      <c r="G2534" t="s">
        <v>2166</v>
      </c>
      <c r="H2534">
        <v>11.83</v>
      </c>
    </row>
    <row r="2535" spans="1:8">
      <c r="A2535">
        <v>5352</v>
      </c>
      <c r="B2535" t="s">
        <v>2625</v>
      </c>
      <c r="C2535">
        <v>5697</v>
      </c>
      <c r="D2535" t="s">
        <v>2344</v>
      </c>
      <c r="E2535" t="s">
        <v>2036</v>
      </c>
      <c r="F2535">
        <v>202203</v>
      </c>
      <c r="G2535" t="s">
        <v>2167</v>
      </c>
      <c r="H2535">
        <v>21.22</v>
      </c>
    </row>
    <row r="2536" spans="1:8">
      <c r="A2536">
        <v>5352</v>
      </c>
      <c r="B2536" t="s">
        <v>2625</v>
      </c>
      <c r="C2536">
        <v>5697</v>
      </c>
      <c r="D2536" t="s">
        <v>2344</v>
      </c>
      <c r="E2536" t="s">
        <v>2036</v>
      </c>
      <c r="F2536">
        <v>202203</v>
      </c>
      <c r="G2536" t="s">
        <v>2168</v>
      </c>
      <c r="H2536">
        <v>14.37</v>
      </c>
    </row>
    <row r="2537" spans="1:8">
      <c r="A2537">
        <v>5352</v>
      </c>
      <c r="B2537" t="s">
        <v>2625</v>
      </c>
      <c r="C2537">
        <v>5697</v>
      </c>
      <c r="D2537" t="s">
        <v>2344</v>
      </c>
      <c r="E2537" t="s">
        <v>2036</v>
      </c>
      <c r="F2537">
        <v>202203</v>
      </c>
      <c r="G2537" t="s">
        <v>2171</v>
      </c>
      <c r="H2537">
        <v>148667.10999999999</v>
      </c>
    </row>
    <row r="2538" spans="1:8">
      <c r="A2538">
        <v>5352</v>
      </c>
      <c r="B2538" t="s">
        <v>2625</v>
      </c>
      <c r="C2538">
        <v>5697</v>
      </c>
      <c r="D2538" t="s">
        <v>2344</v>
      </c>
      <c r="E2538" t="s">
        <v>2036</v>
      </c>
      <c r="F2538">
        <v>202204</v>
      </c>
      <c r="G2538" t="s">
        <v>190</v>
      </c>
      <c r="H2538">
        <v>621293</v>
      </c>
    </row>
    <row r="2539" spans="1:8">
      <c r="A2539">
        <v>5352</v>
      </c>
      <c r="B2539" t="s">
        <v>2625</v>
      </c>
      <c r="C2539">
        <v>5697</v>
      </c>
      <c r="D2539" t="s">
        <v>2344</v>
      </c>
      <c r="E2539" t="s">
        <v>2036</v>
      </c>
      <c r="F2539">
        <v>202204</v>
      </c>
      <c r="G2539" t="s">
        <v>191</v>
      </c>
      <c r="H2539">
        <v>40601</v>
      </c>
    </row>
    <row r="2540" spans="1:8">
      <c r="A2540">
        <v>5352</v>
      </c>
      <c r="B2540" t="s">
        <v>2625</v>
      </c>
      <c r="C2540">
        <v>5697</v>
      </c>
      <c r="D2540" t="s">
        <v>2344</v>
      </c>
      <c r="E2540" t="s">
        <v>2036</v>
      </c>
      <c r="F2540">
        <v>202204</v>
      </c>
      <c r="G2540" t="s">
        <v>176</v>
      </c>
      <c r="H2540">
        <v>0</v>
      </c>
    </row>
    <row r="2541" spans="1:8">
      <c r="A2541">
        <v>5352</v>
      </c>
      <c r="B2541" t="s">
        <v>2625</v>
      </c>
      <c r="C2541">
        <v>5697</v>
      </c>
      <c r="D2541" t="s">
        <v>2344</v>
      </c>
      <c r="E2541" t="s">
        <v>2036</v>
      </c>
      <c r="F2541">
        <v>202204</v>
      </c>
      <c r="G2541" t="s">
        <v>178</v>
      </c>
      <c r="H2541">
        <v>1450</v>
      </c>
    </row>
    <row r="2542" spans="1:8">
      <c r="A2542">
        <v>5352</v>
      </c>
      <c r="B2542" t="s">
        <v>2625</v>
      </c>
      <c r="C2542">
        <v>5697</v>
      </c>
      <c r="D2542" t="s">
        <v>2344</v>
      </c>
      <c r="E2542" t="s">
        <v>2036</v>
      </c>
      <c r="F2542">
        <v>202204</v>
      </c>
      <c r="G2542" t="s">
        <v>180</v>
      </c>
      <c r="H2542">
        <v>1450</v>
      </c>
    </row>
    <row r="2543" spans="1:8">
      <c r="A2543">
        <v>5352</v>
      </c>
      <c r="B2543" t="s">
        <v>2625</v>
      </c>
      <c r="C2543">
        <v>5697</v>
      </c>
      <c r="D2543" t="s">
        <v>2344</v>
      </c>
      <c r="E2543" t="s">
        <v>2036</v>
      </c>
      <c r="F2543">
        <v>202204</v>
      </c>
      <c r="G2543" t="s">
        <v>182</v>
      </c>
      <c r="H2543">
        <v>621293</v>
      </c>
    </row>
    <row r="2544" spans="1:8">
      <c r="A2544">
        <v>5352</v>
      </c>
      <c r="B2544" t="s">
        <v>2625</v>
      </c>
      <c r="C2544">
        <v>5697</v>
      </c>
      <c r="D2544" t="s">
        <v>2344</v>
      </c>
      <c r="E2544" t="s">
        <v>2036</v>
      </c>
      <c r="F2544">
        <v>202204</v>
      </c>
      <c r="G2544" t="s">
        <v>184</v>
      </c>
      <c r="H2544">
        <v>40601</v>
      </c>
    </row>
    <row r="2545" spans="1:8">
      <c r="A2545">
        <v>5352</v>
      </c>
      <c r="B2545" t="s">
        <v>2625</v>
      </c>
      <c r="C2545">
        <v>5697</v>
      </c>
      <c r="D2545" t="s">
        <v>2344</v>
      </c>
      <c r="E2545" t="s">
        <v>2036</v>
      </c>
      <c r="F2545">
        <v>202204</v>
      </c>
      <c r="G2545" t="s">
        <v>192</v>
      </c>
      <c r="H2545">
        <v>0</v>
      </c>
    </row>
    <row r="2546" spans="1:8">
      <c r="A2546">
        <v>5352</v>
      </c>
      <c r="B2546" t="s">
        <v>2625</v>
      </c>
      <c r="C2546">
        <v>5697</v>
      </c>
      <c r="D2546" t="s">
        <v>2344</v>
      </c>
      <c r="E2546" t="s">
        <v>2036</v>
      </c>
      <c r="F2546">
        <v>202204</v>
      </c>
      <c r="G2546" t="s">
        <v>2170</v>
      </c>
      <c r="H2546">
        <v>6047.55</v>
      </c>
    </row>
    <row r="2547" spans="1:8">
      <c r="A2547">
        <v>5352</v>
      </c>
      <c r="B2547" t="s">
        <v>2625</v>
      </c>
      <c r="C2547">
        <v>5697</v>
      </c>
      <c r="D2547" t="s">
        <v>2344</v>
      </c>
      <c r="E2547" t="s">
        <v>2036</v>
      </c>
      <c r="F2547">
        <v>202204</v>
      </c>
      <c r="G2547" t="s">
        <v>186</v>
      </c>
      <c r="H2547">
        <v>0</v>
      </c>
    </row>
    <row r="2548" spans="1:8">
      <c r="A2548">
        <v>5352</v>
      </c>
      <c r="B2548" t="s">
        <v>2625</v>
      </c>
      <c r="C2548">
        <v>5697</v>
      </c>
      <c r="D2548" t="s">
        <v>2344</v>
      </c>
      <c r="E2548" t="s">
        <v>2036</v>
      </c>
      <c r="F2548">
        <v>202204</v>
      </c>
      <c r="G2548" t="s">
        <v>2169</v>
      </c>
      <c r="H2548">
        <v>182.65</v>
      </c>
    </row>
    <row r="2549" spans="1:8">
      <c r="A2549">
        <v>5352</v>
      </c>
      <c r="B2549" t="s">
        <v>2625</v>
      </c>
      <c r="C2549">
        <v>5697</v>
      </c>
      <c r="D2549" t="s">
        <v>2344</v>
      </c>
      <c r="E2549" t="s">
        <v>2036</v>
      </c>
      <c r="F2549">
        <v>202204</v>
      </c>
      <c r="G2549" t="s">
        <v>2166</v>
      </c>
      <c r="H2549">
        <v>11.83</v>
      </c>
    </row>
    <row r="2550" spans="1:8">
      <c r="A2550">
        <v>5352</v>
      </c>
      <c r="B2550" t="s">
        <v>2625</v>
      </c>
      <c r="C2550">
        <v>5697</v>
      </c>
      <c r="D2550" t="s">
        <v>2344</v>
      </c>
      <c r="E2550" t="s">
        <v>2036</v>
      </c>
      <c r="F2550">
        <v>202204</v>
      </c>
      <c r="G2550" t="s">
        <v>2167</v>
      </c>
      <c r="H2550">
        <v>21.22</v>
      </c>
    </row>
    <row r="2551" spans="1:8">
      <c r="A2551">
        <v>5352</v>
      </c>
      <c r="B2551" t="s">
        <v>2625</v>
      </c>
      <c r="C2551">
        <v>5697</v>
      </c>
      <c r="D2551" t="s">
        <v>2344</v>
      </c>
      <c r="E2551" t="s">
        <v>2036</v>
      </c>
      <c r="F2551">
        <v>202204</v>
      </c>
      <c r="G2551" t="s">
        <v>2168</v>
      </c>
      <c r="H2551">
        <v>14.37</v>
      </c>
    </row>
    <row r="2552" spans="1:8">
      <c r="A2552">
        <v>5352</v>
      </c>
      <c r="B2552" t="s">
        <v>2625</v>
      </c>
      <c r="C2552">
        <v>5697</v>
      </c>
      <c r="D2552" t="s">
        <v>2344</v>
      </c>
      <c r="E2552" t="s">
        <v>2036</v>
      </c>
      <c r="F2552">
        <v>202204</v>
      </c>
      <c r="G2552" t="s">
        <v>2171</v>
      </c>
      <c r="H2552">
        <v>187162.52</v>
      </c>
    </row>
    <row r="2553" spans="1:8">
      <c r="A2553">
        <v>5352</v>
      </c>
      <c r="B2553" t="s">
        <v>2625</v>
      </c>
      <c r="C2553">
        <v>5697</v>
      </c>
      <c r="D2553" t="s">
        <v>2344</v>
      </c>
      <c r="E2553" t="s">
        <v>2036</v>
      </c>
      <c r="F2553">
        <v>202204</v>
      </c>
      <c r="G2553" t="s">
        <v>190</v>
      </c>
      <c r="H2553">
        <v>212673</v>
      </c>
    </row>
    <row r="2554" spans="1:8">
      <c r="A2554">
        <v>5352</v>
      </c>
      <c r="B2554" t="s">
        <v>2625</v>
      </c>
      <c r="C2554">
        <v>5697</v>
      </c>
      <c r="D2554" t="s">
        <v>2344</v>
      </c>
      <c r="E2554" t="s">
        <v>2036</v>
      </c>
      <c r="F2554">
        <v>202204</v>
      </c>
      <c r="G2554" t="s">
        <v>191</v>
      </c>
      <c r="H2554">
        <v>30874</v>
      </c>
    </row>
    <row r="2555" spans="1:8">
      <c r="A2555">
        <v>5352</v>
      </c>
      <c r="B2555" t="s">
        <v>2625</v>
      </c>
      <c r="C2555">
        <v>5697</v>
      </c>
      <c r="D2555" t="s">
        <v>2344</v>
      </c>
      <c r="E2555" t="s">
        <v>2036</v>
      </c>
      <c r="F2555">
        <v>202204</v>
      </c>
      <c r="G2555" t="s">
        <v>176</v>
      </c>
      <c r="H2555">
        <v>0</v>
      </c>
    </row>
    <row r="2556" spans="1:8">
      <c r="A2556">
        <v>5352</v>
      </c>
      <c r="B2556" t="s">
        <v>2625</v>
      </c>
      <c r="C2556">
        <v>5697</v>
      </c>
      <c r="D2556" t="s">
        <v>2344</v>
      </c>
      <c r="E2556" t="s">
        <v>2036</v>
      </c>
      <c r="F2556">
        <v>202204</v>
      </c>
      <c r="G2556" t="s">
        <v>178</v>
      </c>
      <c r="H2556">
        <v>700</v>
      </c>
    </row>
    <row r="2557" spans="1:8">
      <c r="A2557">
        <v>5352</v>
      </c>
      <c r="B2557" t="s">
        <v>2625</v>
      </c>
      <c r="C2557">
        <v>5697</v>
      </c>
      <c r="D2557" t="s">
        <v>2344</v>
      </c>
      <c r="E2557" t="s">
        <v>2036</v>
      </c>
      <c r="F2557">
        <v>202204</v>
      </c>
      <c r="G2557" t="s">
        <v>180</v>
      </c>
      <c r="H2557">
        <v>677</v>
      </c>
    </row>
    <row r="2558" spans="1:8">
      <c r="A2558">
        <v>5352</v>
      </c>
      <c r="B2558" t="s">
        <v>2625</v>
      </c>
      <c r="C2558">
        <v>5697</v>
      </c>
      <c r="D2558" t="s">
        <v>2344</v>
      </c>
      <c r="E2558" t="s">
        <v>2036</v>
      </c>
      <c r="F2558">
        <v>202204</v>
      </c>
      <c r="G2558" t="s">
        <v>182</v>
      </c>
      <c r="H2558">
        <v>212673</v>
      </c>
    </row>
    <row r="2559" spans="1:8">
      <c r="A2559">
        <v>5352</v>
      </c>
      <c r="B2559" t="s">
        <v>2625</v>
      </c>
      <c r="C2559">
        <v>5697</v>
      </c>
      <c r="D2559" t="s">
        <v>2344</v>
      </c>
      <c r="E2559" t="s">
        <v>2036</v>
      </c>
      <c r="F2559">
        <v>202204</v>
      </c>
      <c r="G2559" t="s">
        <v>184</v>
      </c>
      <c r="H2559">
        <v>30874</v>
      </c>
    </row>
    <row r="2560" spans="1:8">
      <c r="A2560">
        <v>5352</v>
      </c>
      <c r="B2560" t="s">
        <v>2625</v>
      </c>
      <c r="C2560">
        <v>5697</v>
      </c>
      <c r="D2560" t="s">
        <v>2344</v>
      </c>
      <c r="E2560" t="s">
        <v>2036</v>
      </c>
      <c r="F2560">
        <v>202204</v>
      </c>
      <c r="G2560" t="s">
        <v>192</v>
      </c>
      <c r="H2560">
        <v>0</v>
      </c>
    </row>
    <row r="2561" spans="1:8">
      <c r="A2561">
        <v>5352</v>
      </c>
      <c r="B2561" t="s">
        <v>2625</v>
      </c>
      <c r="C2561">
        <v>5697</v>
      </c>
      <c r="D2561" t="s">
        <v>2344</v>
      </c>
      <c r="E2561" t="s">
        <v>2036</v>
      </c>
      <c r="F2561">
        <v>202204</v>
      </c>
      <c r="G2561" t="s">
        <v>2170</v>
      </c>
      <c r="H2561">
        <v>2506.86</v>
      </c>
    </row>
    <row r="2562" spans="1:8">
      <c r="A2562">
        <v>5352</v>
      </c>
      <c r="B2562" t="s">
        <v>2625</v>
      </c>
      <c r="C2562">
        <v>5697</v>
      </c>
      <c r="D2562" t="s">
        <v>2344</v>
      </c>
      <c r="E2562" t="s">
        <v>2036</v>
      </c>
      <c r="F2562">
        <v>202204</v>
      </c>
      <c r="G2562" t="s">
        <v>186</v>
      </c>
      <c r="H2562">
        <v>0</v>
      </c>
    </row>
    <row r="2563" spans="1:8">
      <c r="A2563">
        <v>5352</v>
      </c>
      <c r="B2563" t="s">
        <v>2625</v>
      </c>
      <c r="C2563">
        <v>5697</v>
      </c>
      <c r="D2563" t="s">
        <v>2344</v>
      </c>
      <c r="E2563" t="s">
        <v>2036</v>
      </c>
      <c r="F2563">
        <v>202204</v>
      </c>
      <c r="G2563" t="s">
        <v>2169</v>
      </c>
      <c r="H2563">
        <v>182.65</v>
      </c>
    </row>
    <row r="2564" spans="1:8">
      <c r="A2564">
        <v>5352</v>
      </c>
      <c r="B2564" t="s">
        <v>2625</v>
      </c>
      <c r="C2564">
        <v>5697</v>
      </c>
      <c r="D2564" t="s">
        <v>2344</v>
      </c>
      <c r="E2564" t="s">
        <v>2036</v>
      </c>
      <c r="F2564">
        <v>202204</v>
      </c>
      <c r="G2564" t="s">
        <v>2166</v>
      </c>
      <c r="H2564">
        <v>11.83</v>
      </c>
    </row>
    <row r="2565" spans="1:8">
      <c r="A2565">
        <v>5352</v>
      </c>
      <c r="B2565" t="s">
        <v>2625</v>
      </c>
      <c r="C2565">
        <v>5697</v>
      </c>
      <c r="D2565" t="s">
        <v>2344</v>
      </c>
      <c r="E2565" t="s">
        <v>2036</v>
      </c>
      <c r="F2565">
        <v>202204</v>
      </c>
      <c r="G2565" t="s">
        <v>2167</v>
      </c>
      <c r="H2565">
        <v>21.22</v>
      </c>
    </row>
    <row r="2566" spans="1:8">
      <c r="A2566">
        <v>5352</v>
      </c>
      <c r="B2566" t="s">
        <v>2625</v>
      </c>
      <c r="C2566">
        <v>5697</v>
      </c>
      <c r="D2566" t="s">
        <v>2344</v>
      </c>
      <c r="E2566" t="s">
        <v>2036</v>
      </c>
      <c r="F2566">
        <v>202204</v>
      </c>
      <c r="G2566" t="s">
        <v>2168</v>
      </c>
      <c r="H2566">
        <v>14.37</v>
      </c>
    </row>
    <row r="2567" spans="1:8">
      <c r="A2567">
        <v>5352</v>
      </c>
      <c r="B2567" t="s">
        <v>2625</v>
      </c>
      <c r="C2567">
        <v>5697</v>
      </c>
      <c r="D2567" t="s">
        <v>2344</v>
      </c>
      <c r="E2567" t="s">
        <v>2036</v>
      </c>
      <c r="F2567">
        <v>202204</v>
      </c>
      <c r="G2567" t="s">
        <v>2171</v>
      </c>
      <c r="H2567">
        <v>76428.84</v>
      </c>
    </row>
    <row r="2568" spans="1:8">
      <c r="A2568">
        <v>5352</v>
      </c>
      <c r="B2568" t="s">
        <v>2625</v>
      </c>
      <c r="C2568">
        <v>5697</v>
      </c>
      <c r="D2568" t="s">
        <v>2344</v>
      </c>
      <c r="E2568" t="s">
        <v>2036</v>
      </c>
      <c r="F2568">
        <v>202204</v>
      </c>
      <c r="G2568" t="s">
        <v>190</v>
      </c>
      <c r="H2568">
        <v>12919</v>
      </c>
    </row>
    <row r="2569" spans="1:8">
      <c r="A2569">
        <v>5352</v>
      </c>
      <c r="B2569" t="s">
        <v>2625</v>
      </c>
      <c r="C2569">
        <v>5697</v>
      </c>
      <c r="D2569" t="s">
        <v>2344</v>
      </c>
      <c r="E2569" t="s">
        <v>2036</v>
      </c>
      <c r="F2569">
        <v>202204</v>
      </c>
      <c r="G2569" t="s">
        <v>191</v>
      </c>
      <c r="H2569">
        <v>1941</v>
      </c>
    </row>
    <row r="2570" spans="1:8">
      <c r="A2570">
        <v>5352</v>
      </c>
      <c r="B2570" t="s">
        <v>2625</v>
      </c>
      <c r="C2570">
        <v>5697</v>
      </c>
      <c r="D2570" t="s">
        <v>2344</v>
      </c>
      <c r="E2570" t="s">
        <v>2036</v>
      </c>
      <c r="F2570">
        <v>202204</v>
      </c>
      <c r="G2570" t="s">
        <v>176</v>
      </c>
      <c r="H2570">
        <v>0</v>
      </c>
    </row>
    <row r="2571" spans="1:8">
      <c r="A2571">
        <v>5352</v>
      </c>
      <c r="B2571" t="s">
        <v>2625</v>
      </c>
      <c r="C2571">
        <v>5697</v>
      </c>
      <c r="D2571" t="s">
        <v>2344</v>
      </c>
      <c r="E2571" t="s">
        <v>2036</v>
      </c>
      <c r="F2571">
        <v>202204</v>
      </c>
      <c r="G2571" t="s">
        <v>178</v>
      </c>
      <c r="H2571">
        <v>120</v>
      </c>
    </row>
    <row r="2572" spans="1:8">
      <c r="A2572">
        <v>5352</v>
      </c>
      <c r="B2572" t="s">
        <v>2625</v>
      </c>
      <c r="C2572">
        <v>5697</v>
      </c>
      <c r="D2572" t="s">
        <v>2344</v>
      </c>
      <c r="E2572" t="s">
        <v>2036</v>
      </c>
      <c r="F2572">
        <v>202204</v>
      </c>
      <c r="G2572" t="s">
        <v>180</v>
      </c>
      <c r="H2572">
        <v>120</v>
      </c>
    </row>
    <row r="2573" spans="1:8">
      <c r="A2573">
        <v>5352</v>
      </c>
      <c r="B2573" t="s">
        <v>2625</v>
      </c>
      <c r="C2573">
        <v>5697</v>
      </c>
      <c r="D2573" t="s">
        <v>2344</v>
      </c>
      <c r="E2573" t="s">
        <v>2036</v>
      </c>
      <c r="F2573">
        <v>202204</v>
      </c>
      <c r="G2573" t="s">
        <v>182</v>
      </c>
      <c r="H2573">
        <v>12919</v>
      </c>
    </row>
    <row r="2574" spans="1:8">
      <c r="A2574">
        <v>5352</v>
      </c>
      <c r="B2574" t="s">
        <v>2625</v>
      </c>
      <c r="C2574">
        <v>5697</v>
      </c>
      <c r="D2574" t="s">
        <v>2344</v>
      </c>
      <c r="E2574" t="s">
        <v>2036</v>
      </c>
      <c r="F2574">
        <v>202204</v>
      </c>
      <c r="G2574" t="s">
        <v>184</v>
      </c>
      <c r="H2574">
        <v>1941</v>
      </c>
    </row>
    <row r="2575" spans="1:8">
      <c r="A2575">
        <v>5352</v>
      </c>
      <c r="B2575" t="s">
        <v>2625</v>
      </c>
      <c r="C2575">
        <v>5697</v>
      </c>
      <c r="D2575" t="s">
        <v>2344</v>
      </c>
      <c r="E2575" t="s">
        <v>2036</v>
      </c>
      <c r="F2575">
        <v>202204</v>
      </c>
      <c r="G2575" t="s">
        <v>192</v>
      </c>
      <c r="H2575">
        <v>0</v>
      </c>
    </row>
    <row r="2576" spans="1:8">
      <c r="A2576">
        <v>5352</v>
      </c>
      <c r="B2576" t="s">
        <v>2625</v>
      </c>
      <c r="C2576">
        <v>5697</v>
      </c>
      <c r="D2576" t="s">
        <v>2344</v>
      </c>
      <c r="E2576" t="s">
        <v>2036</v>
      </c>
      <c r="F2576">
        <v>202204</v>
      </c>
      <c r="G2576" t="s">
        <v>2170</v>
      </c>
      <c r="H2576">
        <v>233.78</v>
      </c>
    </row>
    <row r="2577" spans="1:8">
      <c r="A2577">
        <v>5352</v>
      </c>
      <c r="B2577" t="s">
        <v>2625</v>
      </c>
      <c r="C2577">
        <v>5697</v>
      </c>
      <c r="D2577" t="s">
        <v>2344</v>
      </c>
      <c r="E2577" t="s">
        <v>2036</v>
      </c>
      <c r="F2577">
        <v>202204</v>
      </c>
      <c r="G2577" t="s">
        <v>186</v>
      </c>
      <c r="H2577">
        <v>0</v>
      </c>
    </row>
    <row r="2578" spans="1:8">
      <c r="A2578">
        <v>5352</v>
      </c>
      <c r="B2578" t="s">
        <v>2625</v>
      </c>
      <c r="C2578">
        <v>5697</v>
      </c>
      <c r="D2578" t="s">
        <v>2344</v>
      </c>
      <c r="E2578" t="s">
        <v>2036</v>
      </c>
      <c r="F2578">
        <v>202204</v>
      </c>
      <c r="G2578" t="s">
        <v>2169</v>
      </c>
      <c r="H2578">
        <v>182.65</v>
      </c>
    </row>
    <row r="2579" spans="1:8">
      <c r="A2579">
        <v>5352</v>
      </c>
      <c r="B2579" t="s">
        <v>2625</v>
      </c>
      <c r="C2579">
        <v>5697</v>
      </c>
      <c r="D2579" t="s">
        <v>2344</v>
      </c>
      <c r="E2579" t="s">
        <v>2036</v>
      </c>
      <c r="F2579">
        <v>202204</v>
      </c>
      <c r="G2579" t="s">
        <v>2166</v>
      </c>
      <c r="H2579">
        <v>11.83</v>
      </c>
    </row>
    <row r="2580" spans="1:8">
      <c r="A2580">
        <v>5352</v>
      </c>
      <c r="B2580" t="s">
        <v>2625</v>
      </c>
      <c r="C2580">
        <v>5697</v>
      </c>
      <c r="D2580" t="s">
        <v>2344</v>
      </c>
      <c r="E2580" t="s">
        <v>2036</v>
      </c>
      <c r="F2580">
        <v>202204</v>
      </c>
      <c r="G2580" t="s">
        <v>2167</v>
      </c>
      <c r="H2580">
        <v>21.22</v>
      </c>
    </row>
    <row r="2581" spans="1:8">
      <c r="A2581">
        <v>5352</v>
      </c>
      <c r="B2581" t="s">
        <v>2625</v>
      </c>
      <c r="C2581">
        <v>5697</v>
      </c>
      <c r="D2581" t="s">
        <v>2344</v>
      </c>
      <c r="E2581" t="s">
        <v>2036</v>
      </c>
      <c r="F2581">
        <v>202204</v>
      </c>
      <c r="G2581" t="s">
        <v>2168</v>
      </c>
      <c r="H2581">
        <v>14.37</v>
      </c>
    </row>
    <row r="2582" spans="1:8">
      <c r="A2582">
        <v>5352</v>
      </c>
      <c r="B2582" t="s">
        <v>2625</v>
      </c>
      <c r="C2582">
        <v>5697</v>
      </c>
      <c r="D2582" t="s">
        <v>2344</v>
      </c>
      <c r="E2582" t="s">
        <v>2036</v>
      </c>
      <c r="F2582">
        <v>202204</v>
      </c>
      <c r="G2582" t="s">
        <v>2171</v>
      </c>
      <c r="H2582">
        <v>7932.67</v>
      </c>
    </row>
    <row r="2583" spans="1:8">
      <c r="A2583">
        <v>5352</v>
      </c>
      <c r="B2583" t="s">
        <v>2625</v>
      </c>
      <c r="C2583">
        <v>5697</v>
      </c>
      <c r="D2583" t="s">
        <v>2344</v>
      </c>
      <c r="E2583" t="s">
        <v>2036</v>
      </c>
      <c r="F2583">
        <v>202204</v>
      </c>
      <c r="G2583" t="s">
        <v>190</v>
      </c>
      <c r="H2583">
        <v>172243</v>
      </c>
    </row>
    <row r="2584" spans="1:8">
      <c r="A2584">
        <v>5352</v>
      </c>
      <c r="B2584" t="s">
        <v>2625</v>
      </c>
      <c r="C2584">
        <v>5697</v>
      </c>
      <c r="D2584" t="s">
        <v>2344</v>
      </c>
      <c r="E2584" t="s">
        <v>2036</v>
      </c>
      <c r="F2584">
        <v>202204</v>
      </c>
      <c r="G2584" t="s">
        <v>191</v>
      </c>
      <c r="H2584">
        <v>23449</v>
      </c>
    </row>
    <row r="2585" spans="1:8">
      <c r="A2585">
        <v>5352</v>
      </c>
      <c r="B2585" t="s">
        <v>2625</v>
      </c>
      <c r="C2585">
        <v>5697</v>
      </c>
      <c r="D2585" t="s">
        <v>2344</v>
      </c>
      <c r="E2585" t="s">
        <v>2036</v>
      </c>
      <c r="F2585">
        <v>202204</v>
      </c>
      <c r="G2585" t="s">
        <v>176</v>
      </c>
      <c r="H2585">
        <v>0</v>
      </c>
    </row>
    <row r="2586" spans="1:8">
      <c r="A2586">
        <v>5352</v>
      </c>
      <c r="B2586" t="s">
        <v>2625</v>
      </c>
      <c r="C2586">
        <v>5697</v>
      </c>
      <c r="D2586" t="s">
        <v>2344</v>
      </c>
      <c r="E2586" t="s">
        <v>2036</v>
      </c>
      <c r="F2586">
        <v>202204</v>
      </c>
      <c r="G2586" t="s">
        <v>178</v>
      </c>
      <c r="H2586">
        <v>481</v>
      </c>
    </row>
    <row r="2587" spans="1:8">
      <c r="A2587">
        <v>5352</v>
      </c>
      <c r="B2587" t="s">
        <v>2625</v>
      </c>
      <c r="C2587">
        <v>5697</v>
      </c>
      <c r="D2587" t="s">
        <v>2344</v>
      </c>
      <c r="E2587" t="s">
        <v>2036</v>
      </c>
      <c r="F2587">
        <v>202204</v>
      </c>
      <c r="G2587" t="s">
        <v>180</v>
      </c>
      <c r="H2587">
        <v>550</v>
      </c>
    </row>
    <row r="2588" spans="1:8">
      <c r="A2588">
        <v>5352</v>
      </c>
      <c r="B2588" t="s">
        <v>2625</v>
      </c>
      <c r="C2588">
        <v>5697</v>
      </c>
      <c r="D2588" t="s">
        <v>2344</v>
      </c>
      <c r="E2588" t="s">
        <v>2036</v>
      </c>
      <c r="F2588">
        <v>202204</v>
      </c>
      <c r="G2588" t="s">
        <v>182</v>
      </c>
      <c r="H2588">
        <v>172243</v>
      </c>
    </row>
    <row r="2589" spans="1:8">
      <c r="A2589">
        <v>5352</v>
      </c>
      <c r="B2589" t="s">
        <v>2625</v>
      </c>
      <c r="C2589">
        <v>5697</v>
      </c>
      <c r="D2589" t="s">
        <v>2344</v>
      </c>
      <c r="E2589" t="s">
        <v>2036</v>
      </c>
      <c r="F2589">
        <v>202204</v>
      </c>
      <c r="G2589" t="s">
        <v>184</v>
      </c>
      <c r="H2589">
        <v>23449</v>
      </c>
    </row>
    <row r="2590" spans="1:8">
      <c r="A2590">
        <v>5352</v>
      </c>
      <c r="B2590" t="s">
        <v>2625</v>
      </c>
      <c r="C2590">
        <v>5697</v>
      </c>
      <c r="D2590" t="s">
        <v>2344</v>
      </c>
      <c r="E2590" t="s">
        <v>2036</v>
      </c>
      <c r="F2590">
        <v>202204</v>
      </c>
      <c r="G2590" t="s">
        <v>192</v>
      </c>
      <c r="H2590">
        <v>0</v>
      </c>
    </row>
    <row r="2591" spans="1:8">
      <c r="A2591">
        <v>5352</v>
      </c>
      <c r="B2591" t="s">
        <v>2625</v>
      </c>
      <c r="C2591">
        <v>5697</v>
      </c>
      <c r="D2591" t="s">
        <v>2344</v>
      </c>
      <c r="E2591" t="s">
        <v>2036</v>
      </c>
      <c r="F2591">
        <v>202204</v>
      </c>
      <c r="G2591" t="s">
        <v>2170</v>
      </c>
      <c r="H2591">
        <v>1896.13</v>
      </c>
    </row>
    <row r="2592" spans="1:8">
      <c r="A2592">
        <v>5352</v>
      </c>
      <c r="B2592" t="s">
        <v>2625</v>
      </c>
      <c r="C2592">
        <v>5697</v>
      </c>
      <c r="D2592" t="s">
        <v>2344</v>
      </c>
      <c r="E2592" t="s">
        <v>2036</v>
      </c>
      <c r="F2592">
        <v>202204</v>
      </c>
      <c r="G2592" t="s">
        <v>186</v>
      </c>
      <c r="H2592">
        <v>0</v>
      </c>
    </row>
    <row r="2593" spans="1:8">
      <c r="A2593">
        <v>5352</v>
      </c>
      <c r="B2593" t="s">
        <v>2625</v>
      </c>
      <c r="C2593">
        <v>5697</v>
      </c>
      <c r="D2593" t="s">
        <v>2344</v>
      </c>
      <c r="E2593" t="s">
        <v>2036</v>
      </c>
      <c r="F2593">
        <v>202204</v>
      </c>
      <c r="G2593" t="s">
        <v>2169</v>
      </c>
      <c r="H2593">
        <v>182.65</v>
      </c>
    </row>
    <row r="2594" spans="1:8">
      <c r="A2594">
        <v>5352</v>
      </c>
      <c r="B2594" t="s">
        <v>2625</v>
      </c>
      <c r="C2594">
        <v>5697</v>
      </c>
      <c r="D2594" t="s">
        <v>2344</v>
      </c>
      <c r="E2594" t="s">
        <v>2036</v>
      </c>
      <c r="F2594">
        <v>202204</v>
      </c>
      <c r="G2594" t="s">
        <v>2166</v>
      </c>
      <c r="H2594">
        <v>11.83</v>
      </c>
    </row>
    <row r="2595" spans="1:8">
      <c r="A2595">
        <v>5352</v>
      </c>
      <c r="B2595" t="s">
        <v>2625</v>
      </c>
      <c r="C2595">
        <v>5697</v>
      </c>
      <c r="D2595" t="s">
        <v>2344</v>
      </c>
      <c r="E2595" t="s">
        <v>2036</v>
      </c>
      <c r="F2595">
        <v>202204</v>
      </c>
      <c r="G2595" t="s">
        <v>2167</v>
      </c>
      <c r="H2595">
        <v>21.22</v>
      </c>
    </row>
    <row r="2596" spans="1:8">
      <c r="A2596">
        <v>5352</v>
      </c>
      <c r="B2596" t="s">
        <v>2625</v>
      </c>
      <c r="C2596">
        <v>5697</v>
      </c>
      <c r="D2596" t="s">
        <v>2344</v>
      </c>
      <c r="E2596" t="s">
        <v>2036</v>
      </c>
      <c r="F2596">
        <v>202204</v>
      </c>
      <c r="G2596" t="s">
        <v>2168</v>
      </c>
      <c r="H2596">
        <v>14.37</v>
      </c>
    </row>
    <row r="2597" spans="1:8">
      <c r="A2597">
        <v>5352</v>
      </c>
      <c r="B2597" t="s">
        <v>2625</v>
      </c>
      <c r="C2597">
        <v>5697</v>
      </c>
      <c r="D2597" t="s">
        <v>2344</v>
      </c>
      <c r="E2597" t="s">
        <v>2036</v>
      </c>
      <c r="F2597">
        <v>202204</v>
      </c>
      <c r="G2597" t="s">
        <v>2171</v>
      </c>
      <c r="H2597">
        <v>57809.03</v>
      </c>
    </row>
    <row r="2598" spans="1:8">
      <c r="A2598">
        <v>5352</v>
      </c>
      <c r="B2598" t="s">
        <v>2625</v>
      </c>
      <c r="C2598">
        <v>5697</v>
      </c>
      <c r="D2598" t="s">
        <v>2344</v>
      </c>
      <c r="E2598" t="s">
        <v>2036</v>
      </c>
      <c r="F2598">
        <v>202204</v>
      </c>
      <c r="G2598" t="s">
        <v>190</v>
      </c>
      <c r="H2598">
        <v>285961</v>
      </c>
    </row>
    <row r="2599" spans="1:8">
      <c r="A2599">
        <v>5352</v>
      </c>
      <c r="B2599" t="s">
        <v>2625</v>
      </c>
      <c r="C2599">
        <v>5697</v>
      </c>
      <c r="D2599" t="s">
        <v>2344</v>
      </c>
      <c r="E2599" t="s">
        <v>2036</v>
      </c>
      <c r="F2599">
        <v>202204</v>
      </c>
      <c r="G2599" t="s">
        <v>191</v>
      </c>
      <c r="H2599">
        <v>38166</v>
      </c>
    </row>
    <row r="2600" spans="1:8">
      <c r="A2600">
        <v>5352</v>
      </c>
      <c r="B2600" t="s">
        <v>2625</v>
      </c>
      <c r="C2600">
        <v>5697</v>
      </c>
      <c r="D2600" t="s">
        <v>2344</v>
      </c>
      <c r="E2600" t="s">
        <v>2036</v>
      </c>
      <c r="F2600">
        <v>202204</v>
      </c>
      <c r="G2600" t="s">
        <v>176</v>
      </c>
      <c r="H2600">
        <v>-9056.44</v>
      </c>
    </row>
    <row r="2601" spans="1:8">
      <c r="A2601">
        <v>5352</v>
      </c>
      <c r="B2601" t="s">
        <v>2625</v>
      </c>
      <c r="C2601">
        <v>5697</v>
      </c>
      <c r="D2601" t="s">
        <v>2344</v>
      </c>
      <c r="E2601" t="s">
        <v>2036</v>
      </c>
      <c r="F2601">
        <v>202204</v>
      </c>
      <c r="G2601" t="s">
        <v>178</v>
      </c>
      <c r="H2601">
        <v>970</v>
      </c>
    </row>
    <row r="2602" spans="1:8">
      <c r="A2602">
        <v>5352</v>
      </c>
      <c r="B2602" t="s">
        <v>2625</v>
      </c>
      <c r="C2602">
        <v>5697</v>
      </c>
      <c r="D2602" t="s">
        <v>2344</v>
      </c>
      <c r="E2602" t="s">
        <v>2036</v>
      </c>
      <c r="F2602">
        <v>202204</v>
      </c>
      <c r="G2602" t="s">
        <v>180</v>
      </c>
      <c r="H2602">
        <v>970</v>
      </c>
    </row>
    <row r="2603" spans="1:8">
      <c r="A2603">
        <v>5352</v>
      </c>
      <c r="B2603" t="s">
        <v>2625</v>
      </c>
      <c r="C2603">
        <v>5697</v>
      </c>
      <c r="D2603" t="s">
        <v>2344</v>
      </c>
      <c r="E2603" t="s">
        <v>2036</v>
      </c>
      <c r="F2603">
        <v>202204</v>
      </c>
      <c r="G2603" t="s">
        <v>182</v>
      </c>
      <c r="H2603">
        <v>285961</v>
      </c>
    </row>
    <row r="2604" spans="1:8">
      <c r="A2604">
        <v>5352</v>
      </c>
      <c r="B2604" t="s">
        <v>2625</v>
      </c>
      <c r="C2604">
        <v>5697</v>
      </c>
      <c r="D2604" t="s">
        <v>2344</v>
      </c>
      <c r="E2604" t="s">
        <v>2036</v>
      </c>
      <c r="F2604">
        <v>202204</v>
      </c>
      <c r="G2604" t="s">
        <v>184</v>
      </c>
      <c r="H2604">
        <v>38166</v>
      </c>
    </row>
    <row r="2605" spans="1:8">
      <c r="A2605">
        <v>5352</v>
      </c>
      <c r="B2605" t="s">
        <v>2625</v>
      </c>
      <c r="C2605">
        <v>5697</v>
      </c>
      <c r="D2605" t="s">
        <v>2344</v>
      </c>
      <c r="E2605" t="s">
        <v>2036</v>
      </c>
      <c r="F2605">
        <v>202204</v>
      </c>
      <c r="G2605" t="s">
        <v>192</v>
      </c>
      <c r="H2605">
        <v>0</v>
      </c>
    </row>
    <row r="2606" spans="1:8">
      <c r="A2606">
        <v>5352</v>
      </c>
      <c r="B2606" t="s">
        <v>2625</v>
      </c>
      <c r="C2606">
        <v>5697</v>
      </c>
      <c r="D2606" t="s">
        <v>2344</v>
      </c>
      <c r="E2606" t="s">
        <v>2036</v>
      </c>
      <c r="F2606">
        <v>202204</v>
      </c>
      <c r="G2606" t="s">
        <v>2170</v>
      </c>
      <c r="H2606">
        <v>3252.78</v>
      </c>
    </row>
    <row r="2607" spans="1:8">
      <c r="A2607">
        <v>5352</v>
      </c>
      <c r="B2607" t="s">
        <v>2625</v>
      </c>
      <c r="C2607">
        <v>5697</v>
      </c>
      <c r="D2607" t="s">
        <v>2344</v>
      </c>
      <c r="E2607" t="s">
        <v>2036</v>
      </c>
      <c r="F2607">
        <v>202204</v>
      </c>
      <c r="G2607" t="s">
        <v>186</v>
      </c>
      <c r="H2607">
        <v>0</v>
      </c>
    </row>
    <row r="2608" spans="1:8">
      <c r="A2608">
        <v>5352</v>
      </c>
      <c r="B2608" t="s">
        <v>2625</v>
      </c>
      <c r="C2608">
        <v>5697</v>
      </c>
      <c r="D2608" t="s">
        <v>2344</v>
      </c>
      <c r="E2608" t="s">
        <v>2036</v>
      </c>
      <c r="F2608">
        <v>202204</v>
      </c>
      <c r="G2608" t="s">
        <v>2169</v>
      </c>
      <c r="H2608">
        <v>182.65</v>
      </c>
    </row>
    <row r="2609" spans="1:8">
      <c r="A2609">
        <v>5352</v>
      </c>
      <c r="B2609" t="s">
        <v>2625</v>
      </c>
      <c r="C2609">
        <v>5697</v>
      </c>
      <c r="D2609" t="s">
        <v>2344</v>
      </c>
      <c r="E2609" t="s">
        <v>2036</v>
      </c>
      <c r="F2609">
        <v>202204</v>
      </c>
      <c r="G2609" t="s">
        <v>2166</v>
      </c>
      <c r="H2609">
        <v>11.83</v>
      </c>
    </row>
    <row r="2610" spans="1:8">
      <c r="A2610">
        <v>5352</v>
      </c>
      <c r="B2610" t="s">
        <v>2625</v>
      </c>
      <c r="C2610">
        <v>5697</v>
      </c>
      <c r="D2610" t="s">
        <v>2344</v>
      </c>
      <c r="E2610" t="s">
        <v>2036</v>
      </c>
      <c r="F2610">
        <v>202204</v>
      </c>
      <c r="G2610" t="s">
        <v>2167</v>
      </c>
      <c r="H2610">
        <v>21.22</v>
      </c>
    </row>
    <row r="2611" spans="1:8">
      <c r="A2611">
        <v>5352</v>
      </c>
      <c r="B2611" t="s">
        <v>2625</v>
      </c>
      <c r="C2611">
        <v>5697</v>
      </c>
      <c r="D2611" t="s">
        <v>2344</v>
      </c>
      <c r="E2611" t="s">
        <v>2036</v>
      </c>
      <c r="F2611">
        <v>202204</v>
      </c>
      <c r="G2611" t="s">
        <v>2168</v>
      </c>
      <c r="H2611">
        <v>14.37</v>
      </c>
    </row>
    <row r="2612" spans="1:8">
      <c r="A2612">
        <v>5352</v>
      </c>
      <c r="B2612" t="s">
        <v>2625</v>
      </c>
      <c r="C2612">
        <v>5697</v>
      </c>
      <c r="D2612" t="s">
        <v>2344</v>
      </c>
      <c r="E2612" t="s">
        <v>2036</v>
      </c>
      <c r="F2612">
        <v>202204</v>
      </c>
      <c r="G2612" t="s">
        <v>2171</v>
      </c>
      <c r="H2612">
        <v>90114.31</v>
      </c>
    </row>
    <row r="2613" spans="1:8">
      <c r="A2613">
        <v>5352</v>
      </c>
      <c r="B2613" t="s">
        <v>2625</v>
      </c>
      <c r="C2613">
        <v>5697</v>
      </c>
      <c r="D2613" t="s">
        <v>2344</v>
      </c>
      <c r="E2613" t="s">
        <v>2036</v>
      </c>
      <c r="F2613">
        <v>202204</v>
      </c>
      <c r="G2613" t="s">
        <v>190</v>
      </c>
      <c r="H2613">
        <v>174305</v>
      </c>
    </row>
    <row r="2614" spans="1:8">
      <c r="A2614">
        <v>5352</v>
      </c>
      <c r="B2614" t="s">
        <v>2625</v>
      </c>
      <c r="C2614">
        <v>5697</v>
      </c>
      <c r="D2614" t="s">
        <v>2344</v>
      </c>
      <c r="E2614" t="s">
        <v>2036</v>
      </c>
      <c r="F2614">
        <v>202204</v>
      </c>
      <c r="G2614" t="s">
        <v>191</v>
      </c>
      <c r="H2614">
        <v>24164</v>
      </c>
    </row>
    <row r="2615" spans="1:8">
      <c r="A2615">
        <v>5352</v>
      </c>
      <c r="B2615" t="s">
        <v>2625</v>
      </c>
      <c r="C2615">
        <v>5697</v>
      </c>
      <c r="D2615" t="s">
        <v>2344</v>
      </c>
      <c r="E2615" t="s">
        <v>2036</v>
      </c>
      <c r="F2615">
        <v>202204</v>
      </c>
      <c r="G2615" t="s">
        <v>176</v>
      </c>
      <c r="H2615">
        <v>0</v>
      </c>
    </row>
    <row r="2616" spans="1:8">
      <c r="A2616">
        <v>5352</v>
      </c>
      <c r="B2616" t="s">
        <v>2625</v>
      </c>
      <c r="C2616">
        <v>5697</v>
      </c>
      <c r="D2616" t="s">
        <v>2344</v>
      </c>
      <c r="E2616" t="s">
        <v>2036</v>
      </c>
      <c r="F2616">
        <v>202204</v>
      </c>
      <c r="G2616" t="s">
        <v>178</v>
      </c>
      <c r="H2616">
        <v>600</v>
      </c>
    </row>
    <row r="2617" spans="1:8">
      <c r="A2617">
        <v>5352</v>
      </c>
      <c r="B2617" t="s">
        <v>2625</v>
      </c>
      <c r="C2617">
        <v>5697</v>
      </c>
      <c r="D2617" t="s">
        <v>2344</v>
      </c>
      <c r="E2617" t="s">
        <v>2036</v>
      </c>
      <c r="F2617">
        <v>202204</v>
      </c>
      <c r="G2617" t="s">
        <v>180</v>
      </c>
      <c r="H2617">
        <v>634</v>
      </c>
    </row>
    <row r="2618" spans="1:8">
      <c r="A2618">
        <v>5352</v>
      </c>
      <c r="B2618" t="s">
        <v>2625</v>
      </c>
      <c r="C2618">
        <v>5697</v>
      </c>
      <c r="D2618" t="s">
        <v>2344</v>
      </c>
      <c r="E2618" t="s">
        <v>2036</v>
      </c>
      <c r="F2618">
        <v>202204</v>
      </c>
      <c r="G2618" t="s">
        <v>182</v>
      </c>
      <c r="H2618">
        <v>174305</v>
      </c>
    </row>
    <row r="2619" spans="1:8">
      <c r="A2619">
        <v>5352</v>
      </c>
      <c r="B2619" t="s">
        <v>2625</v>
      </c>
      <c r="C2619">
        <v>5697</v>
      </c>
      <c r="D2619" t="s">
        <v>2344</v>
      </c>
      <c r="E2619" t="s">
        <v>2036</v>
      </c>
      <c r="F2619">
        <v>202204</v>
      </c>
      <c r="G2619" t="s">
        <v>184</v>
      </c>
      <c r="H2619">
        <v>24164</v>
      </c>
    </row>
    <row r="2620" spans="1:8">
      <c r="A2620">
        <v>5352</v>
      </c>
      <c r="B2620" t="s">
        <v>2625</v>
      </c>
      <c r="C2620">
        <v>5697</v>
      </c>
      <c r="D2620" t="s">
        <v>2344</v>
      </c>
      <c r="E2620" t="s">
        <v>2036</v>
      </c>
      <c r="F2620">
        <v>202204</v>
      </c>
      <c r="G2620" t="s">
        <v>192</v>
      </c>
      <c r="H2620">
        <v>0</v>
      </c>
    </row>
    <row r="2621" spans="1:8">
      <c r="A2621">
        <v>5352</v>
      </c>
      <c r="B2621" t="s">
        <v>2625</v>
      </c>
      <c r="C2621">
        <v>5697</v>
      </c>
      <c r="D2621" t="s">
        <v>2344</v>
      </c>
      <c r="E2621" t="s">
        <v>2036</v>
      </c>
      <c r="F2621">
        <v>202204</v>
      </c>
      <c r="G2621" t="s">
        <v>2170</v>
      </c>
      <c r="H2621">
        <v>2071.0700000000002</v>
      </c>
    </row>
    <row r="2622" spans="1:8">
      <c r="A2622">
        <v>5352</v>
      </c>
      <c r="B2622" t="s">
        <v>2625</v>
      </c>
      <c r="C2622">
        <v>5697</v>
      </c>
      <c r="D2622" t="s">
        <v>2344</v>
      </c>
      <c r="E2622" t="s">
        <v>2036</v>
      </c>
      <c r="F2622">
        <v>202204</v>
      </c>
      <c r="G2622" t="s">
        <v>186</v>
      </c>
      <c r="H2622">
        <v>0</v>
      </c>
    </row>
    <row r="2623" spans="1:8">
      <c r="A2623">
        <v>5352</v>
      </c>
      <c r="B2623" t="s">
        <v>2625</v>
      </c>
      <c r="C2623">
        <v>5697</v>
      </c>
      <c r="D2623" t="s">
        <v>2344</v>
      </c>
      <c r="E2623" t="s">
        <v>2036</v>
      </c>
      <c r="F2623">
        <v>202204</v>
      </c>
      <c r="G2623" t="s">
        <v>2169</v>
      </c>
      <c r="H2623">
        <v>182.65</v>
      </c>
    </row>
    <row r="2624" spans="1:8">
      <c r="A2624">
        <v>5352</v>
      </c>
      <c r="B2624" t="s">
        <v>2625</v>
      </c>
      <c r="C2624">
        <v>5697</v>
      </c>
      <c r="D2624" t="s">
        <v>2344</v>
      </c>
      <c r="E2624" t="s">
        <v>2036</v>
      </c>
      <c r="F2624">
        <v>202204</v>
      </c>
      <c r="G2624" t="s">
        <v>2166</v>
      </c>
      <c r="H2624">
        <v>11.83</v>
      </c>
    </row>
    <row r="2625" spans="1:8">
      <c r="A2625">
        <v>5352</v>
      </c>
      <c r="B2625" t="s">
        <v>2625</v>
      </c>
      <c r="C2625">
        <v>5697</v>
      </c>
      <c r="D2625" t="s">
        <v>2344</v>
      </c>
      <c r="E2625" t="s">
        <v>2036</v>
      </c>
      <c r="F2625">
        <v>202204</v>
      </c>
      <c r="G2625" t="s">
        <v>2167</v>
      </c>
      <c r="H2625">
        <v>21.22</v>
      </c>
    </row>
    <row r="2626" spans="1:8">
      <c r="A2626">
        <v>5352</v>
      </c>
      <c r="B2626" t="s">
        <v>2625</v>
      </c>
      <c r="C2626">
        <v>5697</v>
      </c>
      <c r="D2626" t="s">
        <v>2344</v>
      </c>
      <c r="E2626" t="s">
        <v>2036</v>
      </c>
      <c r="F2626">
        <v>202204</v>
      </c>
      <c r="G2626" t="s">
        <v>2168</v>
      </c>
      <c r="H2626">
        <v>14.37</v>
      </c>
    </row>
    <row r="2627" spans="1:8">
      <c r="A2627">
        <v>5352</v>
      </c>
      <c r="B2627" t="s">
        <v>2625</v>
      </c>
      <c r="C2627">
        <v>5697</v>
      </c>
      <c r="D2627" t="s">
        <v>2344</v>
      </c>
      <c r="E2627" t="s">
        <v>2036</v>
      </c>
      <c r="F2627">
        <v>202204</v>
      </c>
      <c r="G2627" t="s">
        <v>2171</v>
      </c>
      <c r="H2627">
        <v>63489.279999999999</v>
      </c>
    </row>
    <row r="2628" spans="1:8">
      <c r="A2628">
        <v>5352</v>
      </c>
      <c r="B2628" t="s">
        <v>2625</v>
      </c>
      <c r="C2628">
        <v>5697</v>
      </c>
      <c r="D2628" t="s">
        <v>2344</v>
      </c>
      <c r="E2628" t="s">
        <v>2036</v>
      </c>
      <c r="F2628">
        <v>202204</v>
      </c>
      <c r="G2628" t="s">
        <v>190</v>
      </c>
      <c r="H2628">
        <v>150096</v>
      </c>
    </row>
    <row r="2629" spans="1:8">
      <c r="A2629">
        <v>5352</v>
      </c>
      <c r="B2629" t="s">
        <v>2625</v>
      </c>
      <c r="C2629">
        <v>5697</v>
      </c>
      <c r="D2629" t="s">
        <v>2344</v>
      </c>
      <c r="E2629" t="s">
        <v>2036</v>
      </c>
      <c r="F2629">
        <v>202204</v>
      </c>
      <c r="G2629" t="s">
        <v>191</v>
      </c>
      <c r="H2629">
        <v>19055</v>
      </c>
    </row>
    <row r="2630" spans="1:8">
      <c r="A2630">
        <v>5352</v>
      </c>
      <c r="B2630" t="s">
        <v>2625</v>
      </c>
      <c r="C2630">
        <v>5697</v>
      </c>
      <c r="D2630" t="s">
        <v>2344</v>
      </c>
      <c r="E2630" t="s">
        <v>2036</v>
      </c>
      <c r="F2630">
        <v>202204</v>
      </c>
      <c r="G2630" t="s">
        <v>176</v>
      </c>
      <c r="H2630">
        <v>-2263.15</v>
      </c>
    </row>
    <row r="2631" spans="1:8">
      <c r="A2631">
        <v>5352</v>
      </c>
      <c r="B2631" t="s">
        <v>2625</v>
      </c>
      <c r="C2631">
        <v>5697</v>
      </c>
      <c r="D2631" t="s">
        <v>2344</v>
      </c>
      <c r="E2631" t="s">
        <v>2036</v>
      </c>
      <c r="F2631">
        <v>202204</v>
      </c>
      <c r="G2631" t="s">
        <v>178</v>
      </c>
      <c r="H2631">
        <v>450</v>
      </c>
    </row>
    <row r="2632" spans="1:8">
      <c r="A2632">
        <v>5352</v>
      </c>
      <c r="B2632" t="s">
        <v>2625</v>
      </c>
      <c r="C2632">
        <v>5697</v>
      </c>
      <c r="D2632" t="s">
        <v>2344</v>
      </c>
      <c r="E2632" t="s">
        <v>2036</v>
      </c>
      <c r="F2632">
        <v>202204</v>
      </c>
      <c r="G2632" t="s">
        <v>180</v>
      </c>
      <c r="H2632">
        <v>450</v>
      </c>
    </row>
    <row r="2633" spans="1:8">
      <c r="A2633">
        <v>5352</v>
      </c>
      <c r="B2633" t="s">
        <v>2625</v>
      </c>
      <c r="C2633">
        <v>5697</v>
      </c>
      <c r="D2633" t="s">
        <v>2344</v>
      </c>
      <c r="E2633" t="s">
        <v>2036</v>
      </c>
      <c r="F2633">
        <v>202204</v>
      </c>
      <c r="G2633" t="s">
        <v>182</v>
      </c>
      <c r="H2633">
        <v>150096</v>
      </c>
    </row>
    <row r="2634" spans="1:8">
      <c r="A2634">
        <v>5352</v>
      </c>
      <c r="B2634" t="s">
        <v>2625</v>
      </c>
      <c r="C2634">
        <v>5697</v>
      </c>
      <c r="D2634" t="s">
        <v>2344</v>
      </c>
      <c r="E2634" t="s">
        <v>2036</v>
      </c>
      <c r="F2634">
        <v>202204</v>
      </c>
      <c r="G2634" t="s">
        <v>184</v>
      </c>
      <c r="H2634">
        <v>19055</v>
      </c>
    </row>
    <row r="2635" spans="1:8">
      <c r="A2635">
        <v>5352</v>
      </c>
      <c r="B2635" t="s">
        <v>2625</v>
      </c>
      <c r="C2635">
        <v>5697</v>
      </c>
      <c r="D2635" t="s">
        <v>2344</v>
      </c>
      <c r="E2635" t="s">
        <v>2036</v>
      </c>
      <c r="F2635">
        <v>202204</v>
      </c>
      <c r="G2635" t="s">
        <v>192</v>
      </c>
      <c r="H2635">
        <v>0</v>
      </c>
    </row>
    <row r="2636" spans="1:8">
      <c r="A2636">
        <v>5352</v>
      </c>
      <c r="B2636" t="s">
        <v>2625</v>
      </c>
      <c r="C2636">
        <v>5697</v>
      </c>
      <c r="D2636" t="s">
        <v>2344</v>
      </c>
      <c r="E2636" t="s">
        <v>2036</v>
      </c>
      <c r="F2636">
        <v>202204</v>
      </c>
      <c r="G2636" t="s">
        <v>2170</v>
      </c>
      <c r="H2636">
        <v>1634.52</v>
      </c>
    </row>
    <row r="2637" spans="1:8">
      <c r="A2637">
        <v>5352</v>
      </c>
      <c r="B2637" t="s">
        <v>2625</v>
      </c>
      <c r="C2637">
        <v>5697</v>
      </c>
      <c r="D2637" t="s">
        <v>2344</v>
      </c>
      <c r="E2637" t="s">
        <v>2036</v>
      </c>
      <c r="F2637">
        <v>202204</v>
      </c>
      <c r="G2637" t="s">
        <v>186</v>
      </c>
      <c r="H2637">
        <v>0</v>
      </c>
    </row>
    <row r="2638" spans="1:8">
      <c r="A2638">
        <v>5352</v>
      </c>
      <c r="B2638" t="s">
        <v>2625</v>
      </c>
      <c r="C2638">
        <v>5697</v>
      </c>
      <c r="D2638" t="s">
        <v>2344</v>
      </c>
      <c r="E2638" t="s">
        <v>2036</v>
      </c>
      <c r="F2638">
        <v>202204</v>
      </c>
      <c r="G2638" t="s">
        <v>2169</v>
      </c>
      <c r="H2638">
        <v>182.65</v>
      </c>
    </row>
    <row r="2639" spans="1:8">
      <c r="A2639">
        <v>5352</v>
      </c>
      <c r="B2639" t="s">
        <v>2625</v>
      </c>
      <c r="C2639">
        <v>5697</v>
      </c>
      <c r="D2639" t="s">
        <v>2344</v>
      </c>
      <c r="E2639" t="s">
        <v>2036</v>
      </c>
      <c r="F2639">
        <v>202204</v>
      </c>
      <c r="G2639" t="s">
        <v>2166</v>
      </c>
      <c r="H2639">
        <v>11.83</v>
      </c>
    </row>
    <row r="2640" spans="1:8">
      <c r="A2640">
        <v>5352</v>
      </c>
      <c r="B2640" t="s">
        <v>2625</v>
      </c>
      <c r="C2640">
        <v>5697</v>
      </c>
      <c r="D2640" t="s">
        <v>2344</v>
      </c>
      <c r="E2640" t="s">
        <v>2036</v>
      </c>
      <c r="F2640">
        <v>202204</v>
      </c>
      <c r="G2640" t="s">
        <v>2167</v>
      </c>
      <c r="H2640">
        <v>21.22</v>
      </c>
    </row>
    <row r="2641" spans="1:8">
      <c r="A2641">
        <v>5352</v>
      </c>
      <c r="B2641" t="s">
        <v>2625</v>
      </c>
      <c r="C2641">
        <v>5697</v>
      </c>
      <c r="D2641" t="s">
        <v>2344</v>
      </c>
      <c r="E2641" t="s">
        <v>2036</v>
      </c>
      <c r="F2641">
        <v>202204</v>
      </c>
      <c r="G2641" t="s">
        <v>2168</v>
      </c>
      <c r="H2641">
        <v>14.37</v>
      </c>
    </row>
    <row r="2642" spans="1:8">
      <c r="A2642">
        <v>5352</v>
      </c>
      <c r="B2642" t="s">
        <v>2625</v>
      </c>
      <c r="C2642">
        <v>5697</v>
      </c>
      <c r="D2642" t="s">
        <v>2344</v>
      </c>
      <c r="E2642" t="s">
        <v>2036</v>
      </c>
      <c r="F2642">
        <v>202204</v>
      </c>
      <c r="G2642" t="s">
        <v>2171</v>
      </c>
      <c r="H2642">
        <v>47569.98</v>
      </c>
    </row>
    <row r="2643" spans="1:8">
      <c r="A2643">
        <v>5352</v>
      </c>
      <c r="B2643" t="s">
        <v>2625</v>
      </c>
      <c r="C2643">
        <v>5697</v>
      </c>
      <c r="D2643" t="s">
        <v>2344</v>
      </c>
      <c r="E2643" t="s">
        <v>2036</v>
      </c>
      <c r="F2643">
        <v>202204</v>
      </c>
      <c r="G2643" t="s">
        <v>190</v>
      </c>
      <c r="H2643">
        <v>946658</v>
      </c>
    </row>
    <row r="2644" spans="1:8">
      <c r="A2644">
        <v>5352</v>
      </c>
      <c r="B2644" t="s">
        <v>2625</v>
      </c>
      <c r="C2644">
        <v>5697</v>
      </c>
      <c r="D2644" t="s">
        <v>2344</v>
      </c>
      <c r="E2644" t="s">
        <v>2036</v>
      </c>
      <c r="F2644">
        <v>202204</v>
      </c>
      <c r="G2644" t="s">
        <v>191</v>
      </c>
      <c r="H2644">
        <v>140562</v>
      </c>
    </row>
    <row r="2645" spans="1:8">
      <c r="A2645">
        <v>5352</v>
      </c>
      <c r="B2645" t="s">
        <v>2625</v>
      </c>
      <c r="C2645">
        <v>5697</v>
      </c>
      <c r="D2645" t="s">
        <v>2344</v>
      </c>
      <c r="E2645" t="s">
        <v>2036</v>
      </c>
      <c r="F2645">
        <v>202204</v>
      </c>
      <c r="G2645" t="s">
        <v>176</v>
      </c>
      <c r="H2645">
        <v>0</v>
      </c>
    </row>
    <row r="2646" spans="1:8">
      <c r="A2646">
        <v>5352</v>
      </c>
      <c r="B2646" t="s">
        <v>2625</v>
      </c>
      <c r="C2646">
        <v>5697</v>
      </c>
      <c r="D2646" t="s">
        <v>2344</v>
      </c>
      <c r="E2646" t="s">
        <v>2036</v>
      </c>
      <c r="F2646">
        <v>202204</v>
      </c>
      <c r="G2646" t="s">
        <v>178</v>
      </c>
      <c r="H2646">
        <v>2750</v>
      </c>
    </row>
    <row r="2647" spans="1:8">
      <c r="A2647">
        <v>5352</v>
      </c>
      <c r="B2647" t="s">
        <v>2625</v>
      </c>
      <c r="C2647">
        <v>5697</v>
      </c>
      <c r="D2647" t="s">
        <v>2344</v>
      </c>
      <c r="E2647" t="s">
        <v>2036</v>
      </c>
      <c r="F2647">
        <v>202204</v>
      </c>
      <c r="G2647" t="s">
        <v>180</v>
      </c>
      <c r="H2647">
        <v>2750</v>
      </c>
    </row>
    <row r="2648" spans="1:8">
      <c r="A2648">
        <v>5352</v>
      </c>
      <c r="B2648" t="s">
        <v>2625</v>
      </c>
      <c r="C2648">
        <v>5697</v>
      </c>
      <c r="D2648" t="s">
        <v>2344</v>
      </c>
      <c r="E2648" t="s">
        <v>2036</v>
      </c>
      <c r="F2648">
        <v>202204</v>
      </c>
      <c r="G2648" t="s">
        <v>182</v>
      </c>
      <c r="H2648">
        <v>1012797</v>
      </c>
    </row>
    <row r="2649" spans="1:8">
      <c r="A2649">
        <v>5352</v>
      </c>
      <c r="B2649" t="s">
        <v>2625</v>
      </c>
      <c r="C2649">
        <v>5697</v>
      </c>
      <c r="D2649" t="s">
        <v>2344</v>
      </c>
      <c r="E2649" t="s">
        <v>2036</v>
      </c>
      <c r="F2649">
        <v>202204</v>
      </c>
      <c r="G2649" t="s">
        <v>184</v>
      </c>
      <c r="H2649">
        <v>140562</v>
      </c>
    </row>
    <row r="2650" spans="1:8">
      <c r="A2650">
        <v>5352</v>
      </c>
      <c r="B2650" t="s">
        <v>2625</v>
      </c>
      <c r="C2650">
        <v>5697</v>
      </c>
      <c r="D2650" t="s">
        <v>2344</v>
      </c>
      <c r="E2650" t="s">
        <v>2036</v>
      </c>
      <c r="F2650">
        <v>202204</v>
      </c>
      <c r="G2650" t="s">
        <v>192</v>
      </c>
      <c r="H2650">
        <v>0</v>
      </c>
    </row>
    <row r="2651" spans="1:8">
      <c r="A2651">
        <v>5352</v>
      </c>
      <c r="B2651" t="s">
        <v>2625</v>
      </c>
      <c r="C2651">
        <v>5697</v>
      </c>
      <c r="D2651" t="s">
        <v>2344</v>
      </c>
      <c r="E2651" t="s">
        <v>2036</v>
      </c>
      <c r="F2651">
        <v>202204</v>
      </c>
      <c r="G2651" t="s">
        <v>2170</v>
      </c>
      <c r="H2651">
        <v>10378.620000000001</v>
      </c>
    </row>
    <row r="2652" spans="1:8">
      <c r="A2652">
        <v>5352</v>
      </c>
      <c r="B2652" t="s">
        <v>2625</v>
      </c>
      <c r="C2652">
        <v>5697</v>
      </c>
      <c r="D2652" t="s">
        <v>2344</v>
      </c>
      <c r="E2652" t="s">
        <v>2036</v>
      </c>
      <c r="F2652">
        <v>202204</v>
      </c>
      <c r="G2652" t="s">
        <v>186</v>
      </c>
      <c r="H2652">
        <v>66139</v>
      </c>
    </row>
    <row r="2653" spans="1:8">
      <c r="A2653">
        <v>5352</v>
      </c>
      <c r="B2653" t="s">
        <v>2625</v>
      </c>
      <c r="C2653">
        <v>5697</v>
      </c>
      <c r="D2653" t="s">
        <v>2344</v>
      </c>
      <c r="E2653" t="s">
        <v>2036</v>
      </c>
      <c r="F2653">
        <v>202204</v>
      </c>
      <c r="G2653" t="s">
        <v>2169</v>
      </c>
      <c r="H2653">
        <v>182.65</v>
      </c>
    </row>
    <row r="2654" spans="1:8">
      <c r="A2654">
        <v>5352</v>
      </c>
      <c r="B2654" t="s">
        <v>2625</v>
      </c>
      <c r="C2654">
        <v>5697</v>
      </c>
      <c r="D2654" t="s">
        <v>2344</v>
      </c>
      <c r="E2654" t="s">
        <v>2036</v>
      </c>
      <c r="F2654">
        <v>202204</v>
      </c>
      <c r="G2654" t="s">
        <v>2166</v>
      </c>
      <c r="H2654">
        <v>11.83</v>
      </c>
    </row>
    <row r="2655" spans="1:8">
      <c r="A2655">
        <v>5352</v>
      </c>
      <c r="B2655" t="s">
        <v>2625</v>
      </c>
      <c r="C2655">
        <v>5697</v>
      </c>
      <c r="D2655" t="s">
        <v>2344</v>
      </c>
      <c r="E2655" t="s">
        <v>2036</v>
      </c>
      <c r="F2655">
        <v>202204</v>
      </c>
      <c r="G2655" t="s">
        <v>2167</v>
      </c>
      <c r="H2655">
        <v>21.22</v>
      </c>
    </row>
    <row r="2656" spans="1:8">
      <c r="A2656">
        <v>5352</v>
      </c>
      <c r="B2656" t="s">
        <v>2625</v>
      </c>
      <c r="C2656">
        <v>5697</v>
      </c>
      <c r="D2656" t="s">
        <v>2344</v>
      </c>
      <c r="E2656" t="s">
        <v>2036</v>
      </c>
      <c r="F2656">
        <v>202204</v>
      </c>
      <c r="G2656" t="s">
        <v>2168</v>
      </c>
      <c r="H2656">
        <v>14.37</v>
      </c>
    </row>
    <row r="2657" spans="1:8">
      <c r="A2657">
        <v>5352</v>
      </c>
      <c r="B2657" t="s">
        <v>2625</v>
      </c>
      <c r="C2657">
        <v>5697</v>
      </c>
      <c r="D2657" t="s">
        <v>2344</v>
      </c>
      <c r="E2657" t="s">
        <v>2036</v>
      </c>
      <c r="F2657">
        <v>202204</v>
      </c>
      <c r="G2657" t="s">
        <v>2171</v>
      </c>
      <c r="H2657">
        <v>316420.59999999998</v>
      </c>
    </row>
    <row r="2658" spans="1:8">
      <c r="A2658">
        <v>5352</v>
      </c>
      <c r="B2658" t="s">
        <v>2625</v>
      </c>
      <c r="C2658">
        <v>5697</v>
      </c>
      <c r="D2658" t="s">
        <v>2344</v>
      </c>
      <c r="E2658" t="s">
        <v>2036</v>
      </c>
      <c r="F2658">
        <v>202204</v>
      </c>
      <c r="G2658" t="s">
        <v>190</v>
      </c>
      <c r="H2658">
        <v>291559</v>
      </c>
    </row>
    <row r="2659" spans="1:8">
      <c r="A2659">
        <v>5352</v>
      </c>
      <c r="B2659" t="s">
        <v>2625</v>
      </c>
      <c r="C2659">
        <v>5697</v>
      </c>
      <c r="D2659" t="s">
        <v>2344</v>
      </c>
      <c r="E2659" t="s">
        <v>2036</v>
      </c>
      <c r="F2659">
        <v>202204</v>
      </c>
      <c r="G2659" t="s">
        <v>191</v>
      </c>
      <c r="H2659">
        <v>38236</v>
      </c>
    </row>
    <row r="2660" spans="1:8">
      <c r="A2660">
        <v>5352</v>
      </c>
      <c r="B2660" t="s">
        <v>2625</v>
      </c>
      <c r="C2660">
        <v>5697</v>
      </c>
      <c r="D2660" t="s">
        <v>2344</v>
      </c>
      <c r="E2660" t="s">
        <v>2036</v>
      </c>
      <c r="F2660">
        <v>202204</v>
      </c>
      <c r="G2660" t="s">
        <v>176</v>
      </c>
      <c r="H2660">
        <v>-4138.55</v>
      </c>
    </row>
    <row r="2661" spans="1:8">
      <c r="A2661">
        <v>5352</v>
      </c>
      <c r="B2661" t="s">
        <v>2625</v>
      </c>
      <c r="C2661">
        <v>5697</v>
      </c>
      <c r="D2661" t="s">
        <v>2344</v>
      </c>
      <c r="E2661" t="s">
        <v>2036</v>
      </c>
      <c r="F2661">
        <v>202204</v>
      </c>
      <c r="G2661" t="s">
        <v>178</v>
      </c>
      <c r="H2661">
        <v>820</v>
      </c>
    </row>
    <row r="2662" spans="1:8">
      <c r="A2662">
        <v>5352</v>
      </c>
      <c r="B2662" t="s">
        <v>2625</v>
      </c>
      <c r="C2662">
        <v>5697</v>
      </c>
      <c r="D2662" t="s">
        <v>2344</v>
      </c>
      <c r="E2662" t="s">
        <v>2036</v>
      </c>
      <c r="F2662">
        <v>202204</v>
      </c>
      <c r="G2662" t="s">
        <v>180</v>
      </c>
      <c r="H2662">
        <v>820</v>
      </c>
    </row>
    <row r="2663" spans="1:8">
      <c r="A2663">
        <v>5352</v>
      </c>
      <c r="B2663" t="s">
        <v>2625</v>
      </c>
      <c r="C2663">
        <v>5697</v>
      </c>
      <c r="D2663" t="s">
        <v>2344</v>
      </c>
      <c r="E2663" t="s">
        <v>2036</v>
      </c>
      <c r="F2663">
        <v>202204</v>
      </c>
      <c r="G2663" t="s">
        <v>182</v>
      </c>
      <c r="H2663">
        <v>291559</v>
      </c>
    </row>
    <row r="2664" spans="1:8">
      <c r="A2664">
        <v>5352</v>
      </c>
      <c r="B2664" t="s">
        <v>2625</v>
      </c>
      <c r="C2664">
        <v>5697</v>
      </c>
      <c r="D2664" t="s">
        <v>2344</v>
      </c>
      <c r="E2664" t="s">
        <v>2036</v>
      </c>
      <c r="F2664">
        <v>202204</v>
      </c>
      <c r="G2664" t="s">
        <v>184</v>
      </c>
      <c r="H2664">
        <v>38236</v>
      </c>
    </row>
    <row r="2665" spans="1:8">
      <c r="A2665">
        <v>5352</v>
      </c>
      <c r="B2665" t="s">
        <v>2625</v>
      </c>
      <c r="C2665">
        <v>5697</v>
      </c>
      <c r="D2665" t="s">
        <v>2344</v>
      </c>
      <c r="E2665" t="s">
        <v>2036</v>
      </c>
      <c r="F2665">
        <v>202204</v>
      </c>
      <c r="G2665" t="s">
        <v>192</v>
      </c>
      <c r="H2665">
        <v>0</v>
      </c>
    </row>
    <row r="2666" spans="1:8">
      <c r="A2666">
        <v>5352</v>
      </c>
      <c r="B2666" t="s">
        <v>2625</v>
      </c>
      <c r="C2666">
        <v>5697</v>
      </c>
      <c r="D2666" t="s">
        <v>2344</v>
      </c>
      <c r="E2666" t="s">
        <v>2036</v>
      </c>
      <c r="F2666">
        <v>202204</v>
      </c>
      <c r="G2666" t="s">
        <v>2170</v>
      </c>
      <c r="H2666">
        <v>3122.54</v>
      </c>
    </row>
    <row r="2667" spans="1:8">
      <c r="A2667">
        <v>5352</v>
      </c>
      <c r="B2667" t="s">
        <v>2625</v>
      </c>
      <c r="C2667">
        <v>5697</v>
      </c>
      <c r="D2667" t="s">
        <v>2344</v>
      </c>
      <c r="E2667" t="s">
        <v>2036</v>
      </c>
      <c r="F2667">
        <v>202204</v>
      </c>
      <c r="G2667" t="s">
        <v>186</v>
      </c>
      <c r="H2667">
        <v>0</v>
      </c>
    </row>
    <row r="2668" spans="1:8">
      <c r="A2668">
        <v>5352</v>
      </c>
      <c r="B2668" t="s">
        <v>2625</v>
      </c>
      <c r="C2668">
        <v>5697</v>
      </c>
      <c r="D2668" t="s">
        <v>2344</v>
      </c>
      <c r="E2668" t="s">
        <v>2036</v>
      </c>
      <c r="F2668">
        <v>202204</v>
      </c>
      <c r="G2668" t="s">
        <v>2169</v>
      </c>
      <c r="H2668">
        <v>182.65</v>
      </c>
    </row>
    <row r="2669" spans="1:8">
      <c r="A2669">
        <v>5352</v>
      </c>
      <c r="B2669" t="s">
        <v>2625</v>
      </c>
      <c r="C2669">
        <v>5697</v>
      </c>
      <c r="D2669" t="s">
        <v>2344</v>
      </c>
      <c r="E2669" t="s">
        <v>2036</v>
      </c>
      <c r="F2669">
        <v>202204</v>
      </c>
      <c r="G2669" t="s">
        <v>2166</v>
      </c>
      <c r="H2669">
        <v>11.83</v>
      </c>
    </row>
    <row r="2670" spans="1:8">
      <c r="A2670">
        <v>5352</v>
      </c>
      <c r="B2670" t="s">
        <v>2625</v>
      </c>
      <c r="C2670">
        <v>5697</v>
      </c>
      <c r="D2670" t="s">
        <v>2344</v>
      </c>
      <c r="E2670" t="s">
        <v>2036</v>
      </c>
      <c r="F2670">
        <v>202204</v>
      </c>
      <c r="G2670" t="s">
        <v>2167</v>
      </c>
      <c r="H2670">
        <v>21.22</v>
      </c>
    </row>
    <row r="2671" spans="1:8">
      <c r="A2671">
        <v>5352</v>
      </c>
      <c r="B2671" t="s">
        <v>2625</v>
      </c>
      <c r="C2671">
        <v>5697</v>
      </c>
      <c r="D2671" t="s">
        <v>2344</v>
      </c>
      <c r="E2671" t="s">
        <v>2036</v>
      </c>
      <c r="F2671">
        <v>202204</v>
      </c>
      <c r="G2671" t="s">
        <v>2168</v>
      </c>
      <c r="H2671">
        <v>14.37</v>
      </c>
    </row>
    <row r="2672" spans="1:8">
      <c r="A2672">
        <v>5352</v>
      </c>
      <c r="B2672" t="s">
        <v>2625</v>
      </c>
      <c r="C2672">
        <v>5697</v>
      </c>
      <c r="D2672" t="s">
        <v>2344</v>
      </c>
      <c r="E2672" t="s">
        <v>2036</v>
      </c>
      <c r="F2672">
        <v>202204</v>
      </c>
      <c r="G2672" t="s">
        <v>2171</v>
      </c>
      <c r="H2672">
        <v>91061.19</v>
      </c>
    </row>
    <row r="2673" spans="1:8">
      <c r="A2673">
        <v>5352</v>
      </c>
      <c r="B2673" t="s">
        <v>2625</v>
      </c>
      <c r="C2673">
        <v>5697</v>
      </c>
      <c r="D2673" t="s">
        <v>2344</v>
      </c>
      <c r="E2673" t="s">
        <v>2036</v>
      </c>
      <c r="F2673">
        <v>202204</v>
      </c>
      <c r="G2673" t="s">
        <v>190</v>
      </c>
      <c r="H2673">
        <v>196802</v>
      </c>
    </row>
    <row r="2674" spans="1:8">
      <c r="A2674">
        <v>5352</v>
      </c>
      <c r="B2674" t="s">
        <v>2625</v>
      </c>
      <c r="C2674">
        <v>5697</v>
      </c>
      <c r="D2674" t="s">
        <v>2344</v>
      </c>
      <c r="E2674" t="s">
        <v>2036</v>
      </c>
      <c r="F2674">
        <v>202204</v>
      </c>
      <c r="G2674" t="s">
        <v>191</v>
      </c>
      <c r="H2674">
        <v>29543</v>
      </c>
    </row>
    <row r="2675" spans="1:8">
      <c r="A2675">
        <v>5352</v>
      </c>
      <c r="B2675" t="s">
        <v>2625</v>
      </c>
      <c r="C2675">
        <v>5697</v>
      </c>
      <c r="D2675" t="s">
        <v>2344</v>
      </c>
      <c r="E2675" t="s">
        <v>2036</v>
      </c>
      <c r="F2675">
        <v>202204</v>
      </c>
      <c r="G2675" t="s">
        <v>176</v>
      </c>
      <c r="H2675">
        <v>0</v>
      </c>
    </row>
    <row r="2676" spans="1:8">
      <c r="A2676">
        <v>5352</v>
      </c>
      <c r="B2676" t="s">
        <v>2625</v>
      </c>
      <c r="C2676">
        <v>5697</v>
      </c>
      <c r="D2676" t="s">
        <v>2344</v>
      </c>
      <c r="E2676" t="s">
        <v>2036</v>
      </c>
      <c r="F2676">
        <v>202204</v>
      </c>
      <c r="G2676" t="s">
        <v>178</v>
      </c>
      <c r="H2676">
        <v>1300</v>
      </c>
    </row>
    <row r="2677" spans="1:8">
      <c r="A2677">
        <v>5352</v>
      </c>
      <c r="B2677" t="s">
        <v>2625</v>
      </c>
      <c r="C2677">
        <v>5697</v>
      </c>
      <c r="D2677" t="s">
        <v>2344</v>
      </c>
      <c r="E2677" t="s">
        <v>2036</v>
      </c>
      <c r="F2677">
        <v>202204</v>
      </c>
      <c r="G2677" t="s">
        <v>180</v>
      </c>
      <c r="H2677">
        <v>1350</v>
      </c>
    </row>
    <row r="2678" spans="1:8">
      <c r="A2678">
        <v>5352</v>
      </c>
      <c r="B2678" t="s">
        <v>2625</v>
      </c>
      <c r="C2678">
        <v>5697</v>
      </c>
      <c r="D2678" t="s">
        <v>2344</v>
      </c>
      <c r="E2678" t="s">
        <v>2036</v>
      </c>
      <c r="F2678">
        <v>202204</v>
      </c>
      <c r="G2678" t="s">
        <v>182</v>
      </c>
      <c r="H2678">
        <v>196802</v>
      </c>
    </row>
    <row r="2679" spans="1:8">
      <c r="A2679">
        <v>5352</v>
      </c>
      <c r="B2679" t="s">
        <v>2625</v>
      </c>
      <c r="C2679">
        <v>5697</v>
      </c>
      <c r="D2679" t="s">
        <v>2344</v>
      </c>
      <c r="E2679" t="s">
        <v>2036</v>
      </c>
      <c r="F2679">
        <v>202204</v>
      </c>
      <c r="G2679" t="s">
        <v>184</v>
      </c>
      <c r="H2679">
        <v>29543</v>
      </c>
    </row>
    <row r="2680" spans="1:8">
      <c r="A2680">
        <v>5352</v>
      </c>
      <c r="B2680" t="s">
        <v>2625</v>
      </c>
      <c r="C2680">
        <v>5697</v>
      </c>
      <c r="D2680" t="s">
        <v>2344</v>
      </c>
      <c r="E2680" t="s">
        <v>2036</v>
      </c>
      <c r="F2680">
        <v>202204</v>
      </c>
      <c r="G2680" t="s">
        <v>192</v>
      </c>
      <c r="H2680">
        <v>0</v>
      </c>
    </row>
    <row r="2681" spans="1:8">
      <c r="A2681">
        <v>5352</v>
      </c>
      <c r="B2681" t="s">
        <v>2625</v>
      </c>
      <c r="C2681">
        <v>5697</v>
      </c>
      <c r="D2681" t="s">
        <v>2344</v>
      </c>
      <c r="E2681" t="s">
        <v>2036</v>
      </c>
      <c r="F2681">
        <v>202204</v>
      </c>
      <c r="G2681" t="s">
        <v>2170</v>
      </c>
      <c r="H2681">
        <v>3005.33</v>
      </c>
    </row>
    <row r="2682" spans="1:8">
      <c r="A2682">
        <v>5352</v>
      </c>
      <c r="B2682" t="s">
        <v>2625</v>
      </c>
      <c r="C2682">
        <v>5697</v>
      </c>
      <c r="D2682" t="s">
        <v>2344</v>
      </c>
      <c r="E2682" t="s">
        <v>2036</v>
      </c>
      <c r="F2682">
        <v>202204</v>
      </c>
      <c r="G2682" t="s">
        <v>186</v>
      </c>
      <c r="H2682">
        <v>0</v>
      </c>
    </row>
    <row r="2683" spans="1:8">
      <c r="A2683">
        <v>5352</v>
      </c>
      <c r="B2683" t="s">
        <v>2625</v>
      </c>
      <c r="C2683">
        <v>5697</v>
      </c>
      <c r="D2683" t="s">
        <v>2344</v>
      </c>
      <c r="E2683" t="s">
        <v>2036</v>
      </c>
      <c r="F2683">
        <v>202204</v>
      </c>
      <c r="G2683" t="s">
        <v>2169</v>
      </c>
      <c r="H2683">
        <v>182.65</v>
      </c>
    </row>
    <row r="2684" spans="1:8">
      <c r="A2684">
        <v>5352</v>
      </c>
      <c r="B2684" t="s">
        <v>2625</v>
      </c>
      <c r="C2684">
        <v>5697</v>
      </c>
      <c r="D2684" t="s">
        <v>2344</v>
      </c>
      <c r="E2684" t="s">
        <v>2036</v>
      </c>
      <c r="F2684">
        <v>202204</v>
      </c>
      <c r="G2684" t="s">
        <v>2166</v>
      </c>
      <c r="H2684">
        <v>11.83</v>
      </c>
    </row>
    <row r="2685" spans="1:8">
      <c r="A2685">
        <v>5352</v>
      </c>
      <c r="B2685" t="s">
        <v>2625</v>
      </c>
      <c r="C2685">
        <v>5697</v>
      </c>
      <c r="D2685" t="s">
        <v>2344</v>
      </c>
      <c r="E2685" t="s">
        <v>2036</v>
      </c>
      <c r="F2685">
        <v>202204</v>
      </c>
      <c r="G2685" t="s">
        <v>2167</v>
      </c>
      <c r="H2685">
        <v>21.22</v>
      </c>
    </row>
    <row r="2686" spans="1:8">
      <c r="A2686">
        <v>5352</v>
      </c>
      <c r="B2686" t="s">
        <v>2625</v>
      </c>
      <c r="C2686">
        <v>5697</v>
      </c>
      <c r="D2686" t="s">
        <v>2344</v>
      </c>
      <c r="E2686" t="s">
        <v>2036</v>
      </c>
      <c r="F2686">
        <v>202204</v>
      </c>
      <c r="G2686" t="s">
        <v>2168</v>
      </c>
      <c r="H2686">
        <v>14.37</v>
      </c>
    </row>
    <row r="2687" spans="1:8">
      <c r="A2687">
        <v>5352</v>
      </c>
      <c r="B2687" t="s">
        <v>2625</v>
      </c>
      <c r="C2687">
        <v>5697</v>
      </c>
      <c r="D2687" t="s">
        <v>2344</v>
      </c>
      <c r="E2687" t="s">
        <v>2036</v>
      </c>
      <c r="F2687">
        <v>202204</v>
      </c>
      <c r="G2687" t="s">
        <v>2171</v>
      </c>
      <c r="H2687">
        <v>91625.8</v>
      </c>
    </row>
    <row r="2688" spans="1:8">
      <c r="A2688">
        <v>5352</v>
      </c>
      <c r="B2688" t="s">
        <v>2625</v>
      </c>
      <c r="C2688">
        <v>5697</v>
      </c>
      <c r="D2688" t="s">
        <v>2344</v>
      </c>
      <c r="E2688" t="s">
        <v>2036</v>
      </c>
      <c r="F2688">
        <v>202204</v>
      </c>
      <c r="G2688" t="s">
        <v>190</v>
      </c>
      <c r="H2688">
        <v>191805</v>
      </c>
    </row>
    <row r="2689" spans="1:8">
      <c r="A2689">
        <v>5352</v>
      </c>
      <c r="B2689" t="s">
        <v>2625</v>
      </c>
      <c r="C2689">
        <v>5697</v>
      </c>
      <c r="D2689" t="s">
        <v>2344</v>
      </c>
      <c r="E2689" t="s">
        <v>2036</v>
      </c>
      <c r="F2689">
        <v>202204</v>
      </c>
      <c r="G2689" t="s">
        <v>191</v>
      </c>
      <c r="H2689">
        <v>30578</v>
      </c>
    </row>
    <row r="2690" spans="1:8">
      <c r="A2690">
        <v>5352</v>
      </c>
      <c r="B2690" t="s">
        <v>2625</v>
      </c>
      <c r="C2690">
        <v>5697</v>
      </c>
      <c r="D2690" t="s">
        <v>2344</v>
      </c>
      <c r="E2690" t="s">
        <v>2036</v>
      </c>
      <c r="F2690">
        <v>202204</v>
      </c>
      <c r="G2690" t="s">
        <v>176</v>
      </c>
      <c r="H2690">
        <v>0</v>
      </c>
    </row>
    <row r="2691" spans="1:8">
      <c r="A2691">
        <v>5352</v>
      </c>
      <c r="B2691" t="s">
        <v>2625</v>
      </c>
      <c r="C2691">
        <v>5697</v>
      </c>
      <c r="D2691" t="s">
        <v>2344</v>
      </c>
      <c r="E2691" t="s">
        <v>2036</v>
      </c>
      <c r="F2691">
        <v>202204</v>
      </c>
      <c r="G2691" t="s">
        <v>178</v>
      </c>
      <c r="H2691">
        <v>810</v>
      </c>
    </row>
    <row r="2692" spans="1:8">
      <c r="A2692">
        <v>5352</v>
      </c>
      <c r="B2692" t="s">
        <v>2625</v>
      </c>
      <c r="C2692">
        <v>5697</v>
      </c>
      <c r="D2692" t="s">
        <v>2344</v>
      </c>
      <c r="E2692" t="s">
        <v>2036</v>
      </c>
      <c r="F2692">
        <v>202204</v>
      </c>
      <c r="G2692" t="s">
        <v>180</v>
      </c>
      <c r="H2692">
        <v>930</v>
      </c>
    </row>
    <row r="2693" spans="1:8">
      <c r="A2693">
        <v>5352</v>
      </c>
      <c r="B2693" t="s">
        <v>2625</v>
      </c>
      <c r="C2693">
        <v>5697</v>
      </c>
      <c r="D2693" t="s">
        <v>2344</v>
      </c>
      <c r="E2693" t="s">
        <v>2036</v>
      </c>
      <c r="F2693">
        <v>202204</v>
      </c>
      <c r="G2693" t="s">
        <v>182</v>
      </c>
      <c r="H2693">
        <v>191805</v>
      </c>
    </row>
    <row r="2694" spans="1:8">
      <c r="A2694">
        <v>5352</v>
      </c>
      <c r="B2694" t="s">
        <v>2625</v>
      </c>
      <c r="C2694">
        <v>5697</v>
      </c>
      <c r="D2694" t="s">
        <v>2344</v>
      </c>
      <c r="E2694" t="s">
        <v>2036</v>
      </c>
      <c r="F2694">
        <v>202204</v>
      </c>
      <c r="G2694" t="s">
        <v>184</v>
      </c>
      <c r="H2694">
        <v>30578</v>
      </c>
    </row>
    <row r="2695" spans="1:8">
      <c r="A2695">
        <v>5352</v>
      </c>
      <c r="B2695" t="s">
        <v>2625</v>
      </c>
      <c r="C2695">
        <v>5697</v>
      </c>
      <c r="D2695" t="s">
        <v>2344</v>
      </c>
      <c r="E2695" t="s">
        <v>2036</v>
      </c>
      <c r="F2695">
        <v>202204</v>
      </c>
      <c r="G2695" t="s">
        <v>192</v>
      </c>
      <c r="H2695">
        <v>0</v>
      </c>
    </row>
    <row r="2696" spans="1:8">
      <c r="A2696">
        <v>5352</v>
      </c>
      <c r="B2696" t="s">
        <v>2625</v>
      </c>
      <c r="C2696">
        <v>5697</v>
      </c>
      <c r="D2696" t="s">
        <v>2344</v>
      </c>
      <c r="E2696" t="s">
        <v>2036</v>
      </c>
      <c r="F2696">
        <v>202204</v>
      </c>
      <c r="G2696" t="s">
        <v>2170</v>
      </c>
      <c r="H2696">
        <v>2480.02</v>
      </c>
    </row>
    <row r="2697" spans="1:8">
      <c r="A2697">
        <v>5352</v>
      </c>
      <c r="B2697" t="s">
        <v>2625</v>
      </c>
      <c r="C2697">
        <v>5697</v>
      </c>
      <c r="D2697" t="s">
        <v>2344</v>
      </c>
      <c r="E2697" t="s">
        <v>2036</v>
      </c>
      <c r="F2697">
        <v>202204</v>
      </c>
      <c r="G2697" t="s">
        <v>186</v>
      </c>
      <c r="H2697">
        <v>0</v>
      </c>
    </row>
    <row r="2698" spans="1:8">
      <c r="A2698">
        <v>5352</v>
      </c>
      <c r="B2698" t="s">
        <v>2625</v>
      </c>
      <c r="C2698">
        <v>5697</v>
      </c>
      <c r="D2698" t="s">
        <v>2344</v>
      </c>
      <c r="E2698" t="s">
        <v>2036</v>
      </c>
      <c r="F2698">
        <v>202204</v>
      </c>
      <c r="G2698" t="s">
        <v>2169</v>
      </c>
      <c r="H2698">
        <v>182.65</v>
      </c>
    </row>
    <row r="2699" spans="1:8">
      <c r="A2699">
        <v>5352</v>
      </c>
      <c r="B2699" t="s">
        <v>2625</v>
      </c>
      <c r="C2699">
        <v>5697</v>
      </c>
      <c r="D2699" t="s">
        <v>2344</v>
      </c>
      <c r="E2699" t="s">
        <v>2036</v>
      </c>
      <c r="F2699">
        <v>202204</v>
      </c>
      <c r="G2699" t="s">
        <v>2166</v>
      </c>
      <c r="H2699">
        <v>11.83</v>
      </c>
    </row>
    <row r="2700" spans="1:8">
      <c r="A2700">
        <v>5352</v>
      </c>
      <c r="B2700" t="s">
        <v>2625</v>
      </c>
      <c r="C2700">
        <v>5697</v>
      </c>
      <c r="D2700" t="s">
        <v>2344</v>
      </c>
      <c r="E2700" t="s">
        <v>2036</v>
      </c>
      <c r="F2700">
        <v>202204</v>
      </c>
      <c r="G2700" t="s">
        <v>2167</v>
      </c>
      <c r="H2700">
        <v>21.22</v>
      </c>
    </row>
    <row r="2701" spans="1:8">
      <c r="A2701">
        <v>5352</v>
      </c>
      <c r="B2701" t="s">
        <v>2625</v>
      </c>
      <c r="C2701">
        <v>5697</v>
      </c>
      <c r="D2701" t="s">
        <v>2344</v>
      </c>
      <c r="E2701" t="s">
        <v>2036</v>
      </c>
      <c r="F2701">
        <v>202204</v>
      </c>
      <c r="G2701" t="s">
        <v>2168</v>
      </c>
      <c r="H2701">
        <v>14.37</v>
      </c>
    </row>
    <row r="2702" spans="1:8">
      <c r="A2702">
        <v>5352</v>
      </c>
      <c r="B2702" t="s">
        <v>2625</v>
      </c>
      <c r="C2702">
        <v>5697</v>
      </c>
      <c r="D2702" t="s">
        <v>2344</v>
      </c>
      <c r="E2702" t="s">
        <v>2036</v>
      </c>
      <c r="F2702">
        <v>202204</v>
      </c>
      <c r="G2702" t="s">
        <v>2171</v>
      </c>
      <c r="H2702">
        <v>75610.8</v>
      </c>
    </row>
    <row r="2703" spans="1:8">
      <c r="A2703">
        <v>5352</v>
      </c>
      <c r="B2703" t="s">
        <v>2625</v>
      </c>
      <c r="C2703">
        <v>5697</v>
      </c>
      <c r="D2703" t="s">
        <v>2344</v>
      </c>
      <c r="E2703" t="s">
        <v>2036</v>
      </c>
      <c r="F2703">
        <v>202204</v>
      </c>
      <c r="G2703" t="s">
        <v>190</v>
      </c>
      <c r="H2703">
        <v>59137</v>
      </c>
    </row>
    <row r="2704" spans="1:8">
      <c r="A2704">
        <v>5352</v>
      </c>
      <c r="B2704" t="s">
        <v>2625</v>
      </c>
      <c r="C2704">
        <v>5697</v>
      </c>
      <c r="D2704" t="s">
        <v>2344</v>
      </c>
      <c r="E2704" t="s">
        <v>2036</v>
      </c>
      <c r="F2704">
        <v>202204</v>
      </c>
      <c r="G2704" t="s">
        <v>191</v>
      </c>
      <c r="H2704">
        <v>8750</v>
      </c>
    </row>
    <row r="2705" spans="1:8">
      <c r="A2705">
        <v>5352</v>
      </c>
      <c r="B2705" t="s">
        <v>2625</v>
      </c>
      <c r="C2705">
        <v>5697</v>
      </c>
      <c r="D2705" t="s">
        <v>2344</v>
      </c>
      <c r="E2705" t="s">
        <v>2036</v>
      </c>
      <c r="F2705">
        <v>202204</v>
      </c>
      <c r="G2705" t="s">
        <v>176</v>
      </c>
      <c r="H2705">
        <v>0</v>
      </c>
    </row>
    <row r="2706" spans="1:8">
      <c r="A2706">
        <v>5352</v>
      </c>
      <c r="B2706" t="s">
        <v>2625</v>
      </c>
      <c r="C2706">
        <v>5697</v>
      </c>
      <c r="D2706" t="s">
        <v>2344</v>
      </c>
      <c r="E2706" t="s">
        <v>2036</v>
      </c>
      <c r="F2706">
        <v>202204</v>
      </c>
      <c r="G2706" t="s">
        <v>178</v>
      </c>
      <c r="H2706">
        <v>250</v>
      </c>
    </row>
    <row r="2707" spans="1:8">
      <c r="A2707">
        <v>5352</v>
      </c>
      <c r="B2707" t="s">
        <v>2625</v>
      </c>
      <c r="C2707">
        <v>5697</v>
      </c>
      <c r="D2707" t="s">
        <v>2344</v>
      </c>
      <c r="E2707" t="s">
        <v>2036</v>
      </c>
      <c r="F2707">
        <v>202204</v>
      </c>
      <c r="G2707" t="s">
        <v>180</v>
      </c>
      <c r="H2707">
        <v>250</v>
      </c>
    </row>
    <row r="2708" spans="1:8">
      <c r="A2708">
        <v>5352</v>
      </c>
      <c r="B2708" t="s">
        <v>2625</v>
      </c>
      <c r="C2708">
        <v>5697</v>
      </c>
      <c r="D2708" t="s">
        <v>2344</v>
      </c>
      <c r="E2708" t="s">
        <v>2036</v>
      </c>
      <c r="F2708">
        <v>202204</v>
      </c>
      <c r="G2708" t="s">
        <v>182</v>
      </c>
      <c r="H2708">
        <v>59137</v>
      </c>
    </row>
    <row r="2709" spans="1:8">
      <c r="A2709">
        <v>5352</v>
      </c>
      <c r="B2709" t="s">
        <v>2625</v>
      </c>
      <c r="C2709">
        <v>5697</v>
      </c>
      <c r="D2709" t="s">
        <v>2344</v>
      </c>
      <c r="E2709" t="s">
        <v>2036</v>
      </c>
      <c r="F2709">
        <v>202204</v>
      </c>
      <c r="G2709" t="s">
        <v>184</v>
      </c>
      <c r="H2709">
        <v>8750</v>
      </c>
    </row>
    <row r="2710" spans="1:8">
      <c r="A2710">
        <v>5352</v>
      </c>
      <c r="B2710" t="s">
        <v>2625</v>
      </c>
      <c r="C2710">
        <v>5697</v>
      </c>
      <c r="D2710" t="s">
        <v>2344</v>
      </c>
      <c r="E2710" t="s">
        <v>2036</v>
      </c>
      <c r="F2710">
        <v>202204</v>
      </c>
      <c r="G2710" t="s">
        <v>192</v>
      </c>
      <c r="H2710">
        <v>0</v>
      </c>
    </row>
    <row r="2711" spans="1:8">
      <c r="A2711">
        <v>5352</v>
      </c>
      <c r="B2711" t="s">
        <v>2625</v>
      </c>
      <c r="C2711">
        <v>5697</v>
      </c>
      <c r="D2711" t="s">
        <v>2344</v>
      </c>
      <c r="E2711" t="s">
        <v>2036</v>
      </c>
      <c r="F2711">
        <v>202204</v>
      </c>
      <c r="G2711" t="s">
        <v>2170</v>
      </c>
      <c r="H2711">
        <v>733.77</v>
      </c>
    </row>
    <row r="2712" spans="1:8">
      <c r="A2712">
        <v>5352</v>
      </c>
      <c r="B2712" t="s">
        <v>2625</v>
      </c>
      <c r="C2712">
        <v>5697</v>
      </c>
      <c r="D2712" t="s">
        <v>2344</v>
      </c>
      <c r="E2712" t="s">
        <v>2036</v>
      </c>
      <c r="F2712">
        <v>202204</v>
      </c>
      <c r="G2712" t="s">
        <v>186</v>
      </c>
      <c r="H2712">
        <v>0</v>
      </c>
    </row>
    <row r="2713" spans="1:8">
      <c r="A2713">
        <v>5352</v>
      </c>
      <c r="B2713" t="s">
        <v>2625</v>
      </c>
      <c r="C2713">
        <v>5697</v>
      </c>
      <c r="D2713" t="s">
        <v>2344</v>
      </c>
      <c r="E2713" t="s">
        <v>2036</v>
      </c>
      <c r="F2713">
        <v>202204</v>
      </c>
      <c r="G2713" t="s">
        <v>2169</v>
      </c>
      <c r="H2713">
        <v>182.65</v>
      </c>
    </row>
    <row r="2714" spans="1:8">
      <c r="A2714">
        <v>5352</v>
      </c>
      <c r="B2714" t="s">
        <v>2625</v>
      </c>
      <c r="C2714">
        <v>5697</v>
      </c>
      <c r="D2714" t="s">
        <v>2344</v>
      </c>
      <c r="E2714" t="s">
        <v>2036</v>
      </c>
      <c r="F2714">
        <v>202204</v>
      </c>
      <c r="G2714" t="s">
        <v>2166</v>
      </c>
      <c r="H2714">
        <v>11.83</v>
      </c>
    </row>
    <row r="2715" spans="1:8">
      <c r="A2715">
        <v>5352</v>
      </c>
      <c r="B2715" t="s">
        <v>2625</v>
      </c>
      <c r="C2715">
        <v>5697</v>
      </c>
      <c r="D2715" t="s">
        <v>2344</v>
      </c>
      <c r="E2715" t="s">
        <v>2036</v>
      </c>
      <c r="F2715">
        <v>202204</v>
      </c>
      <c r="G2715" t="s">
        <v>2167</v>
      </c>
      <c r="H2715">
        <v>21.22</v>
      </c>
    </row>
    <row r="2716" spans="1:8">
      <c r="A2716">
        <v>5352</v>
      </c>
      <c r="B2716" t="s">
        <v>2625</v>
      </c>
      <c r="C2716">
        <v>5697</v>
      </c>
      <c r="D2716" t="s">
        <v>2344</v>
      </c>
      <c r="E2716" t="s">
        <v>2036</v>
      </c>
      <c r="F2716">
        <v>202204</v>
      </c>
      <c r="G2716" t="s">
        <v>2168</v>
      </c>
      <c r="H2716">
        <v>14.37</v>
      </c>
    </row>
    <row r="2717" spans="1:8">
      <c r="A2717">
        <v>5352</v>
      </c>
      <c r="B2717" t="s">
        <v>2625</v>
      </c>
      <c r="C2717">
        <v>5697</v>
      </c>
      <c r="D2717" t="s">
        <v>2344</v>
      </c>
      <c r="E2717" t="s">
        <v>2036</v>
      </c>
      <c r="F2717">
        <v>202204</v>
      </c>
      <c r="G2717" t="s">
        <v>2171</v>
      </c>
      <c r="H2717">
        <v>26236.83</v>
      </c>
    </row>
    <row r="2718" spans="1:8">
      <c r="A2718">
        <v>5352</v>
      </c>
      <c r="B2718" t="s">
        <v>2625</v>
      </c>
      <c r="C2718">
        <v>5697</v>
      </c>
      <c r="D2718" t="s">
        <v>2344</v>
      </c>
      <c r="E2718" t="s">
        <v>2036</v>
      </c>
      <c r="F2718">
        <v>202204</v>
      </c>
      <c r="G2718" t="s">
        <v>190</v>
      </c>
      <c r="H2718">
        <v>196097</v>
      </c>
    </row>
    <row r="2719" spans="1:8">
      <c r="A2719">
        <v>5352</v>
      </c>
      <c r="B2719" t="s">
        <v>2625</v>
      </c>
      <c r="C2719">
        <v>5697</v>
      </c>
      <c r="D2719" t="s">
        <v>2344</v>
      </c>
      <c r="E2719" t="s">
        <v>2036</v>
      </c>
      <c r="F2719">
        <v>202204</v>
      </c>
      <c r="G2719" t="s">
        <v>191</v>
      </c>
      <c r="H2719">
        <v>29011</v>
      </c>
    </row>
    <row r="2720" spans="1:8">
      <c r="A2720">
        <v>5352</v>
      </c>
      <c r="B2720" t="s">
        <v>2625</v>
      </c>
      <c r="C2720">
        <v>5697</v>
      </c>
      <c r="D2720" t="s">
        <v>2344</v>
      </c>
      <c r="E2720" t="s">
        <v>2036</v>
      </c>
      <c r="F2720">
        <v>202204</v>
      </c>
      <c r="G2720" t="s">
        <v>176</v>
      </c>
      <c r="H2720">
        <v>0</v>
      </c>
    </row>
    <row r="2721" spans="1:8">
      <c r="A2721">
        <v>5352</v>
      </c>
      <c r="B2721" t="s">
        <v>2625</v>
      </c>
      <c r="C2721">
        <v>5697</v>
      </c>
      <c r="D2721" t="s">
        <v>2344</v>
      </c>
      <c r="E2721" t="s">
        <v>2036</v>
      </c>
      <c r="F2721">
        <v>202204</v>
      </c>
      <c r="G2721" t="s">
        <v>178</v>
      </c>
      <c r="H2721">
        <v>900</v>
      </c>
    </row>
    <row r="2722" spans="1:8">
      <c r="A2722">
        <v>5352</v>
      </c>
      <c r="B2722" t="s">
        <v>2625</v>
      </c>
      <c r="C2722">
        <v>5697</v>
      </c>
      <c r="D2722" t="s">
        <v>2344</v>
      </c>
      <c r="E2722" t="s">
        <v>2036</v>
      </c>
      <c r="F2722">
        <v>202204</v>
      </c>
      <c r="G2722" t="s">
        <v>180</v>
      </c>
      <c r="H2722">
        <v>850</v>
      </c>
    </row>
    <row r="2723" spans="1:8">
      <c r="A2723">
        <v>5352</v>
      </c>
      <c r="B2723" t="s">
        <v>2625</v>
      </c>
      <c r="C2723">
        <v>5697</v>
      </c>
      <c r="D2723" t="s">
        <v>2344</v>
      </c>
      <c r="E2723" t="s">
        <v>2036</v>
      </c>
      <c r="F2723">
        <v>202204</v>
      </c>
      <c r="G2723" t="s">
        <v>182</v>
      </c>
      <c r="H2723">
        <v>196097</v>
      </c>
    </row>
    <row r="2724" spans="1:8">
      <c r="A2724">
        <v>5352</v>
      </c>
      <c r="B2724" t="s">
        <v>2625</v>
      </c>
      <c r="C2724">
        <v>5697</v>
      </c>
      <c r="D2724" t="s">
        <v>2344</v>
      </c>
      <c r="E2724" t="s">
        <v>2036</v>
      </c>
      <c r="F2724">
        <v>202204</v>
      </c>
      <c r="G2724" t="s">
        <v>184</v>
      </c>
      <c r="H2724">
        <v>29011</v>
      </c>
    </row>
    <row r="2725" spans="1:8">
      <c r="A2725">
        <v>5352</v>
      </c>
      <c r="B2725" t="s">
        <v>2625</v>
      </c>
      <c r="C2725">
        <v>5697</v>
      </c>
      <c r="D2725" t="s">
        <v>2344</v>
      </c>
      <c r="E2725" t="s">
        <v>2036</v>
      </c>
      <c r="F2725">
        <v>202204</v>
      </c>
      <c r="G2725" t="s">
        <v>192</v>
      </c>
      <c r="H2725">
        <v>0</v>
      </c>
    </row>
    <row r="2726" spans="1:8">
      <c r="A2726">
        <v>5352</v>
      </c>
      <c r="B2726" t="s">
        <v>2625</v>
      </c>
      <c r="C2726">
        <v>5697</v>
      </c>
      <c r="D2726" t="s">
        <v>2344</v>
      </c>
      <c r="E2726" t="s">
        <v>2036</v>
      </c>
      <c r="F2726">
        <v>202204</v>
      </c>
      <c r="G2726" t="s">
        <v>2170</v>
      </c>
      <c r="H2726">
        <v>2476.7800000000002</v>
      </c>
    </row>
    <row r="2727" spans="1:8">
      <c r="A2727">
        <v>5352</v>
      </c>
      <c r="B2727" t="s">
        <v>2625</v>
      </c>
      <c r="C2727">
        <v>5697</v>
      </c>
      <c r="D2727" t="s">
        <v>2344</v>
      </c>
      <c r="E2727" t="s">
        <v>2036</v>
      </c>
      <c r="F2727">
        <v>202204</v>
      </c>
      <c r="G2727" t="s">
        <v>186</v>
      </c>
      <c r="H2727">
        <v>0</v>
      </c>
    </row>
    <row r="2728" spans="1:8">
      <c r="A2728">
        <v>5352</v>
      </c>
      <c r="B2728" t="s">
        <v>2625</v>
      </c>
      <c r="C2728">
        <v>5697</v>
      </c>
      <c r="D2728" t="s">
        <v>2344</v>
      </c>
      <c r="E2728" t="s">
        <v>2036</v>
      </c>
      <c r="F2728">
        <v>202204</v>
      </c>
      <c r="G2728" t="s">
        <v>2169</v>
      </c>
      <c r="H2728">
        <v>182.65</v>
      </c>
    </row>
    <row r="2729" spans="1:8">
      <c r="A2729">
        <v>5352</v>
      </c>
      <c r="B2729" t="s">
        <v>2625</v>
      </c>
      <c r="C2729">
        <v>5697</v>
      </c>
      <c r="D2729" t="s">
        <v>2344</v>
      </c>
      <c r="E2729" t="s">
        <v>2036</v>
      </c>
      <c r="F2729">
        <v>202204</v>
      </c>
      <c r="G2729" t="s">
        <v>2166</v>
      </c>
      <c r="H2729">
        <v>11.83</v>
      </c>
    </row>
    <row r="2730" spans="1:8">
      <c r="A2730">
        <v>5352</v>
      </c>
      <c r="B2730" t="s">
        <v>2625</v>
      </c>
      <c r="C2730">
        <v>5697</v>
      </c>
      <c r="D2730" t="s">
        <v>2344</v>
      </c>
      <c r="E2730" t="s">
        <v>2036</v>
      </c>
      <c r="F2730">
        <v>202204</v>
      </c>
      <c r="G2730" t="s">
        <v>2167</v>
      </c>
      <c r="H2730">
        <v>21.22</v>
      </c>
    </row>
    <row r="2731" spans="1:8">
      <c r="A2731">
        <v>5352</v>
      </c>
      <c r="B2731" t="s">
        <v>2625</v>
      </c>
      <c r="C2731">
        <v>5697</v>
      </c>
      <c r="D2731" t="s">
        <v>2344</v>
      </c>
      <c r="E2731" t="s">
        <v>2036</v>
      </c>
      <c r="F2731">
        <v>202204</v>
      </c>
      <c r="G2731" t="s">
        <v>2168</v>
      </c>
      <c r="H2731">
        <v>14.37</v>
      </c>
    </row>
    <row r="2732" spans="1:8">
      <c r="A2732">
        <v>5352</v>
      </c>
      <c r="B2732" t="s">
        <v>2625</v>
      </c>
      <c r="C2732">
        <v>5697</v>
      </c>
      <c r="D2732" t="s">
        <v>2344</v>
      </c>
      <c r="E2732" t="s">
        <v>2036</v>
      </c>
      <c r="F2732">
        <v>202204</v>
      </c>
      <c r="G2732" t="s">
        <v>2171</v>
      </c>
      <c r="H2732">
        <v>75511.53</v>
      </c>
    </row>
    <row r="2733" spans="1:8">
      <c r="A2733">
        <v>5352</v>
      </c>
      <c r="B2733" t="s">
        <v>2625</v>
      </c>
      <c r="C2733">
        <v>5697</v>
      </c>
      <c r="D2733" t="s">
        <v>2344</v>
      </c>
      <c r="E2733" t="s">
        <v>2036</v>
      </c>
      <c r="F2733">
        <v>202204</v>
      </c>
      <c r="G2733" t="s">
        <v>190</v>
      </c>
      <c r="H2733">
        <v>107136</v>
      </c>
    </row>
    <row r="2734" spans="1:8">
      <c r="A2734">
        <v>5352</v>
      </c>
      <c r="B2734" t="s">
        <v>2625</v>
      </c>
      <c r="C2734">
        <v>5697</v>
      </c>
      <c r="D2734" t="s">
        <v>2344</v>
      </c>
      <c r="E2734" t="s">
        <v>2036</v>
      </c>
      <c r="F2734">
        <v>202204</v>
      </c>
      <c r="G2734" t="s">
        <v>191</v>
      </c>
      <c r="H2734">
        <v>14475</v>
      </c>
    </row>
    <row r="2735" spans="1:8">
      <c r="A2735">
        <v>5352</v>
      </c>
      <c r="B2735" t="s">
        <v>2625</v>
      </c>
      <c r="C2735">
        <v>5697</v>
      </c>
      <c r="D2735" t="s">
        <v>2344</v>
      </c>
      <c r="E2735" t="s">
        <v>2036</v>
      </c>
      <c r="F2735">
        <v>202204</v>
      </c>
      <c r="G2735" t="s">
        <v>176</v>
      </c>
      <c r="H2735">
        <v>0</v>
      </c>
    </row>
    <row r="2736" spans="1:8">
      <c r="A2736">
        <v>5352</v>
      </c>
      <c r="B2736" t="s">
        <v>2625</v>
      </c>
      <c r="C2736">
        <v>5697</v>
      </c>
      <c r="D2736" t="s">
        <v>2344</v>
      </c>
      <c r="E2736" t="s">
        <v>2036</v>
      </c>
      <c r="F2736">
        <v>202204</v>
      </c>
      <c r="G2736" t="s">
        <v>178</v>
      </c>
      <c r="H2736">
        <v>320</v>
      </c>
    </row>
    <row r="2737" spans="1:8">
      <c r="A2737">
        <v>5352</v>
      </c>
      <c r="B2737" t="s">
        <v>2625</v>
      </c>
      <c r="C2737">
        <v>5697</v>
      </c>
      <c r="D2737" t="s">
        <v>2344</v>
      </c>
      <c r="E2737" t="s">
        <v>2036</v>
      </c>
      <c r="F2737">
        <v>202204</v>
      </c>
      <c r="G2737" t="s">
        <v>180</v>
      </c>
      <c r="H2737">
        <v>320</v>
      </c>
    </row>
    <row r="2738" spans="1:8">
      <c r="A2738">
        <v>5352</v>
      </c>
      <c r="B2738" t="s">
        <v>2625</v>
      </c>
      <c r="C2738">
        <v>5697</v>
      </c>
      <c r="D2738" t="s">
        <v>2344</v>
      </c>
      <c r="E2738" t="s">
        <v>2036</v>
      </c>
      <c r="F2738">
        <v>202204</v>
      </c>
      <c r="G2738" t="s">
        <v>182</v>
      </c>
      <c r="H2738">
        <v>107136</v>
      </c>
    </row>
    <row r="2739" spans="1:8">
      <c r="A2739">
        <v>5352</v>
      </c>
      <c r="B2739" t="s">
        <v>2625</v>
      </c>
      <c r="C2739">
        <v>5697</v>
      </c>
      <c r="D2739" t="s">
        <v>2344</v>
      </c>
      <c r="E2739" t="s">
        <v>2036</v>
      </c>
      <c r="F2739">
        <v>202204</v>
      </c>
      <c r="G2739" t="s">
        <v>184</v>
      </c>
      <c r="H2739">
        <v>14475</v>
      </c>
    </row>
    <row r="2740" spans="1:8">
      <c r="A2740">
        <v>5352</v>
      </c>
      <c r="B2740" t="s">
        <v>2625</v>
      </c>
      <c r="C2740">
        <v>5697</v>
      </c>
      <c r="D2740" t="s">
        <v>2344</v>
      </c>
      <c r="E2740" t="s">
        <v>2036</v>
      </c>
      <c r="F2740">
        <v>202204</v>
      </c>
      <c r="G2740" t="s">
        <v>192</v>
      </c>
      <c r="H2740">
        <v>0</v>
      </c>
    </row>
    <row r="2741" spans="1:8">
      <c r="A2741">
        <v>5352</v>
      </c>
      <c r="B2741" t="s">
        <v>2625</v>
      </c>
      <c r="C2741">
        <v>5697</v>
      </c>
      <c r="D2741" t="s">
        <v>2344</v>
      </c>
      <c r="E2741" t="s">
        <v>2036</v>
      </c>
      <c r="F2741">
        <v>202204</v>
      </c>
      <c r="G2741" t="s">
        <v>2170</v>
      </c>
      <c r="H2741">
        <v>1171.19</v>
      </c>
    </row>
    <row r="2742" spans="1:8">
      <c r="A2742">
        <v>5352</v>
      </c>
      <c r="B2742" t="s">
        <v>2625</v>
      </c>
      <c r="C2742">
        <v>5697</v>
      </c>
      <c r="D2742" t="s">
        <v>2344</v>
      </c>
      <c r="E2742" t="s">
        <v>2036</v>
      </c>
      <c r="F2742">
        <v>202204</v>
      </c>
      <c r="G2742" t="s">
        <v>186</v>
      </c>
      <c r="H2742">
        <v>0</v>
      </c>
    </row>
    <row r="2743" spans="1:8">
      <c r="A2743">
        <v>5352</v>
      </c>
      <c r="B2743" t="s">
        <v>2625</v>
      </c>
      <c r="C2743">
        <v>5697</v>
      </c>
      <c r="D2743" t="s">
        <v>2344</v>
      </c>
      <c r="E2743" t="s">
        <v>2036</v>
      </c>
      <c r="F2743">
        <v>202204</v>
      </c>
      <c r="G2743" t="s">
        <v>2169</v>
      </c>
      <c r="H2743">
        <v>182.65</v>
      </c>
    </row>
    <row r="2744" spans="1:8">
      <c r="A2744">
        <v>5352</v>
      </c>
      <c r="B2744" t="s">
        <v>2625</v>
      </c>
      <c r="C2744">
        <v>5697</v>
      </c>
      <c r="D2744" t="s">
        <v>2344</v>
      </c>
      <c r="E2744" t="s">
        <v>2036</v>
      </c>
      <c r="F2744">
        <v>202204</v>
      </c>
      <c r="G2744" t="s">
        <v>2166</v>
      </c>
      <c r="H2744">
        <v>11.83</v>
      </c>
    </row>
    <row r="2745" spans="1:8">
      <c r="A2745">
        <v>5352</v>
      </c>
      <c r="B2745" t="s">
        <v>2625</v>
      </c>
      <c r="C2745">
        <v>5697</v>
      </c>
      <c r="D2745" t="s">
        <v>2344</v>
      </c>
      <c r="E2745" t="s">
        <v>2036</v>
      </c>
      <c r="F2745">
        <v>202204</v>
      </c>
      <c r="G2745" t="s">
        <v>2167</v>
      </c>
      <c r="H2745">
        <v>21.22</v>
      </c>
    </row>
    <row r="2746" spans="1:8">
      <c r="A2746">
        <v>5352</v>
      </c>
      <c r="B2746" t="s">
        <v>2625</v>
      </c>
      <c r="C2746">
        <v>5697</v>
      </c>
      <c r="D2746" t="s">
        <v>2344</v>
      </c>
      <c r="E2746" t="s">
        <v>2036</v>
      </c>
      <c r="F2746">
        <v>202204</v>
      </c>
      <c r="G2746" t="s">
        <v>2168</v>
      </c>
      <c r="H2746">
        <v>14.37</v>
      </c>
    </row>
    <row r="2747" spans="1:8">
      <c r="A2747">
        <v>5352</v>
      </c>
      <c r="B2747" t="s">
        <v>2625</v>
      </c>
      <c r="C2747">
        <v>5697</v>
      </c>
      <c r="D2747" t="s">
        <v>2344</v>
      </c>
      <c r="E2747" t="s">
        <v>2036</v>
      </c>
      <c r="F2747">
        <v>202204</v>
      </c>
      <c r="G2747" t="s">
        <v>2171</v>
      </c>
      <c r="H2747">
        <v>35706.97</v>
      </c>
    </row>
    <row r="2748" spans="1:8">
      <c r="A2748">
        <v>5352</v>
      </c>
      <c r="B2748" t="s">
        <v>2625</v>
      </c>
      <c r="C2748">
        <v>5697</v>
      </c>
      <c r="D2748" t="s">
        <v>2344</v>
      </c>
      <c r="E2748" t="s">
        <v>2036</v>
      </c>
      <c r="F2748">
        <v>202204</v>
      </c>
      <c r="G2748" t="s">
        <v>190</v>
      </c>
      <c r="H2748">
        <v>140024</v>
      </c>
    </row>
    <row r="2749" spans="1:8">
      <c r="A2749">
        <v>5352</v>
      </c>
      <c r="B2749" t="s">
        <v>2625</v>
      </c>
      <c r="C2749">
        <v>5697</v>
      </c>
      <c r="D2749" t="s">
        <v>2344</v>
      </c>
      <c r="E2749" t="s">
        <v>2036</v>
      </c>
      <c r="F2749">
        <v>202204</v>
      </c>
      <c r="G2749" t="s">
        <v>191</v>
      </c>
      <c r="H2749">
        <v>19459</v>
      </c>
    </row>
    <row r="2750" spans="1:8">
      <c r="A2750">
        <v>5352</v>
      </c>
      <c r="B2750" t="s">
        <v>2625</v>
      </c>
      <c r="C2750">
        <v>5697</v>
      </c>
      <c r="D2750" t="s">
        <v>2344</v>
      </c>
      <c r="E2750" t="s">
        <v>2036</v>
      </c>
      <c r="F2750">
        <v>202204</v>
      </c>
      <c r="G2750" t="s">
        <v>176</v>
      </c>
      <c r="H2750">
        <v>0</v>
      </c>
    </row>
    <row r="2751" spans="1:8">
      <c r="A2751">
        <v>5352</v>
      </c>
      <c r="B2751" t="s">
        <v>2625</v>
      </c>
      <c r="C2751">
        <v>5697</v>
      </c>
      <c r="D2751" t="s">
        <v>2344</v>
      </c>
      <c r="E2751" t="s">
        <v>2036</v>
      </c>
      <c r="F2751">
        <v>202204</v>
      </c>
      <c r="G2751" t="s">
        <v>178</v>
      </c>
      <c r="H2751">
        <v>600</v>
      </c>
    </row>
    <row r="2752" spans="1:8">
      <c r="A2752">
        <v>5352</v>
      </c>
      <c r="B2752" t="s">
        <v>2625</v>
      </c>
      <c r="C2752">
        <v>5697</v>
      </c>
      <c r="D2752" t="s">
        <v>2344</v>
      </c>
      <c r="E2752" t="s">
        <v>2036</v>
      </c>
      <c r="F2752">
        <v>202204</v>
      </c>
      <c r="G2752" t="s">
        <v>180</v>
      </c>
      <c r="H2752">
        <v>600</v>
      </c>
    </row>
    <row r="2753" spans="1:8">
      <c r="A2753">
        <v>5352</v>
      </c>
      <c r="B2753" t="s">
        <v>2625</v>
      </c>
      <c r="C2753">
        <v>5697</v>
      </c>
      <c r="D2753" t="s">
        <v>2344</v>
      </c>
      <c r="E2753" t="s">
        <v>2036</v>
      </c>
      <c r="F2753">
        <v>202204</v>
      </c>
      <c r="G2753" t="s">
        <v>182</v>
      </c>
      <c r="H2753">
        <v>140024</v>
      </c>
    </row>
    <row r="2754" spans="1:8">
      <c r="A2754">
        <v>5352</v>
      </c>
      <c r="B2754" t="s">
        <v>2625</v>
      </c>
      <c r="C2754">
        <v>5697</v>
      </c>
      <c r="D2754" t="s">
        <v>2344</v>
      </c>
      <c r="E2754" t="s">
        <v>2036</v>
      </c>
      <c r="F2754">
        <v>202204</v>
      </c>
      <c r="G2754" t="s">
        <v>184</v>
      </c>
      <c r="H2754">
        <v>19459</v>
      </c>
    </row>
    <row r="2755" spans="1:8">
      <c r="A2755">
        <v>5352</v>
      </c>
      <c r="B2755" t="s">
        <v>2625</v>
      </c>
      <c r="C2755">
        <v>5697</v>
      </c>
      <c r="D2755" t="s">
        <v>2344</v>
      </c>
      <c r="E2755" t="s">
        <v>2036</v>
      </c>
      <c r="F2755">
        <v>202204</v>
      </c>
      <c r="G2755" t="s">
        <v>192</v>
      </c>
      <c r="H2755">
        <v>0</v>
      </c>
    </row>
    <row r="2756" spans="1:8">
      <c r="A2756">
        <v>5352</v>
      </c>
      <c r="B2756" t="s">
        <v>2625</v>
      </c>
      <c r="C2756">
        <v>5697</v>
      </c>
      <c r="D2756" t="s">
        <v>2344</v>
      </c>
      <c r="E2756" t="s">
        <v>2036</v>
      </c>
      <c r="F2756">
        <v>202204</v>
      </c>
      <c r="G2756" t="s">
        <v>2170</v>
      </c>
      <c r="H2756">
        <v>1738.05</v>
      </c>
    </row>
    <row r="2757" spans="1:8">
      <c r="A2757">
        <v>5352</v>
      </c>
      <c r="B2757" t="s">
        <v>2625</v>
      </c>
      <c r="C2757">
        <v>5697</v>
      </c>
      <c r="D2757" t="s">
        <v>2344</v>
      </c>
      <c r="E2757" t="s">
        <v>2036</v>
      </c>
      <c r="F2757">
        <v>202204</v>
      </c>
      <c r="G2757" t="s">
        <v>186</v>
      </c>
      <c r="H2757">
        <v>0</v>
      </c>
    </row>
    <row r="2758" spans="1:8">
      <c r="A2758">
        <v>5352</v>
      </c>
      <c r="B2758" t="s">
        <v>2625</v>
      </c>
      <c r="C2758">
        <v>5697</v>
      </c>
      <c r="D2758" t="s">
        <v>2344</v>
      </c>
      <c r="E2758" t="s">
        <v>2036</v>
      </c>
      <c r="F2758">
        <v>202204</v>
      </c>
      <c r="G2758" t="s">
        <v>2169</v>
      </c>
      <c r="H2758">
        <v>182.65</v>
      </c>
    </row>
    <row r="2759" spans="1:8">
      <c r="A2759">
        <v>5352</v>
      </c>
      <c r="B2759" t="s">
        <v>2625</v>
      </c>
      <c r="C2759">
        <v>5697</v>
      </c>
      <c r="D2759" t="s">
        <v>2344</v>
      </c>
      <c r="E2759" t="s">
        <v>2036</v>
      </c>
      <c r="F2759">
        <v>202204</v>
      </c>
      <c r="G2759" t="s">
        <v>2166</v>
      </c>
      <c r="H2759">
        <v>11.83</v>
      </c>
    </row>
    <row r="2760" spans="1:8">
      <c r="A2760">
        <v>5352</v>
      </c>
      <c r="B2760" t="s">
        <v>2625</v>
      </c>
      <c r="C2760">
        <v>5697</v>
      </c>
      <c r="D2760" t="s">
        <v>2344</v>
      </c>
      <c r="E2760" t="s">
        <v>2036</v>
      </c>
      <c r="F2760">
        <v>202204</v>
      </c>
      <c r="G2760" t="s">
        <v>2167</v>
      </c>
      <c r="H2760">
        <v>21.22</v>
      </c>
    </row>
    <row r="2761" spans="1:8">
      <c r="A2761">
        <v>5352</v>
      </c>
      <c r="B2761" t="s">
        <v>2625</v>
      </c>
      <c r="C2761">
        <v>5697</v>
      </c>
      <c r="D2761" t="s">
        <v>2344</v>
      </c>
      <c r="E2761" t="s">
        <v>2036</v>
      </c>
      <c r="F2761">
        <v>202204</v>
      </c>
      <c r="G2761" t="s">
        <v>2168</v>
      </c>
      <c r="H2761">
        <v>14.37</v>
      </c>
    </row>
    <row r="2762" spans="1:8">
      <c r="A2762">
        <v>5352</v>
      </c>
      <c r="B2762" t="s">
        <v>2625</v>
      </c>
      <c r="C2762">
        <v>5697</v>
      </c>
      <c r="D2762" t="s">
        <v>2344</v>
      </c>
      <c r="E2762" t="s">
        <v>2036</v>
      </c>
      <c r="F2762">
        <v>202204</v>
      </c>
      <c r="G2762" t="s">
        <v>2171</v>
      </c>
      <c r="H2762">
        <v>52989.37</v>
      </c>
    </row>
    <row r="2763" spans="1:8">
      <c r="A2763">
        <v>5352</v>
      </c>
      <c r="B2763" t="s">
        <v>2625</v>
      </c>
      <c r="C2763">
        <v>5697</v>
      </c>
      <c r="D2763" t="s">
        <v>2344</v>
      </c>
      <c r="E2763" t="s">
        <v>2036</v>
      </c>
      <c r="F2763">
        <v>202204</v>
      </c>
      <c r="G2763" t="s">
        <v>190</v>
      </c>
      <c r="H2763">
        <v>588678</v>
      </c>
    </row>
    <row r="2764" spans="1:8">
      <c r="A2764">
        <v>5352</v>
      </c>
      <c r="B2764" t="s">
        <v>2625</v>
      </c>
      <c r="C2764">
        <v>5697</v>
      </c>
      <c r="D2764" t="s">
        <v>2344</v>
      </c>
      <c r="E2764" t="s">
        <v>2036</v>
      </c>
      <c r="F2764">
        <v>202204</v>
      </c>
      <c r="G2764" t="s">
        <v>191</v>
      </c>
      <c r="H2764">
        <v>85620</v>
      </c>
    </row>
    <row r="2765" spans="1:8">
      <c r="A2765">
        <v>5352</v>
      </c>
      <c r="B2765" t="s">
        <v>2625</v>
      </c>
      <c r="C2765">
        <v>5697</v>
      </c>
      <c r="D2765" t="s">
        <v>2344</v>
      </c>
      <c r="E2765" t="s">
        <v>2036</v>
      </c>
      <c r="F2765">
        <v>202204</v>
      </c>
      <c r="G2765" t="s">
        <v>176</v>
      </c>
      <c r="H2765">
        <v>0</v>
      </c>
    </row>
    <row r="2766" spans="1:8">
      <c r="A2766">
        <v>5352</v>
      </c>
      <c r="B2766" t="s">
        <v>2625</v>
      </c>
      <c r="C2766">
        <v>5697</v>
      </c>
      <c r="D2766" t="s">
        <v>2344</v>
      </c>
      <c r="E2766" t="s">
        <v>2036</v>
      </c>
      <c r="F2766">
        <v>202204</v>
      </c>
      <c r="G2766" t="s">
        <v>178</v>
      </c>
      <c r="H2766">
        <v>1747</v>
      </c>
    </row>
    <row r="2767" spans="1:8">
      <c r="A2767">
        <v>5352</v>
      </c>
      <c r="B2767" t="s">
        <v>2625</v>
      </c>
      <c r="C2767">
        <v>5697</v>
      </c>
      <c r="D2767" t="s">
        <v>2344</v>
      </c>
      <c r="E2767" t="s">
        <v>2036</v>
      </c>
      <c r="F2767">
        <v>202204</v>
      </c>
      <c r="G2767" t="s">
        <v>180</v>
      </c>
      <c r="H2767">
        <v>1863</v>
      </c>
    </row>
    <row r="2768" spans="1:8">
      <c r="A2768">
        <v>5352</v>
      </c>
      <c r="B2768" t="s">
        <v>2625</v>
      </c>
      <c r="C2768">
        <v>5697</v>
      </c>
      <c r="D2768" t="s">
        <v>2344</v>
      </c>
      <c r="E2768" t="s">
        <v>2036</v>
      </c>
      <c r="F2768">
        <v>202204</v>
      </c>
      <c r="G2768" t="s">
        <v>182</v>
      </c>
      <c r="H2768">
        <v>588678</v>
      </c>
    </row>
    <row r="2769" spans="1:8">
      <c r="A2769">
        <v>5352</v>
      </c>
      <c r="B2769" t="s">
        <v>2625</v>
      </c>
      <c r="C2769">
        <v>5697</v>
      </c>
      <c r="D2769" t="s">
        <v>2344</v>
      </c>
      <c r="E2769" t="s">
        <v>2036</v>
      </c>
      <c r="F2769">
        <v>202204</v>
      </c>
      <c r="G2769" t="s">
        <v>184</v>
      </c>
      <c r="H2769">
        <v>85620</v>
      </c>
    </row>
    <row r="2770" spans="1:8">
      <c r="A2770">
        <v>5352</v>
      </c>
      <c r="B2770" t="s">
        <v>2625</v>
      </c>
      <c r="C2770">
        <v>5697</v>
      </c>
      <c r="D2770" t="s">
        <v>2344</v>
      </c>
      <c r="E2770" t="s">
        <v>2036</v>
      </c>
      <c r="F2770">
        <v>202204</v>
      </c>
      <c r="G2770" t="s">
        <v>192</v>
      </c>
      <c r="H2770">
        <v>0</v>
      </c>
    </row>
    <row r="2771" spans="1:8">
      <c r="A2771">
        <v>5352</v>
      </c>
      <c r="B2771" t="s">
        <v>2625</v>
      </c>
      <c r="C2771">
        <v>5697</v>
      </c>
      <c r="D2771" t="s">
        <v>2344</v>
      </c>
      <c r="E2771" t="s">
        <v>2036</v>
      </c>
      <c r="F2771">
        <v>202204</v>
      </c>
      <c r="G2771" t="s">
        <v>2170</v>
      </c>
      <c r="H2771">
        <v>6824.92</v>
      </c>
    </row>
    <row r="2772" spans="1:8">
      <c r="A2772">
        <v>5352</v>
      </c>
      <c r="B2772" t="s">
        <v>2625</v>
      </c>
      <c r="C2772">
        <v>5697</v>
      </c>
      <c r="D2772" t="s">
        <v>2344</v>
      </c>
      <c r="E2772" t="s">
        <v>2036</v>
      </c>
      <c r="F2772">
        <v>202204</v>
      </c>
      <c r="G2772" t="s">
        <v>186</v>
      </c>
      <c r="H2772">
        <v>0</v>
      </c>
    </row>
    <row r="2773" spans="1:8">
      <c r="A2773">
        <v>5352</v>
      </c>
      <c r="B2773" t="s">
        <v>2625</v>
      </c>
      <c r="C2773">
        <v>5697</v>
      </c>
      <c r="D2773" t="s">
        <v>2344</v>
      </c>
      <c r="E2773" t="s">
        <v>2036</v>
      </c>
      <c r="F2773">
        <v>202204</v>
      </c>
      <c r="G2773" t="s">
        <v>2169</v>
      </c>
      <c r="H2773">
        <v>182.65</v>
      </c>
    </row>
    <row r="2774" spans="1:8">
      <c r="A2774">
        <v>5352</v>
      </c>
      <c r="B2774" t="s">
        <v>2625</v>
      </c>
      <c r="C2774">
        <v>5697</v>
      </c>
      <c r="D2774" t="s">
        <v>2344</v>
      </c>
      <c r="E2774" t="s">
        <v>2036</v>
      </c>
      <c r="F2774">
        <v>202204</v>
      </c>
      <c r="G2774" t="s">
        <v>2166</v>
      </c>
      <c r="H2774">
        <v>11.83</v>
      </c>
    </row>
    <row r="2775" spans="1:8">
      <c r="A2775">
        <v>5352</v>
      </c>
      <c r="B2775" t="s">
        <v>2625</v>
      </c>
      <c r="C2775">
        <v>5697</v>
      </c>
      <c r="D2775" t="s">
        <v>2344</v>
      </c>
      <c r="E2775" t="s">
        <v>2036</v>
      </c>
      <c r="F2775">
        <v>202204</v>
      </c>
      <c r="G2775" t="s">
        <v>2167</v>
      </c>
      <c r="H2775">
        <v>21.22</v>
      </c>
    </row>
    <row r="2776" spans="1:8">
      <c r="A2776">
        <v>5352</v>
      </c>
      <c r="B2776" t="s">
        <v>2625</v>
      </c>
      <c r="C2776">
        <v>5697</v>
      </c>
      <c r="D2776" t="s">
        <v>2344</v>
      </c>
      <c r="E2776" t="s">
        <v>2036</v>
      </c>
      <c r="F2776">
        <v>202204</v>
      </c>
      <c r="G2776" t="s">
        <v>2168</v>
      </c>
      <c r="H2776">
        <v>14.37</v>
      </c>
    </row>
    <row r="2777" spans="1:8">
      <c r="A2777">
        <v>5352</v>
      </c>
      <c r="B2777" t="s">
        <v>2625</v>
      </c>
      <c r="C2777">
        <v>5697</v>
      </c>
      <c r="D2777" t="s">
        <v>2344</v>
      </c>
      <c r="E2777" t="s">
        <v>2036</v>
      </c>
      <c r="F2777">
        <v>202204</v>
      </c>
      <c r="G2777" t="s">
        <v>2171</v>
      </c>
      <c r="H2777">
        <v>208075.87</v>
      </c>
    </row>
    <row r="2778" spans="1:8">
      <c r="A2778">
        <v>5352</v>
      </c>
      <c r="B2778" t="s">
        <v>2625</v>
      </c>
      <c r="C2778">
        <v>5697</v>
      </c>
      <c r="D2778" t="s">
        <v>2344</v>
      </c>
      <c r="E2778" t="s">
        <v>2036</v>
      </c>
      <c r="F2778">
        <v>202204</v>
      </c>
      <c r="G2778" t="s">
        <v>190</v>
      </c>
      <c r="H2778">
        <v>112091</v>
      </c>
    </row>
    <row r="2779" spans="1:8">
      <c r="A2779">
        <v>5352</v>
      </c>
      <c r="B2779" t="s">
        <v>2625</v>
      </c>
      <c r="C2779">
        <v>5697</v>
      </c>
      <c r="D2779" t="s">
        <v>2344</v>
      </c>
      <c r="E2779" t="s">
        <v>2036</v>
      </c>
      <c r="F2779">
        <v>202204</v>
      </c>
      <c r="G2779" t="s">
        <v>191</v>
      </c>
      <c r="H2779">
        <v>15484</v>
      </c>
    </row>
    <row r="2780" spans="1:8">
      <c r="A2780">
        <v>5352</v>
      </c>
      <c r="B2780" t="s">
        <v>2625</v>
      </c>
      <c r="C2780">
        <v>5697</v>
      </c>
      <c r="D2780" t="s">
        <v>2344</v>
      </c>
      <c r="E2780" t="s">
        <v>2036</v>
      </c>
      <c r="F2780">
        <v>202204</v>
      </c>
      <c r="G2780" t="s">
        <v>176</v>
      </c>
      <c r="H2780">
        <v>-1726.6</v>
      </c>
    </row>
    <row r="2781" spans="1:8">
      <c r="A2781">
        <v>5352</v>
      </c>
      <c r="B2781" t="s">
        <v>2625</v>
      </c>
      <c r="C2781">
        <v>5697</v>
      </c>
      <c r="D2781" t="s">
        <v>2344</v>
      </c>
      <c r="E2781" t="s">
        <v>2036</v>
      </c>
      <c r="F2781">
        <v>202204</v>
      </c>
      <c r="G2781" t="s">
        <v>178</v>
      </c>
      <c r="H2781">
        <v>510</v>
      </c>
    </row>
    <row r="2782" spans="1:8">
      <c r="A2782">
        <v>5352</v>
      </c>
      <c r="B2782" t="s">
        <v>2625</v>
      </c>
      <c r="C2782">
        <v>5697</v>
      </c>
      <c r="D2782" t="s">
        <v>2344</v>
      </c>
      <c r="E2782" t="s">
        <v>2036</v>
      </c>
      <c r="F2782">
        <v>202204</v>
      </c>
      <c r="G2782" t="s">
        <v>180</v>
      </c>
      <c r="H2782">
        <v>570</v>
      </c>
    </row>
    <row r="2783" spans="1:8">
      <c r="A2783">
        <v>5352</v>
      </c>
      <c r="B2783" t="s">
        <v>2625</v>
      </c>
      <c r="C2783">
        <v>5697</v>
      </c>
      <c r="D2783" t="s">
        <v>2344</v>
      </c>
      <c r="E2783" t="s">
        <v>2036</v>
      </c>
      <c r="F2783">
        <v>202204</v>
      </c>
      <c r="G2783" t="s">
        <v>182</v>
      </c>
      <c r="H2783">
        <v>112091</v>
      </c>
    </row>
    <row r="2784" spans="1:8">
      <c r="A2784">
        <v>5352</v>
      </c>
      <c r="B2784" t="s">
        <v>2625</v>
      </c>
      <c r="C2784">
        <v>5697</v>
      </c>
      <c r="D2784" t="s">
        <v>2344</v>
      </c>
      <c r="E2784" t="s">
        <v>2036</v>
      </c>
      <c r="F2784">
        <v>202204</v>
      </c>
      <c r="G2784" t="s">
        <v>184</v>
      </c>
      <c r="H2784">
        <v>15484</v>
      </c>
    </row>
    <row r="2785" spans="1:8">
      <c r="A2785">
        <v>5352</v>
      </c>
      <c r="B2785" t="s">
        <v>2625</v>
      </c>
      <c r="C2785">
        <v>5697</v>
      </c>
      <c r="D2785" t="s">
        <v>2344</v>
      </c>
      <c r="E2785" t="s">
        <v>2036</v>
      </c>
      <c r="F2785">
        <v>202204</v>
      </c>
      <c r="G2785" t="s">
        <v>192</v>
      </c>
      <c r="H2785">
        <v>0</v>
      </c>
    </row>
    <row r="2786" spans="1:8">
      <c r="A2786">
        <v>5352</v>
      </c>
      <c r="B2786" t="s">
        <v>2625</v>
      </c>
      <c r="C2786">
        <v>5697</v>
      </c>
      <c r="D2786" t="s">
        <v>2344</v>
      </c>
      <c r="E2786" t="s">
        <v>2036</v>
      </c>
      <c r="F2786">
        <v>202204</v>
      </c>
      <c r="G2786" t="s">
        <v>2170</v>
      </c>
      <c r="H2786">
        <v>1467.15</v>
      </c>
    </row>
    <row r="2787" spans="1:8">
      <c r="A2787">
        <v>5352</v>
      </c>
      <c r="B2787" t="s">
        <v>2625</v>
      </c>
      <c r="C2787">
        <v>5697</v>
      </c>
      <c r="D2787" t="s">
        <v>2344</v>
      </c>
      <c r="E2787" t="s">
        <v>2036</v>
      </c>
      <c r="F2787">
        <v>202204</v>
      </c>
      <c r="G2787" t="s">
        <v>186</v>
      </c>
      <c r="H2787">
        <v>0</v>
      </c>
    </row>
    <row r="2788" spans="1:8">
      <c r="A2788">
        <v>5352</v>
      </c>
      <c r="B2788" t="s">
        <v>2625</v>
      </c>
      <c r="C2788">
        <v>5697</v>
      </c>
      <c r="D2788" t="s">
        <v>2344</v>
      </c>
      <c r="E2788" t="s">
        <v>2036</v>
      </c>
      <c r="F2788">
        <v>202204</v>
      </c>
      <c r="G2788" t="s">
        <v>2169</v>
      </c>
      <c r="H2788">
        <v>182.65</v>
      </c>
    </row>
    <row r="2789" spans="1:8">
      <c r="A2789">
        <v>5352</v>
      </c>
      <c r="B2789" t="s">
        <v>2625</v>
      </c>
      <c r="C2789">
        <v>5697</v>
      </c>
      <c r="D2789" t="s">
        <v>2344</v>
      </c>
      <c r="E2789" t="s">
        <v>2036</v>
      </c>
      <c r="F2789">
        <v>202204</v>
      </c>
      <c r="G2789" t="s">
        <v>2166</v>
      </c>
      <c r="H2789">
        <v>11.83</v>
      </c>
    </row>
    <row r="2790" spans="1:8">
      <c r="A2790">
        <v>5352</v>
      </c>
      <c r="B2790" t="s">
        <v>2625</v>
      </c>
      <c r="C2790">
        <v>5697</v>
      </c>
      <c r="D2790" t="s">
        <v>2344</v>
      </c>
      <c r="E2790" t="s">
        <v>2036</v>
      </c>
      <c r="F2790">
        <v>202204</v>
      </c>
      <c r="G2790" t="s">
        <v>2167</v>
      </c>
      <c r="H2790">
        <v>21.22</v>
      </c>
    </row>
    <row r="2791" spans="1:8">
      <c r="A2791">
        <v>5352</v>
      </c>
      <c r="B2791" t="s">
        <v>2625</v>
      </c>
      <c r="C2791">
        <v>5697</v>
      </c>
      <c r="D2791" t="s">
        <v>2344</v>
      </c>
      <c r="E2791" t="s">
        <v>2036</v>
      </c>
      <c r="F2791">
        <v>202204</v>
      </c>
      <c r="G2791" t="s">
        <v>2168</v>
      </c>
      <c r="H2791">
        <v>14.37</v>
      </c>
    </row>
    <row r="2792" spans="1:8">
      <c r="A2792">
        <v>5352</v>
      </c>
      <c r="B2792" t="s">
        <v>2625</v>
      </c>
      <c r="C2792">
        <v>5697</v>
      </c>
      <c r="D2792" t="s">
        <v>2344</v>
      </c>
      <c r="E2792" t="s">
        <v>2036</v>
      </c>
      <c r="F2792">
        <v>202204</v>
      </c>
      <c r="G2792" t="s">
        <v>2171</v>
      </c>
      <c r="H2792">
        <v>43004.06</v>
      </c>
    </row>
    <row r="2793" spans="1:8">
      <c r="A2793">
        <v>5352</v>
      </c>
      <c r="B2793" t="s">
        <v>2625</v>
      </c>
      <c r="C2793">
        <v>5697</v>
      </c>
      <c r="D2793" t="s">
        <v>2344</v>
      </c>
      <c r="E2793" t="s">
        <v>2036</v>
      </c>
      <c r="F2793">
        <v>202205</v>
      </c>
      <c r="G2793" t="s">
        <v>190</v>
      </c>
      <c r="H2793">
        <v>496871</v>
      </c>
    </row>
    <row r="2794" spans="1:8">
      <c r="A2794">
        <v>5352</v>
      </c>
      <c r="B2794" t="s">
        <v>2625</v>
      </c>
      <c r="C2794">
        <v>5697</v>
      </c>
      <c r="D2794" t="s">
        <v>2344</v>
      </c>
      <c r="E2794" t="s">
        <v>2036</v>
      </c>
      <c r="F2794">
        <v>202205</v>
      </c>
      <c r="G2794" t="s">
        <v>191</v>
      </c>
      <c r="H2794">
        <v>65331</v>
      </c>
    </row>
    <row r="2795" spans="1:8">
      <c r="A2795">
        <v>5352</v>
      </c>
      <c r="B2795" t="s">
        <v>2625</v>
      </c>
      <c r="C2795">
        <v>5697</v>
      </c>
      <c r="D2795" t="s">
        <v>2344</v>
      </c>
      <c r="E2795" t="s">
        <v>2036</v>
      </c>
      <c r="F2795">
        <v>202205</v>
      </c>
      <c r="G2795" t="s">
        <v>176</v>
      </c>
      <c r="H2795">
        <v>0</v>
      </c>
    </row>
    <row r="2796" spans="1:8">
      <c r="A2796">
        <v>5352</v>
      </c>
      <c r="B2796" t="s">
        <v>2625</v>
      </c>
      <c r="C2796">
        <v>5697</v>
      </c>
      <c r="D2796" t="s">
        <v>2344</v>
      </c>
      <c r="E2796" t="s">
        <v>2036</v>
      </c>
      <c r="F2796">
        <v>202205</v>
      </c>
      <c r="G2796" t="s">
        <v>178</v>
      </c>
      <c r="H2796">
        <v>1670</v>
      </c>
    </row>
    <row r="2797" spans="1:8">
      <c r="A2797">
        <v>5352</v>
      </c>
      <c r="B2797" t="s">
        <v>2625</v>
      </c>
      <c r="C2797">
        <v>5697</v>
      </c>
      <c r="D2797" t="s">
        <v>2344</v>
      </c>
      <c r="E2797" t="s">
        <v>2036</v>
      </c>
      <c r="F2797">
        <v>202205</v>
      </c>
      <c r="G2797" t="s">
        <v>180</v>
      </c>
      <c r="H2797">
        <v>1670</v>
      </c>
    </row>
    <row r="2798" spans="1:8">
      <c r="A2798">
        <v>5352</v>
      </c>
      <c r="B2798" t="s">
        <v>2625</v>
      </c>
      <c r="C2798">
        <v>5697</v>
      </c>
      <c r="D2798" t="s">
        <v>2344</v>
      </c>
      <c r="E2798" t="s">
        <v>2036</v>
      </c>
      <c r="F2798">
        <v>202205</v>
      </c>
      <c r="G2798" t="s">
        <v>182</v>
      </c>
      <c r="H2798">
        <v>496871</v>
      </c>
    </row>
    <row r="2799" spans="1:8">
      <c r="A2799">
        <v>5352</v>
      </c>
      <c r="B2799" t="s">
        <v>2625</v>
      </c>
      <c r="C2799">
        <v>5697</v>
      </c>
      <c r="D2799" t="s">
        <v>2344</v>
      </c>
      <c r="E2799" t="s">
        <v>2036</v>
      </c>
      <c r="F2799">
        <v>202205</v>
      </c>
      <c r="G2799" t="s">
        <v>184</v>
      </c>
      <c r="H2799">
        <v>65331</v>
      </c>
    </row>
    <row r="2800" spans="1:8">
      <c r="A2800">
        <v>5352</v>
      </c>
      <c r="B2800" t="s">
        <v>2625</v>
      </c>
      <c r="C2800">
        <v>5697</v>
      </c>
      <c r="D2800" t="s">
        <v>2344</v>
      </c>
      <c r="E2800" t="s">
        <v>2036</v>
      </c>
      <c r="F2800">
        <v>202205</v>
      </c>
      <c r="G2800" t="s">
        <v>192</v>
      </c>
      <c r="H2800">
        <v>0</v>
      </c>
    </row>
    <row r="2801" spans="1:8">
      <c r="A2801">
        <v>5352</v>
      </c>
      <c r="B2801" t="s">
        <v>2625</v>
      </c>
      <c r="C2801">
        <v>5697</v>
      </c>
      <c r="D2801" t="s">
        <v>2344</v>
      </c>
      <c r="E2801" t="s">
        <v>2036</v>
      </c>
      <c r="F2801">
        <v>202205</v>
      </c>
      <c r="G2801" t="s">
        <v>2170</v>
      </c>
      <c r="H2801">
        <v>3629.18</v>
      </c>
    </row>
    <row r="2802" spans="1:8">
      <c r="A2802">
        <v>5352</v>
      </c>
      <c r="B2802" t="s">
        <v>2625</v>
      </c>
      <c r="C2802">
        <v>5697</v>
      </c>
      <c r="D2802" t="s">
        <v>2344</v>
      </c>
      <c r="E2802" t="s">
        <v>2036</v>
      </c>
      <c r="F2802">
        <v>202205</v>
      </c>
      <c r="G2802" t="s">
        <v>186</v>
      </c>
      <c r="H2802">
        <v>0</v>
      </c>
    </row>
    <row r="2803" spans="1:8">
      <c r="A2803">
        <v>5352</v>
      </c>
      <c r="B2803" t="s">
        <v>2625</v>
      </c>
      <c r="C2803">
        <v>5697</v>
      </c>
      <c r="D2803" t="s">
        <v>2344</v>
      </c>
      <c r="E2803" t="s">
        <v>2036</v>
      </c>
      <c r="F2803">
        <v>202205</v>
      </c>
      <c r="G2803" t="s">
        <v>2169</v>
      </c>
      <c r="H2803">
        <v>182.65</v>
      </c>
    </row>
    <row r="2804" spans="1:8">
      <c r="A2804">
        <v>5352</v>
      </c>
      <c r="B2804" t="s">
        <v>2625</v>
      </c>
      <c r="C2804">
        <v>5697</v>
      </c>
      <c r="D2804" t="s">
        <v>2344</v>
      </c>
      <c r="E2804" t="s">
        <v>2036</v>
      </c>
      <c r="F2804">
        <v>202205</v>
      </c>
      <c r="G2804" t="s">
        <v>2166</v>
      </c>
      <c r="H2804">
        <v>11.83</v>
      </c>
    </row>
    <row r="2805" spans="1:8">
      <c r="A2805">
        <v>5352</v>
      </c>
      <c r="B2805" t="s">
        <v>2625</v>
      </c>
      <c r="C2805">
        <v>5697</v>
      </c>
      <c r="D2805" t="s">
        <v>2344</v>
      </c>
      <c r="E2805" t="s">
        <v>2036</v>
      </c>
      <c r="F2805">
        <v>202205</v>
      </c>
      <c r="G2805" t="s">
        <v>2167</v>
      </c>
      <c r="H2805">
        <v>21.22</v>
      </c>
    </row>
    <row r="2806" spans="1:8">
      <c r="A2806">
        <v>5352</v>
      </c>
      <c r="B2806" t="s">
        <v>2625</v>
      </c>
      <c r="C2806">
        <v>5697</v>
      </c>
      <c r="D2806" t="s">
        <v>2344</v>
      </c>
      <c r="E2806" t="s">
        <v>2036</v>
      </c>
      <c r="F2806">
        <v>202205</v>
      </c>
      <c r="G2806" t="s">
        <v>2168</v>
      </c>
      <c r="H2806">
        <v>14.37</v>
      </c>
    </row>
    <row r="2807" spans="1:8">
      <c r="A2807">
        <v>5352</v>
      </c>
      <c r="B2807" t="s">
        <v>2625</v>
      </c>
      <c r="C2807">
        <v>5697</v>
      </c>
      <c r="D2807" t="s">
        <v>2344</v>
      </c>
      <c r="E2807" t="s">
        <v>2036</v>
      </c>
      <c r="F2807">
        <v>202205</v>
      </c>
      <c r="G2807" t="s">
        <v>2171</v>
      </c>
      <c r="H2807">
        <v>169587.69</v>
      </c>
    </row>
    <row r="2808" spans="1:8">
      <c r="A2808">
        <v>5352</v>
      </c>
      <c r="B2808" t="s">
        <v>2625</v>
      </c>
      <c r="C2808">
        <v>5697</v>
      </c>
      <c r="D2808" t="s">
        <v>2344</v>
      </c>
      <c r="E2808" t="s">
        <v>2036</v>
      </c>
      <c r="F2808">
        <v>202205</v>
      </c>
      <c r="G2808" t="s">
        <v>190</v>
      </c>
      <c r="H2808">
        <v>626941</v>
      </c>
    </row>
    <row r="2809" spans="1:8">
      <c r="A2809">
        <v>5352</v>
      </c>
      <c r="B2809" t="s">
        <v>2625</v>
      </c>
      <c r="C2809">
        <v>5697</v>
      </c>
      <c r="D2809" t="s">
        <v>2344</v>
      </c>
      <c r="E2809" t="s">
        <v>2036</v>
      </c>
      <c r="F2809">
        <v>202205</v>
      </c>
      <c r="G2809" t="s">
        <v>191</v>
      </c>
      <c r="H2809">
        <v>34971</v>
      </c>
    </row>
    <row r="2810" spans="1:8">
      <c r="A2810">
        <v>5352</v>
      </c>
      <c r="B2810" t="s">
        <v>2625</v>
      </c>
      <c r="C2810">
        <v>5697</v>
      </c>
      <c r="D2810" t="s">
        <v>2344</v>
      </c>
      <c r="E2810" t="s">
        <v>2036</v>
      </c>
      <c r="F2810">
        <v>202205</v>
      </c>
      <c r="G2810" t="s">
        <v>176</v>
      </c>
      <c r="H2810">
        <v>0</v>
      </c>
    </row>
    <row r="2811" spans="1:8">
      <c r="A2811">
        <v>5352</v>
      </c>
      <c r="B2811" t="s">
        <v>2625</v>
      </c>
      <c r="C2811">
        <v>5697</v>
      </c>
      <c r="D2811" t="s">
        <v>2344</v>
      </c>
      <c r="E2811" t="s">
        <v>2036</v>
      </c>
      <c r="F2811">
        <v>202205</v>
      </c>
      <c r="G2811" t="s">
        <v>178</v>
      </c>
      <c r="H2811">
        <v>1450</v>
      </c>
    </row>
    <row r="2812" spans="1:8">
      <c r="A2812">
        <v>5352</v>
      </c>
      <c r="B2812" t="s">
        <v>2625</v>
      </c>
      <c r="C2812">
        <v>5697</v>
      </c>
      <c r="D2812" t="s">
        <v>2344</v>
      </c>
      <c r="E2812" t="s">
        <v>2036</v>
      </c>
      <c r="F2812">
        <v>202205</v>
      </c>
      <c r="G2812" t="s">
        <v>180</v>
      </c>
      <c r="H2812">
        <v>1450</v>
      </c>
    </row>
    <row r="2813" spans="1:8">
      <c r="A2813">
        <v>5352</v>
      </c>
      <c r="B2813" t="s">
        <v>2625</v>
      </c>
      <c r="C2813">
        <v>5697</v>
      </c>
      <c r="D2813" t="s">
        <v>2344</v>
      </c>
      <c r="E2813" t="s">
        <v>2036</v>
      </c>
      <c r="F2813">
        <v>202205</v>
      </c>
      <c r="G2813" t="s">
        <v>182</v>
      </c>
      <c r="H2813">
        <v>626941</v>
      </c>
    </row>
    <row r="2814" spans="1:8">
      <c r="A2814">
        <v>5352</v>
      </c>
      <c r="B2814" t="s">
        <v>2625</v>
      </c>
      <c r="C2814">
        <v>5697</v>
      </c>
      <c r="D2814" t="s">
        <v>2344</v>
      </c>
      <c r="E2814" t="s">
        <v>2036</v>
      </c>
      <c r="F2814">
        <v>202205</v>
      </c>
      <c r="G2814" t="s">
        <v>184</v>
      </c>
      <c r="H2814">
        <v>34971</v>
      </c>
    </row>
    <row r="2815" spans="1:8">
      <c r="A2815">
        <v>5352</v>
      </c>
      <c r="B2815" t="s">
        <v>2625</v>
      </c>
      <c r="C2815">
        <v>5697</v>
      </c>
      <c r="D2815" t="s">
        <v>2344</v>
      </c>
      <c r="E2815" t="s">
        <v>2036</v>
      </c>
      <c r="F2815">
        <v>202205</v>
      </c>
      <c r="G2815" t="s">
        <v>192</v>
      </c>
      <c r="H2815">
        <v>0</v>
      </c>
    </row>
    <row r="2816" spans="1:8">
      <c r="A2816">
        <v>5352</v>
      </c>
      <c r="B2816" t="s">
        <v>2625</v>
      </c>
      <c r="C2816">
        <v>5697</v>
      </c>
      <c r="D2816" t="s">
        <v>2344</v>
      </c>
      <c r="E2816" t="s">
        <v>2036</v>
      </c>
      <c r="F2816">
        <v>202205</v>
      </c>
      <c r="G2816" t="s">
        <v>2170</v>
      </c>
      <c r="H2816">
        <v>3899.77</v>
      </c>
    </row>
    <row r="2817" spans="1:8">
      <c r="A2817">
        <v>5352</v>
      </c>
      <c r="B2817" t="s">
        <v>2625</v>
      </c>
      <c r="C2817">
        <v>5697</v>
      </c>
      <c r="D2817" t="s">
        <v>2344</v>
      </c>
      <c r="E2817" t="s">
        <v>2036</v>
      </c>
      <c r="F2817">
        <v>202205</v>
      </c>
      <c r="G2817" t="s">
        <v>186</v>
      </c>
      <c r="H2817">
        <v>0</v>
      </c>
    </row>
    <row r="2818" spans="1:8">
      <c r="A2818">
        <v>5352</v>
      </c>
      <c r="B2818" t="s">
        <v>2625</v>
      </c>
      <c r="C2818">
        <v>5697</v>
      </c>
      <c r="D2818" t="s">
        <v>2344</v>
      </c>
      <c r="E2818" t="s">
        <v>2036</v>
      </c>
      <c r="F2818">
        <v>202205</v>
      </c>
      <c r="G2818" t="s">
        <v>2169</v>
      </c>
      <c r="H2818">
        <v>182.65</v>
      </c>
    </row>
    <row r="2819" spans="1:8">
      <c r="A2819">
        <v>5352</v>
      </c>
      <c r="B2819" t="s">
        <v>2625</v>
      </c>
      <c r="C2819">
        <v>5697</v>
      </c>
      <c r="D2819" t="s">
        <v>2344</v>
      </c>
      <c r="E2819" t="s">
        <v>2036</v>
      </c>
      <c r="F2819">
        <v>202205</v>
      </c>
      <c r="G2819" t="s">
        <v>2166</v>
      </c>
      <c r="H2819">
        <v>11.83</v>
      </c>
    </row>
    <row r="2820" spans="1:8">
      <c r="A2820">
        <v>5352</v>
      </c>
      <c r="B2820" t="s">
        <v>2625</v>
      </c>
      <c r="C2820">
        <v>5697</v>
      </c>
      <c r="D2820" t="s">
        <v>2344</v>
      </c>
      <c r="E2820" t="s">
        <v>2036</v>
      </c>
      <c r="F2820">
        <v>202205</v>
      </c>
      <c r="G2820" t="s">
        <v>2167</v>
      </c>
      <c r="H2820">
        <v>21.22</v>
      </c>
    </row>
    <row r="2821" spans="1:8">
      <c r="A2821">
        <v>5352</v>
      </c>
      <c r="B2821" t="s">
        <v>2625</v>
      </c>
      <c r="C2821">
        <v>5697</v>
      </c>
      <c r="D2821" t="s">
        <v>2344</v>
      </c>
      <c r="E2821" t="s">
        <v>2036</v>
      </c>
      <c r="F2821">
        <v>202205</v>
      </c>
      <c r="G2821" t="s">
        <v>2168</v>
      </c>
      <c r="H2821">
        <v>14.37</v>
      </c>
    </row>
    <row r="2822" spans="1:8">
      <c r="A2822">
        <v>5352</v>
      </c>
      <c r="B2822" t="s">
        <v>2625</v>
      </c>
      <c r="C2822">
        <v>5697</v>
      </c>
      <c r="D2822" t="s">
        <v>2344</v>
      </c>
      <c r="E2822" t="s">
        <v>2036</v>
      </c>
      <c r="F2822">
        <v>202205</v>
      </c>
      <c r="G2822" t="s">
        <v>2171</v>
      </c>
      <c r="H2822">
        <v>185018.29</v>
      </c>
    </row>
    <row r="2823" spans="1:8">
      <c r="A2823">
        <v>5352</v>
      </c>
      <c r="B2823" t="s">
        <v>2625</v>
      </c>
      <c r="C2823">
        <v>5697</v>
      </c>
      <c r="D2823" t="s">
        <v>2344</v>
      </c>
      <c r="E2823" t="s">
        <v>2036</v>
      </c>
      <c r="F2823">
        <v>202205</v>
      </c>
      <c r="G2823" t="s">
        <v>190</v>
      </c>
      <c r="H2823">
        <v>11899</v>
      </c>
    </row>
    <row r="2824" spans="1:8">
      <c r="A2824">
        <v>5352</v>
      </c>
      <c r="B2824" t="s">
        <v>2625</v>
      </c>
      <c r="C2824">
        <v>5697</v>
      </c>
      <c r="D2824" t="s">
        <v>2344</v>
      </c>
      <c r="E2824" t="s">
        <v>2036</v>
      </c>
      <c r="F2824">
        <v>202205</v>
      </c>
      <c r="G2824" t="s">
        <v>191</v>
      </c>
      <c r="H2824">
        <v>1557</v>
      </c>
    </row>
    <row r="2825" spans="1:8">
      <c r="A2825">
        <v>5352</v>
      </c>
      <c r="B2825" t="s">
        <v>2625</v>
      </c>
      <c r="C2825">
        <v>5697</v>
      </c>
      <c r="D2825" t="s">
        <v>2344</v>
      </c>
      <c r="E2825" t="s">
        <v>2036</v>
      </c>
      <c r="F2825">
        <v>202205</v>
      </c>
      <c r="G2825" t="s">
        <v>176</v>
      </c>
      <c r="H2825">
        <v>0</v>
      </c>
    </row>
    <row r="2826" spans="1:8">
      <c r="A2826">
        <v>5352</v>
      </c>
      <c r="B2826" t="s">
        <v>2625</v>
      </c>
      <c r="C2826">
        <v>5697</v>
      </c>
      <c r="D2826" t="s">
        <v>2344</v>
      </c>
      <c r="E2826" t="s">
        <v>2036</v>
      </c>
      <c r="F2826">
        <v>202205</v>
      </c>
      <c r="G2826" t="s">
        <v>178</v>
      </c>
      <c r="H2826">
        <v>120</v>
      </c>
    </row>
    <row r="2827" spans="1:8">
      <c r="A2827">
        <v>5352</v>
      </c>
      <c r="B2827" t="s">
        <v>2625</v>
      </c>
      <c r="C2827">
        <v>5697</v>
      </c>
      <c r="D2827" t="s">
        <v>2344</v>
      </c>
      <c r="E2827" t="s">
        <v>2036</v>
      </c>
      <c r="F2827">
        <v>202205</v>
      </c>
      <c r="G2827" t="s">
        <v>180</v>
      </c>
      <c r="H2827">
        <v>120</v>
      </c>
    </row>
    <row r="2828" spans="1:8">
      <c r="A2828">
        <v>5352</v>
      </c>
      <c r="B2828" t="s">
        <v>2625</v>
      </c>
      <c r="C2828">
        <v>5697</v>
      </c>
      <c r="D2828" t="s">
        <v>2344</v>
      </c>
      <c r="E2828" t="s">
        <v>2036</v>
      </c>
      <c r="F2828">
        <v>202205</v>
      </c>
      <c r="G2828" t="s">
        <v>182</v>
      </c>
      <c r="H2828">
        <v>11899</v>
      </c>
    </row>
    <row r="2829" spans="1:8">
      <c r="A2829">
        <v>5352</v>
      </c>
      <c r="B2829" t="s">
        <v>2625</v>
      </c>
      <c r="C2829">
        <v>5697</v>
      </c>
      <c r="D2829" t="s">
        <v>2344</v>
      </c>
      <c r="E2829" t="s">
        <v>2036</v>
      </c>
      <c r="F2829">
        <v>202205</v>
      </c>
      <c r="G2829" t="s">
        <v>184</v>
      </c>
      <c r="H2829">
        <v>1557</v>
      </c>
    </row>
    <row r="2830" spans="1:8">
      <c r="A2830">
        <v>5352</v>
      </c>
      <c r="B2830" t="s">
        <v>2625</v>
      </c>
      <c r="C2830">
        <v>5697</v>
      </c>
      <c r="D2830" t="s">
        <v>2344</v>
      </c>
      <c r="E2830" t="s">
        <v>2036</v>
      </c>
      <c r="F2830">
        <v>202205</v>
      </c>
      <c r="G2830" t="s">
        <v>192</v>
      </c>
      <c r="H2830">
        <v>0</v>
      </c>
    </row>
    <row r="2831" spans="1:8">
      <c r="A2831">
        <v>5352</v>
      </c>
      <c r="B2831" t="s">
        <v>2625</v>
      </c>
      <c r="C2831">
        <v>5697</v>
      </c>
      <c r="D2831" t="s">
        <v>2344</v>
      </c>
      <c r="E2831" t="s">
        <v>2036</v>
      </c>
      <c r="F2831">
        <v>202205</v>
      </c>
      <c r="G2831" t="s">
        <v>2170</v>
      </c>
      <c r="H2831">
        <v>144.69</v>
      </c>
    </row>
    <row r="2832" spans="1:8">
      <c r="A2832">
        <v>5352</v>
      </c>
      <c r="B2832" t="s">
        <v>2625</v>
      </c>
      <c r="C2832">
        <v>5697</v>
      </c>
      <c r="D2832" t="s">
        <v>2344</v>
      </c>
      <c r="E2832" t="s">
        <v>2036</v>
      </c>
      <c r="F2832">
        <v>202205</v>
      </c>
      <c r="G2832" t="s">
        <v>186</v>
      </c>
      <c r="H2832">
        <v>0</v>
      </c>
    </row>
    <row r="2833" spans="1:8">
      <c r="A2833">
        <v>5352</v>
      </c>
      <c r="B2833" t="s">
        <v>2625</v>
      </c>
      <c r="C2833">
        <v>5697</v>
      </c>
      <c r="D2833" t="s">
        <v>2344</v>
      </c>
      <c r="E2833" t="s">
        <v>2036</v>
      </c>
      <c r="F2833">
        <v>202205</v>
      </c>
      <c r="G2833" t="s">
        <v>2169</v>
      </c>
      <c r="H2833">
        <v>182.65</v>
      </c>
    </row>
    <row r="2834" spans="1:8">
      <c r="A2834">
        <v>5352</v>
      </c>
      <c r="B2834" t="s">
        <v>2625</v>
      </c>
      <c r="C2834">
        <v>5697</v>
      </c>
      <c r="D2834" t="s">
        <v>2344</v>
      </c>
      <c r="E2834" t="s">
        <v>2036</v>
      </c>
      <c r="F2834">
        <v>202205</v>
      </c>
      <c r="G2834" t="s">
        <v>2166</v>
      </c>
      <c r="H2834">
        <v>11.83</v>
      </c>
    </row>
    <row r="2835" spans="1:8">
      <c r="A2835">
        <v>5352</v>
      </c>
      <c r="B2835" t="s">
        <v>2625</v>
      </c>
      <c r="C2835">
        <v>5697</v>
      </c>
      <c r="D2835" t="s">
        <v>2344</v>
      </c>
      <c r="E2835" t="s">
        <v>2036</v>
      </c>
      <c r="F2835">
        <v>202205</v>
      </c>
      <c r="G2835" t="s">
        <v>2167</v>
      </c>
      <c r="H2835">
        <v>21.22</v>
      </c>
    </row>
    <row r="2836" spans="1:8">
      <c r="A2836">
        <v>5352</v>
      </c>
      <c r="B2836" t="s">
        <v>2625</v>
      </c>
      <c r="C2836">
        <v>5697</v>
      </c>
      <c r="D2836" t="s">
        <v>2344</v>
      </c>
      <c r="E2836" t="s">
        <v>2036</v>
      </c>
      <c r="F2836">
        <v>202205</v>
      </c>
      <c r="G2836" t="s">
        <v>2168</v>
      </c>
      <c r="H2836">
        <v>14.37</v>
      </c>
    </row>
    <row r="2837" spans="1:8">
      <c r="A2837">
        <v>5352</v>
      </c>
      <c r="B2837" t="s">
        <v>2625</v>
      </c>
      <c r="C2837">
        <v>5697</v>
      </c>
      <c r="D2837" t="s">
        <v>2344</v>
      </c>
      <c r="E2837" t="s">
        <v>2036</v>
      </c>
      <c r="F2837">
        <v>202205</v>
      </c>
      <c r="G2837" t="s">
        <v>2171</v>
      </c>
      <c r="H2837">
        <v>7566.95</v>
      </c>
    </row>
    <row r="2838" spans="1:8">
      <c r="A2838">
        <v>5352</v>
      </c>
      <c r="B2838" t="s">
        <v>2625</v>
      </c>
      <c r="C2838">
        <v>5697</v>
      </c>
      <c r="D2838" t="s">
        <v>2344</v>
      </c>
      <c r="E2838" t="s">
        <v>2036</v>
      </c>
      <c r="F2838">
        <v>202205</v>
      </c>
      <c r="G2838" t="s">
        <v>190</v>
      </c>
      <c r="H2838">
        <v>836514</v>
      </c>
    </row>
    <row r="2839" spans="1:8">
      <c r="A2839">
        <v>5352</v>
      </c>
      <c r="B2839" t="s">
        <v>2625</v>
      </c>
      <c r="C2839">
        <v>5697</v>
      </c>
      <c r="D2839" t="s">
        <v>2344</v>
      </c>
      <c r="E2839" t="s">
        <v>2036</v>
      </c>
      <c r="F2839">
        <v>202205</v>
      </c>
      <c r="G2839" t="s">
        <v>191</v>
      </c>
      <c r="H2839">
        <v>115201</v>
      </c>
    </row>
    <row r="2840" spans="1:8">
      <c r="A2840">
        <v>5352</v>
      </c>
      <c r="B2840" t="s">
        <v>2625</v>
      </c>
      <c r="C2840">
        <v>5697</v>
      </c>
      <c r="D2840" t="s">
        <v>2344</v>
      </c>
      <c r="E2840" t="s">
        <v>2036</v>
      </c>
      <c r="F2840">
        <v>202205</v>
      </c>
      <c r="G2840" t="s">
        <v>176</v>
      </c>
      <c r="H2840">
        <v>0</v>
      </c>
    </row>
    <row r="2841" spans="1:8">
      <c r="A2841">
        <v>5352</v>
      </c>
      <c r="B2841" t="s">
        <v>2625</v>
      </c>
      <c r="C2841">
        <v>5697</v>
      </c>
      <c r="D2841" t="s">
        <v>2344</v>
      </c>
      <c r="E2841" t="s">
        <v>2036</v>
      </c>
      <c r="F2841">
        <v>202205</v>
      </c>
      <c r="G2841" t="s">
        <v>178</v>
      </c>
      <c r="H2841">
        <v>2750</v>
      </c>
    </row>
    <row r="2842" spans="1:8">
      <c r="A2842">
        <v>5352</v>
      </c>
      <c r="B2842" t="s">
        <v>2625</v>
      </c>
      <c r="C2842">
        <v>5697</v>
      </c>
      <c r="D2842" t="s">
        <v>2344</v>
      </c>
      <c r="E2842" t="s">
        <v>2036</v>
      </c>
      <c r="F2842">
        <v>202205</v>
      </c>
      <c r="G2842" t="s">
        <v>180</v>
      </c>
      <c r="H2842">
        <v>2750</v>
      </c>
    </row>
    <row r="2843" spans="1:8">
      <c r="A2843">
        <v>5352</v>
      </c>
      <c r="B2843" t="s">
        <v>2625</v>
      </c>
      <c r="C2843">
        <v>5697</v>
      </c>
      <c r="D2843" t="s">
        <v>2344</v>
      </c>
      <c r="E2843" t="s">
        <v>2036</v>
      </c>
      <c r="F2843">
        <v>202205</v>
      </c>
      <c r="G2843" t="s">
        <v>182</v>
      </c>
      <c r="H2843">
        <v>900151</v>
      </c>
    </row>
    <row r="2844" spans="1:8">
      <c r="A2844">
        <v>5352</v>
      </c>
      <c r="B2844" t="s">
        <v>2625</v>
      </c>
      <c r="C2844">
        <v>5697</v>
      </c>
      <c r="D2844" t="s">
        <v>2344</v>
      </c>
      <c r="E2844" t="s">
        <v>2036</v>
      </c>
      <c r="F2844">
        <v>202205</v>
      </c>
      <c r="G2844" t="s">
        <v>184</v>
      </c>
      <c r="H2844">
        <v>115201</v>
      </c>
    </row>
    <row r="2845" spans="1:8">
      <c r="A2845">
        <v>5352</v>
      </c>
      <c r="B2845" t="s">
        <v>2625</v>
      </c>
      <c r="C2845">
        <v>5697</v>
      </c>
      <c r="D2845" t="s">
        <v>2344</v>
      </c>
      <c r="E2845" t="s">
        <v>2036</v>
      </c>
      <c r="F2845">
        <v>202205</v>
      </c>
      <c r="G2845" t="s">
        <v>192</v>
      </c>
      <c r="H2845">
        <v>0</v>
      </c>
    </row>
    <row r="2846" spans="1:8">
      <c r="A2846">
        <v>5352</v>
      </c>
      <c r="B2846" t="s">
        <v>2625</v>
      </c>
      <c r="C2846">
        <v>5697</v>
      </c>
      <c r="D2846" t="s">
        <v>2344</v>
      </c>
      <c r="E2846" t="s">
        <v>2036</v>
      </c>
      <c r="F2846">
        <v>202205</v>
      </c>
      <c r="G2846" t="s">
        <v>2170</v>
      </c>
      <c r="H2846">
        <v>6107.94</v>
      </c>
    </row>
    <row r="2847" spans="1:8">
      <c r="A2847">
        <v>5352</v>
      </c>
      <c r="B2847" t="s">
        <v>2625</v>
      </c>
      <c r="C2847">
        <v>5697</v>
      </c>
      <c r="D2847" t="s">
        <v>2344</v>
      </c>
      <c r="E2847" t="s">
        <v>2036</v>
      </c>
      <c r="F2847">
        <v>202205</v>
      </c>
      <c r="G2847" t="s">
        <v>186</v>
      </c>
      <c r="H2847">
        <v>63637</v>
      </c>
    </row>
    <row r="2848" spans="1:8">
      <c r="A2848">
        <v>5352</v>
      </c>
      <c r="B2848" t="s">
        <v>2625</v>
      </c>
      <c r="C2848">
        <v>5697</v>
      </c>
      <c r="D2848" t="s">
        <v>2344</v>
      </c>
      <c r="E2848" t="s">
        <v>2036</v>
      </c>
      <c r="F2848">
        <v>202205</v>
      </c>
      <c r="G2848" t="s">
        <v>2169</v>
      </c>
      <c r="H2848">
        <v>182.65</v>
      </c>
    </row>
    <row r="2849" spans="1:8">
      <c r="A2849">
        <v>5352</v>
      </c>
      <c r="B2849" t="s">
        <v>2625</v>
      </c>
      <c r="C2849">
        <v>5697</v>
      </c>
      <c r="D2849" t="s">
        <v>2344</v>
      </c>
      <c r="E2849" t="s">
        <v>2036</v>
      </c>
      <c r="F2849">
        <v>202205</v>
      </c>
      <c r="G2849" t="s">
        <v>2166</v>
      </c>
      <c r="H2849">
        <v>11.83</v>
      </c>
    </row>
    <row r="2850" spans="1:8">
      <c r="A2850">
        <v>5352</v>
      </c>
      <c r="B2850" t="s">
        <v>2625</v>
      </c>
      <c r="C2850">
        <v>5697</v>
      </c>
      <c r="D2850" t="s">
        <v>2344</v>
      </c>
      <c r="E2850" t="s">
        <v>2036</v>
      </c>
      <c r="F2850">
        <v>202205</v>
      </c>
      <c r="G2850" t="s">
        <v>2167</v>
      </c>
      <c r="H2850">
        <v>21.22</v>
      </c>
    </row>
    <row r="2851" spans="1:8">
      <c r="A2851">
        <v>5352</v>
      </c>
      <c r="B2851" t="s">
        <v>2625</v>
      </c>
      <c r="C2851">
        <v>5697</v>
      </c>
      <c r="D2851" t="s">
        <v>2344</v>
      </c>
      <c r="E2851" t="s">
        <v>2036</v>
      </c>
      <c r="F2851">
        <v>202205</v>
      </c>
      <c r="G2851" t="s">
        <v>2168</v>
      </c>
      <c r="H2851">
        <v>14.37</v>
      </c>
    </row>
    <row r="2852" spans="1:8">
      <c r="A2852">
        <v>5352</v>
      </c>
      <c r="B2852" t="s">
        <v>2625</v>
      </c>
      <c r="C2852">
        <v>5697</v>
      </c>
      <c r="D2852" t="s">
        <v>2344</v>
      </c>
      <c r="E2852" t="s">
        <v>2036</v>
      </c>
      <c r="F2852">
        <v>202205</v>
      </c>
      <c r="G2852" t="s">
        <v>2171</v>
      </c>
      <c r="H2852">
        <v>285416.77</v>
      </c>
    </row>
    <row r="2853" spans="1:8">
      <c r="A2853">
        <v>5352</v>
      </c>
      <c r="B2853" t="s">
        <v>2625</v>
      </c>
      <c r="C2853">
        <v>5697</v>
      </c>
      <c r="D2853" t="s">
        <v>2344</v>
      </c>
      <c r="E2853" t="s">
        <v>2036</v>
      </c>
      <c r="F2853">
        <v>202205</v>
      </c>
      <c r="G2853" t="s">
        <v>190</v>
      </c>
      <c r="H2853">
        <v>90390</v>
      </c>
    </row>
    <row r="2854" spans="1:8">
      <c r="A2854">
        <v>5352</v>
      </c>
      <c r="B2854" t="s">
        <v>2625</v>
      </c>
      <c r="C2854">
        <v>5697</v>
      </c>
      <c r="D2854" t="s">
        <v>2344</v>
      </c>
      <c r="E2854" t="s">
        <v>2036</v>
      </c>
      <c r="F2854">
        <v>202205</v>
      </c>
      <c r="G2854" t="s">
        <v>191</v>
      </c>
      <c r="H2854">
        <v>11709</v>
      </c>
    </row>
    <row r="2855" spans="1:8">
      <c r="A2855">
        <v>5352</v>
      </c>
      <c r="B2855" t="s">
        <v>2625</v>
      </c>
      <c r="C2855">
        <v>5697</v>
      </c>
      <c r="D2855" t="s">
        <v>2344</v>
      </c>
      <c r="E2855" t="s">
        <v>2036</v>
      </c>
      <c r="F2855">
        <v>202205</v>
      </c>
      <c r="G2855" t="s">
        <v>176</v>
      </c>
      <c r="H2855">
        <v>0</v>
      </c>
    </row>
    <row r="2856" spans="1:8">
      <c r="A2856">
        <v>5352</v>
      </c>
      <c r="B2856" t="s">
        <v>2625</v>
      </c>
      <c r="C2856">
        <v>5697</v>
      </c>
      <c r="D2856" t="s">
        <v>2344</v>
      </c>
      <c r="E2856" t="s">
        <v>2036</v>
      </c>
      <c r="F2856">
        <v>202205</v>
      </c>
      <c r="G2856" t="s">
        <v>178</v>
      </c>
      <c r="H2856">
        <v>510</v>
      </c>
    </row>
    <row r="2857" spans="1:8">
      <c r="A2857">
        <v>5352</v>
      </c>
      <c r="B2857" t="s">
        <v>2625</v>
      </c>
      <c r="C2857">
        <v>5697</v>
      </c>
      <c r="D2857" t="s">
        <v>2344</v>
      </c>
      <c r="E2857" t="s">
        <v>2036</v>
      </c>
      <c r="F2857">
        <v>202205</v>
      </c>
      <c r="G2857" t="s">
        <v>180</v>
      </c>
      <c r="H2857">
        <v>570</v>
      </c>
    </row>
    <row r="2858" spans="1:8">
      <c r="A2858">
        <v>5352</v>
      </c>
      <c r="B2858" t="s">
        <v>2625</v>
      </c>
      <c r="C2858">
        <v>5697</v>
      </c>
      <c r="D2858" t="s">
        <v>2344</v>
      </c>
      <c r="E2858" t="s">
        <v>2036</v>
      </c>
      <c r="F2858">
        <v>202205</v>
      </c>
      <c r="G2858" t="s">
        <v>182</v>
      </c>
      <c r="H2858">
        <v>90390</v>
      </c>
    </row>
    <row r="2859" spans="1:8">
      <c r="A2859">
        <v>5352</v>
      </c>
      <c r="B2859" t="s">
        <v>2625</v>
      </c>
      <c r="C2859">
        <v>5697</v>
      </c>
      <c r="D2859" t="s">
        <v>2344</v>
      </c>
      <c r="E2859" t="s">
        <v>2036</v>
      </c>
      <c r="F2859">
        <v>202205</v>
      </c>
      <c r="G2859" t="s">
        <v>184</v>
      </c>
      <c r="H2859">
        <v>11709</v>
      </c>
    </row>
    <row r="2860" spans="1:8">
      <c r="A2860">
        <v>5352</v>
      </c>
      <c r="B2860" t="s">
        <v>2625</v>
      </c>
      <c r="C2860">
        <v>5697</v>
      </c>
      <c r="D2860" t="s">
        <v>2344</v>
      </c>
      <c r="E2860" t="s">
        <v>2036</v>
      </c>
      <c r="F2860">
        <v>202205</v>
      </c>
      <c r="G2860" t="s">
        <v>192</v>
      </c>
      <c r="H2860">
        <v>0</v>
      </c>
    </row>
    <row r="2861" spans="1:8">
      <c r="A2861">
        <v>5352</v>
      </c>
      <c r="B2861" t="s">
        <v>2625</v>
      </c>
      <c r="C2861">
        <v>5697</v>
      </c>
      <c r="D2861" t="s">
        <v>2344</v>
      </c>
      <c r="E2861" t="s">
        <v>2036</v>
      </c>
      <c r="F2861">
        <v>202205</v>
      </c>
      <c r="G2861" t="s">
        <v>2170</v>
      </c>
      <c r="H2861">
        <v>836.32</v>
      </c>
    </row>
    <row r="2862" spans="1:8">
      <c r="A2862">
        <v>5352</v>
      </c>
      <c r="B2862" t="s">
        <v>2625</v>
      </c>
      <c r="C2862">
        <v>5697</v>
      </c>
      <c r="D2862" t="s">
        <v>2344</v>
      </c>
      <c r="E2862" t="s">
        <v>2036</v>
      </c>
      <c r="F2862">
        <v>202205</v>
      </c>
      <c r="G2862" t="s">
        <v>186</v>
      </c>
      <c r="H2862">
        <v>0</v>
      </c>
    </row>
    <row r="2863" spans="1:8">
      <c r="A2863">
        <v>5352</v>
      </c>
      <c r="B2863" t="s">
        <v>2625</v>
      </c>
      <c r="C2863">
        <v>5697</v>
      </c>
      <c r="D2863" t="s">
        <v>2344</v>
      </c>
      <c r="E2863" t="s">
        <v>2036</v>
      </c>
      <c r="F2863">
        <v>202205</v>
      </c>
      <c r="G2863" t="s">
        <v>2169</v>
      </c>
      <c r="H2863">
        <v>182.65</v>
      </c>
    </row>
    <row r="2864" spans="1:8">
      <c r="A2864">
        <v>5352</v>
      </c>
      <c r="B2864" t="s">
        <v>2625</v>
      </c>
      <c r="C2864">
        <v>5697</v>
      </c>
      <c r="D2864" t="s">
        <v>2344</v>
      </c>
      <c r="E2864" t="s">
        <v>2036</v>
      </c>
      <c r="F2864">
        <v>202205</v>
      </c>
      <c r="G2864" t="s">
        <v>2166</v>
      </c>
      <c r="H2864">
        <v>11.83</v>
      </c>
    </row>
    <row r="2865" spans="1:8">
      <c r="A2865">
        <v>5352</v>
      </c>
      <c r="B2865" t="s">
        <v>2625</v>
      </c>
      <c r="C2865">
        <v>5697</v>
      </c>
      <c r="D2865" t="s">
        <v>2344</v>
      </c>
      <c r="E2865" t="s">
        <v>2036</v>
      </c>
      <c r="F2865">
        <v>202205</v>
      </c>
      <c r="G2865" t="s">
        <v>2167</v>
      </c>
      <c r="H2865">
        <v>21.22</v>
      </c>
    </row>
    <row r="2866" spans="1:8">
      <c r="A2866">
        <v>5352</v>
      </c>
      <c r="B2866" t="s">
        <v>2625</v>
      </c>
      <c r="C2866">
        <v>5697</v>
      </c>
      <c r="D2866" t="s">
        <v>2344</v>
      </c>
      <c r="E2866" t="s">
        <v>2036</v>
      </c>
      <c r="F2866">
        <v>202205</v>
      </c>
      <c r="G2866" t="s">
        <v>2168</v>
      </c>
      <c r="H2866">
        <v>14.37</v>
      </c>
    </row>
    <row r="2867" spans="1:8">
      <c r="A2867">
        <v>5352</v>
      </c>
      <c r="B2867" t="s">
        <v>2625</v>
      </c>
      <c r="C2867">
        <v>5697</v>
      </c>
      <c r="D2867" t="s">
        <v>2344</v>
      </c>
      <c r="E2867" t="s">
        <v>2036</v>
      </c>
      <c r="F2867">
        <v>202205</v>
      </c>
      <c r="G2867" t="s">
        <v>2171</v>
      </c>
      <c r="H2867">
        <v>39080.54</v>
      </c>
    </row>
    <row r="2868" spans="1:8">
      <c r="A2868">
        <v>5352</v>
      </c>
      <c r="B2868" t="s">
        <v>2625</v>
      </c>
      <c r="C2868">
        <v>5697</v>
      </c>
      <c r="D2868" t="s">
        <v>2344</v>
      </c>
      <c r="E2868" t="s">
        <v>2036</v>
      </c>
      <c r="F2868">
        <v>202205</v>
      </c>
      <c r="G2868" t="s">
        <v>190</v>
      </c>
      <c r="H2868">
        <v>84563</v>
      </c>
    </row>
    <row r="2869" spans="1:8">
      <c r="A2869">
        <v>5352</v>
      </c>
      <c r="B2869" t="s">
        <v>2625</v>
      </c>
      <c r="C2869">
        <v>5697</v>
      </c>
      <c r="D2869" t="s">
        <v>2344</v>
      </c>
      <c r="E2869" t="s">
        <v>2036</v>
      </c>
      <c r="F2869">
        <v>202205</v>
      </c>
      <c r="G2869" t="s">
        <v>191</v>
      </c>
      <c r="H2869">
        <v>11270</v>
      </c>
    </row>
    <row r="2870" spans="1:8">
      <c r="A2870">
        <v>5352</v>
      </c>
      <c r="B2870" t="s">
        <v>2625</v>
      </c>
      <c r="C2870">
        <v>5697</v>
      </c>
      <c r="D2870" t="s">
        <v>2344</v>
      </c>
      <c r="E2870" t="s">
        <v>2036</v>
      </c>
      <c r="F2870">
        <v>202205</v>
      </c>
      <c r="G2870" t="s">
        <v>176</v>
      </c>
      <c r="H2870">
        <v>0</v>
      </c>
    </row>
    <row r="2871" spans="1:8">
      <c r="A2871">
        <v>5352</v>
      </c>
      <c r="B2871" t="s">
        <v>2625</v>
      </c>
      <c r="C2871">
        <v>5697</v>
      </c>
      <c r="D2871" t="s">
        <v>2344</v>
      </c>
      <c r="E2871" t="s">
        <v>2036</v>
      </c>
      <c r="F2871">
        <v>202205</v>
      </c>
      <c r="G2871" t="s">
        <v>178</v>
      </c>
      <c r="H2871">
        <v>600</v>
      </c>
    </row>
    <row r="2872" spans="1:8">
      <c r="A2872">
        <v>5352</v>
      </c>
      <c r="B2872" t="s">
        <v>2625</v>
      </c>
      <c r="C2872">
        <v>5697</v>
      </c>
      <c r="D2872" t="s">
        <v>2344</v>
      </c>
      <c r="E2872" t="s">
        <v>2036</v>
      </c>
      <c r="F2872">
        <v>202205</v>
      </c>
      <c r="G2872" t="s">
        <v>180</v>
      </c>
      <c r="H2872">
        <v>600</v>
      </c>
    </row>
    <row r="2873" spans="1:8">
      <c r="A2873">
        <v>5352</v>
      </c>
      <c r="B2873" t="s">
        <v>2625</v>
      </c>
      <c r="C2873">
        <v>5697</v>
      </c>
      <c r="D2873" t="s">
        <v>2344</v>
      </c>
      <c r="E2873" t="s">
        <v>2036</v>
      </c>
      <c r="F2873">
        <v>202205</v>
      </c>
      <c r="G2873" t="s">
        <v>182</v>
      </c>
      <c r="H2873">
        <v>84563</v>
      </c>
    </row>
    <row r="2874" spans="1:8">
      <c r="A2874">
        <v>5352</v>
      </c>
      <c r="B2874" t="s">
        <v>2625</v>
      </c>
      <c r="C2874">
        <v>5697</v>
      </c>
      <c r="D2874" t="s">
        <v>2344</v>
      </c>
      <c r="E2874" t="s">
        <v>2036</v>
      </c>
      <c r="F2874">
        <v>202205</v>
      </c>
      <c r="G2874" t="s">
        <v>184</v>
      </c>
      <c r="H2874">
        <v>11270</v>
      </c>
    </row>
    <row r="2875" spans="1:8">
      <c r="A2875">
        <v>5352</v>
      </c>
      <c r="B2875" t="s">
        <v>2625</v>
      </c>
      <c r="C2875">
        <v>5697</v>
      </c>
      <c r="D2875" t="s">
        <v>2344</v>
      </c>
      <c r="E2875" t="s">
        <v>2036</v>
      </c>
      <c r="F2875">
        <v>202205</v>
      </c>
      <c r="G2875" t="s">
        <v>192</v>
      </c>
      <c r="H2875">
        <v>0</v>
      </c>
    </row>
    <row r="2876" spans="1:8">
      <c r="A2876">
        <v>5352</v>
      </c>
      <c r="B2876" t="s">
        <v>2625</v>
      </c>
      <c r="C2876">
        <v>5697</v>
      </c>
      <c r="D2876" t="s">
        <v>2344</v>
      </c>
      <c r="E2876" t="s">
        <v>2036</v>
      </c>
      <c r="F2876">
        <v>202205</v>
      </c>
      <c r="G2876" t="s">
        <v>2170</v>
      </c>
      <c r="H2876">
        <v>846.52</v>
      </c>
    </row>
    <row r="2877" spans="1:8">
      <c r="A2877">
        <v>5352</v>
      </c>
      <c r="B2877" t="s">
        <v>2625</v>
      </c>
      <c r="C2877">
        <v>5697</v>
      </c>
      <c r="D2877" t="s">
        <v>2344</v>
      </c>
      <c r="E2877" t="s">
        <v>2036</v>
      </c>
      <c r="F2877">
        <v>202205</v>
      </c>
      <c r="G2877" t="s">
        <v>186</v>
      </c>
      <c r="H2877">
        <v>0</v>
      </c>
    </row>
    <row r="2878" spans="1:8">
      <c r="A2878">
        <v>5352</v>
      </c>
      <c r="B2878" t="s">
        <v>2625</v>
      </c>
      <c r="C2878">
        <v>5697</v>
      </c>
      <c r="D2878" t="s">
        <v>2344</v>
      </c>
      <c r="E2878" t="s">
        <v>2036</v>
      </c>
      <c r="F2878">
        <v>202205</v>
      </c>
      <c r="G2878" t="s">
        <v>2169</v>
      </c>
      <c r="H2878">
        <v>182.65</v>
      </c>
    </row>
    <row r="2879" spans="1:8">
      <c r="A2879">
        <v>5352</v>
      </c>
      <c r="B2879" t="s">
        <v>2625</v>
      </c>
      <c r="C2879">
        <v>5697</v>
      </c>
      <c r="D2879" t="s">
        <v>2344</v>
      </c>
      <c r="E2879" t="s">
        <v>2036</v>
      </c>
      <c r="F2879">
        <v>202205</v>
      </c>
      <c r="G2879" t="s">
        <v>2166</v>
      </c>
      <c r="H2879">
        <v>11.83</v>
      </c>
    </row>
    <row r="2880" spans="1:8">
      <c r="A2880">
        <v>5352</v>
      </c>
      <c r="B2880" t="s">
        <v>2625</v>
      </c>
      <c r="C2880">
        <v>5697</v>
      </c>
      <c r="D2880" t="s">
        <v>2344</v>
      </c>
      <c r="E2880" t="s">
        <v>2036</v>
      </c>
      <c r="F2880">
        <v>202205</v>
      </c>
      <c r="G2880" t="s">
        <v>2167</v>
      </c>
      <c r="H2880">
        <v>21.22</v>
      </c>
    </row>
    <row r="2881" spans="1:8">
      <c r="A2881">
        <v>5352</v>
      </c>
      <c r="B2881" t="s">
        <v>2625</v>
      </c>
      <c r="C2881">
        <v>5697</v>
      </c>
      <c r="D2881" t="s">
        <v>2344</v>
      </c>
      <c r="E2881" t="s">
        <v>2036</v>
      </c>
      <c r="F2881">
        <v>202205</v>
      </c>
      <c r="G2881" t="s">
        <v>2168</v>
      </c>
      <c r="H2881">
        <v>14.37</v>
      </c>
    </row>
    <row r="2882" spans="1:8">
      <c r="A2882">
        <v>5352</v>
      </c>
      <c r="B2882" t="s">
        <v>2625</v>
      </c>
      <c r="C2882">
        <v>5697</v>
      </c>
      <c r="D2882" t="s">
        <v>2344</v>
      </c>
      <c r="E2882" t="s">
        <v>2036</v>
      </c>
      <c r="F2882">
        <v>202205</v>
      </c>
      <c r="G2882" t="s">
        <v>2171</v>
      </c>
      <c r="H2882">
        <v>39904.42</v>
      </c>
    </row>
    <row r="2883" spans="1:8">
      <c r="A2883">
        <v>5352</v>
      </c>
      <c r="B2883" t="s">
        <v>2625</v>
      </c>
      <c r="C2883">
        <v>5697</v>
      </c>
      <c r="D2883" t="s">
        <v>2344</v>
      </c>
      <c r="E2883" t="s">
        <v>2036</v>
      </c>
      <c r="F2883">
        <v>202205</v>
      </c>
      <c r="G2883" t="s">
        <v>190</v>
      </c>
      <c r="H2883">
        <v>182364</v>
      </c>
    </row>
    <row r="2884" spans="1:8">
      <c r="A2884">
        <v>5352</v>
      </c>
      <c r="B2884" t="s">
        <v>2625</v>
      </c>
      <c r="C2884">
        <v>5697</v>
      </c>
      <c r="D2884" t="s">
        <v>2344</v>
      </c>
      <c r="E2884" t="s">
        <v>2036</v>
      </c>
      <c r="F2884">
        <v>202205</v>
      </c>
      <c r="G2884" t="s">
        <v>191</v>
      </c>
      <c r="H2884">
        <v>24090</v>
      </c>
    </row>
    <row r="2885" spans="1:8">
      <c r="A2885">
        <v>5352</v>
      </c>
      <c r="B2885" t="s">
        <v>2625</v>
      </c>
      <c r="C2885">
        <v>5697</v>
      </c>
      <c r="D2885" t="s">
        <v>2344</v>
      </c>
      <c r="E2885" t="s">
        <v>2036</v>
      </c>
      <c r="F2885">
        <v>202205</v>
      </c>
      <c r="G2885" t="s">
        <v>176</v>
      </c>
      <c r="H2885">
        <v>0</v>
      </c>
    </row>
    <row r="2886" spans="1:8">
      <c r="A2886">
        <v>5352</v>
      </c>
      <c r="B2886" t="s">
        <v>2625</v>
      </c>
      <c r="C2886">
        <v>5697</v>
      </c>
      <c r="D2886" t="s">
        <v>2344</v>
      </c>
      <c r="E2886" t="s">
        <v>2036</v>
      </c>
      <c r="F2886">
        <v>202205</v>
      </c>
      <c r="G2886" t="s">
        <v>178</v>
      </c>
      <c r="H2886">
        <v>900</v>
      </c>
    </row>
    <row r="2887" spans="1:8">
      <c r="A2887">
        <v>5352</v>
      </c>
      <c r="B2887" t="s">
        <v>2625</v>
      </c>
      <c r="C2887">
        <v>5697</v>
      </c>
      <c r="D2887" t="s">
        <v>2344</v>
      </c>
      <c r="E2887" t="s">
        <v>2036</v>
      </c>
      <c r="F2887">
        <v>202205</v>
      </c>
      <c r="G2887" t="s">
        <v>180</v>
      </c>
      <c r="H2887">
        <v>850</v>
      </c>
    </row>
    <row r="2888" spans="1:8">
      <c r="A2888">
        <v>5352</v>
      </c>
      <c r="B2888" t="s">
        <v>2625</v>
      </c>
      <c r="C2888">
        <v>5697</v>
      </c>
      <c r="D2888" t="s">
        <v>2344</v>
      </c>
      <c r="E2888" t="s">
        <v>2036</v>
      </c>
      <c r="F2888">
        <v>202205</v>
      </c>
      <c r="G2888" t="s">
        <v>182</v>
      </c>
      <c r="H2888">
        <v>182364</v>
      </c>
    </row>
    <row r="2889" spans="1:8">
      <c r="A2889">
        <v>5352</v>
      </c>
      <c r="B2889" t="s">
        <v>2625</v>
      </c>
      <c r="C2889">
        <v>5697</v>
      </c>
      <c r="D2889" t="s">
        <v>2344</v>
      </c>
      <c r="E2889" t="s">
        <v>2036</v>
      </c>
      <c r="F2889">
        <v>202205</v>
      </c>
      <c r="G2889" t="s">
        <v>184</v>
      </c>
      <c r="H2889">
        <v>24090</v>
      </c>
    </row>
    <row r="2890" spans="1:8">
      <c r="A2890">
        <v>5352</v>
      </c>
      <c r="B2890" t="s">
        <v>2625</v>
      </c>
      <c r="C2890">
        <v>5697</v>
      </c>
      <c r="D2890" t="s">
        <v>2344</v>
      </c>
      <c r="E2890" t="s">
        <v>2036</v>
      </c>
      <c r="F2890">
        <v>202205</v>
      </c>
      <c r="G2890" t="s">
        <v>192</v>
      </c>
      <c r="H2890">
        <v>0</v>
      </c>
    </row>
    <row r="2891" spans="1:8">
      <c r="A2891">
        <v>5352</v>
      </c>
      <c r="B2891" t="s">
        <v>2625</v>
      </c>
      <c r="C2891">
        <v>5697</v>
      </c>
      <c r="D2891" t="s">
        <v>2344</v>
      </c>
      <c r="E2891" t="s">
        <v>2036</v>
      </c>
      <c r="F2891">
        <v>202205</v>
      </c>
      <c r="G2891" t="s">
        <v>2170</v>
      </c>
      <c r="H2891">
        <v>1516.74</v>
      </c>
    </row>
    <row r="2892" spans="1:8">
      <c r="A2892">
        <v>5352</v>
      </c>
      <c r="B2892" t="s">
        <v>2625</v>
      </c>
      <c r="C2892">
        <v>5697</v>
      </c>
      <c r="D2892" t="s">
        <v>2344</v>
      </c>
      <c r="E2892" t="s">
        <v>2036</v>
      </c>
      <c r="F2892">
        <v>202205</v>
      </c>
      <c r="G2892" t="s">
        <v>186</v>
      </c>
      <c r="H2892">
        <v>0</v>
      </c>
    </row>
    <row r="2893" spans="1:8">
      <c r="A2893">
        <v>5352</v>
      </c>
      <c r="B2893" t="s">
        <v>2625</v>
      </c>
      <c r="C2893">
        <v>5697</v>
      </c>
      <c r="D2893" t="s">
        <v>2344</v>
      </c>
      <c r="E2893" t="s">
        <v>2036</v>
      </c>
      <c r="F2893">
        <v>202205</v>
      </c>
      <c r="G2893" t="s">
        <v>2169</v>
      </c>
      <c r="H2893">
        <v>182.65</v>
      </c>
    </row>
    <row r="2894" spans="1:8">
      <c r="A2894">
        <v>5352</v>
      </c>
      <c r="B2894" t="s">
        <v>2625</v>
      </c>
      <c r="C2894">
        <v>5697</v>
      </c>
      <c r="D2894" t="s">
        <v>2344</v>
      </c>
      <c r="E2894" t="s">
        <v>2036</v>
      </c>
      <c r="F2894">
        <v>202205</v>
      </c>
      <c r="G2894" t="s">
        <v>2166</v>
      </c>
      <c r="H2894">
        <v>11.83</v>
      </c>
    </row>
    <row r="2895" spans="1:8">
      <c r="A2895">
        <v>5352</v>
      </c>
      <c r="B2895" t="s">
        <v>2625</v>
      </c>
      <c r="C2895">
        <v>5697</v>
      </c>
      <c r="D2895" t="s">
        <v>2344</v>
      </c>
      <c r="E2895" t="s">
        <v>2036</v>
      </c>
      <c r="F2895">
        <v>202205</v>
      </c>
      <c r="G2895" t="s">
        <v>2167</v>
      </c>
      <c r="H2895">
        <v>21.22</v>
      </c>
    </row>
    <row r="2896" spans="1:8">
      <c r="A2896">
        <v>5352</v>
      </c>
      <c r="B2896" t="s">
        <v>2625</v>
      </c>
      <c r="C2896">
        <v>5697</v>
      </c>
      <c r="D2896" t="s">
        <v>2344</v>
      </c>
      <c r="E2896" t="s">
        <v>2036</v>
      </c>
      <c r="F2896">
        <v>202205</v>
      </c>
      <c r="G2896" t="s">
        <v>2168</v>
      </c>
      <c r="H2896">
        <v>14.37</v>
      </c>
    </row>
    <row r="2897" spans="1:8">
      <c r="A2897">
        <v>5352</v>
      </c>
      <c r="B2897" t="s">
        <v>2625</v>
      </c>
      <c r="C2897">
        <v>5697</v>
      </c>
      <c r="D2897" t="s">
        <v>2344</v>
      </c>
      <c r="E2897" t="s">
        <v>2036</v>
      </c>
      <c r="F2897">
        <v>202205</v>
      </c>
      <c r="G2897" t="s">
        <v>2171</v>
      </c>
      <c r="H2897">
        <v>70876.289999999994</v>
      </c>
    </row>
    <row r="2898" spans="1:8">
      <c r="A2898">
        <v>5352</v>
      </c>
      <c r="B2898" t="s">
        <v>2625</v>
      </c>
      <c r="C2898">
        <v>5697</v>
      </c>
      <c r="D2898" t="s">
        <v>2344</v>
      </c>
      <c r="E2898" t="s">
        <v>2036</v>
      </c>
      <c r="F2898">
        <v>202205</v>
      </c>
      <c r="G2898" t="s">
        <v>190</v>
      </c>
      <c r="H2898">
        <v>203129</v>
      </c>
    </row>
    <row r="2899" spans="1:8">
      <c r="A2899">
        <v>5352</v>
      </c>
      <c r="B2899" t="s">
        <v>2625</v>
      </c>
      <c r="C2899">
        <v>5697</v>
      </c>
      <c r="D2899" t="s">
        <v>2344</v>
      </c>
      <c r="E2899" t="s">
        <v>2036</v>
      </c>
      <c r="F2899">
        <v>202205</v>
      </c>
      <c r="G2899" t="s">
        <v>191</v>
      </c>
      <c r="H2899">
        <v>27229</v>
      </c>
    </row>
    <row r="2900" spans="1:8">
      <c r="A2900">
        <v>5352</v>
      </c>
      <c r="B2900" t="s">
        <v>2625</v>
      </c>
      <c r="C2900">
        <v>5697</v>
      </c>
      <c r="D2900" t="s">
        <v>2344</v>
      </c>
      <c r="E2900" t="s">
        <v>2036</v>
      </c>
      <c r="F2900">
        <v>202205</v>
      </c>
      <c r="G2900" t="s">
        <v>176</v>
      </c>
      <c r="H2900">
        <v>0</v>
      </c>
    </row>
    <row r="2901" spans="1:8">
      <c r="A2901">
        <v>5352</v>
      </c>
      <c r="B2901" t="s">
        <v>2625</v>
      </c>
      <c r="C2901">
        <v>5697</v>
      </c>
      <c r="D2901" t="s">
        <v>2344</v>
      </c>
      <c r="E2901" t="s">
        <v>2036</v>
      </c>
      <c r="F2901">
        <v>202205</v>
      </c>
      <c r="G2901" t="s">
        <v>178</v>
      </c>
      <c r="H2901">
        <v>700</v>
      </c>
    </row>
    <row r="2902" spans="1:8">
      <c r="A2902">
        <v>5352</v>
      </c>
      <c r="B2902" t="s">
        <v>2625</v>
      </c>
      <c r="C2902">
        <v>5697</v>
      </c>
      <c r="D2902" t="s">
        <v>2344</v>
      </c>
      <c r="E2902" t="s">
        <v>2036</v>
      </c>
      <c r="F2902">
        <v>202205</v>
      </c>
      <c r="G2902" t="s">
        <v>180</v>
      </c>
      <c r="H2902">
        <v>600</v>
      </c>
    </row>
    <row r="2903" spans="1:8">
      <c r="A2903">
        <v>5352</v>
      </c>
      <c r="B2903" t="s">
        <v>2625</v>
      </c>
      <c r="C2903">
        <v>5697</v>
      </c>
      <c r="D2903" t="s">
        <v>2344</v>
      </c>
      <c r="E2903" t="s">
        <v>2036</v>
      </c>
      <c r="F2903">
        <v>202205</v>
      </c>
      <c r="G2903" t="s">
        <v>182</v>
      </c>
      <c r="H2903">
        <v>203129</v>
      </c>
    </row>
    <row r="2904" spans="1:8">
      <c r="A2904">
        <v>5352</v>
      </c>
      <c r="B2904" t="s">
        <v>2625</v>
      </c>
      <c r="C2904">
        <v>5697</v>
      </c>
      <c r="D2904" t="s">
        <v>2344</v>
      </c>
      <c r="E2904" t="s">
        <v>2036</v>
      </c>
      <c r="F2904">
        <v>202205</v>
      </c>
      <c r="G2904" t="s">
        <v>184</v>
      </c>
      <c r="H2904">
        <v>27229</v>
      </c>
    </row>
    <row r="2905" spans="1:8">
      <c r="A2905">
        <v>5352</v>
      </c>
      <c r="B2905" t="s">
        <v>2625</v>
      </c>
      <c r="C2905">
        <v>5697</v>
      </c>
      <c r="D2905" t="s">
        <v>2344</v>
      </c>
      <c r="E2905" t="s">
        <v>2036</v>
      </c>
      <c r="F2905">
        <v>202205</v>
      </c>
      <c r="G2905" t="s">
        <v>192</v>
      </c>
      <c r="H2905">
        <v>0</v>
      </c>
    </row>
    <row r="2906" spans="1:8">
      <c r="A2906">
        <v>5352</v>
      </c>
      <c r="B2906" t="s">
        <v>2625</v>
      </c>
      <c r="C2906">
        <v>5697</v>
      </c>
      <c r="D2906" t="s">
        <v>2344</v>
      </c>
      <c r="E2906" t="s">
        <v>2036</v>
      </c>
      <c r="F2906">
        <v>202205</v>
      </c>
      <c r="G2906" t="s">
        <v>2170</v>
      </c>
      <c r="H2906">
        <v>1452</v>
      </c>
    </row>
    <row r="2907" spans="1:8">
      <c r="A2907">
        <v>5352</v>
      </c>
      <c r="B2907" t="s">
        <v>2625</v>
      </c>
      <c r="C2907">
        <v>5697</v>
      </c>
      <c r="D2907" t="s">
        <v>2344</v>
      </c>
      <c r="E2907" t="s">
        <v>2036</v>
      </c>
      <c r="F2907">
        <v>202205</v>
      </c>
      <c r="G2907" t="s">
        <v>186</v>
      </c>
      <c r="H2907">
        <v>0</v>
      </c>
    </row>
    <row r="2908" spans="1:8">
      <c r="A2908">
        <v>5352</v>
      </c>
      <c r="B2908" t="s">
        <v>2625</v>
      </c>
      <c r="C2908">
        <v>5697</v>
      </c>
      <c r="D2908" t="s">
        <v>2344</v>
      </c>
      <c r="E2908" t="s">
        <v>2036</v>
      </c>
      <c r="F2908">
        <v>202205</v>
      </c>
      <c r="G2908" t="s">
        <v>2169</v>
      </c>
      <c r="H2908">
        <v>182.65</v>
      </c>
    </row>
    <row r="2909" spans="1:8">
      <c r="A2909">
        <v>5352</v>
      </c>
      <c r="B2909" t="s">
        <v>2625</v>
      </c>
      <c r="C2909">
        <v>5697</v>
      </c>
      <c r="D2909" t="s">
        <v>2344</v>
      </c>
      <c r="E2909" t="s">
        <v>2036</v>
      </c>
      <c r="F2909">
        <v>202205</v>
      </c>
      <c r="G2909" t="s">
        <v>2166</v>
      </c>
      <c r="H2909">
        <v>11.83</v>
      </c>
    </row>
    <row r="2910" spans="1:8">
      <c r="A2910">
        <v>5352</v>
      </c>
      <c r="B2910" t="s">
        <v>2625</v>
      </c>
      <c r="C2910">
        <v>5697</v>
      </c>
      <c r="D2910" t="s">
        <v>2344</v>
      </c>
      <c r="E2910" t="s">
        <v>2036</v>
      </c>
      <c r="F2910">
        <v>202205</v>
      </c>
      <c r="G2910" t="s">
        <v>2167</v>
      </c>
      <c r="H2910">
        <v>21.22</v>
      </c>
    </row>
    <row r="2911" spans="1:8">
      <c r="A2911">
        <v>5352</v>
      </c>
      <c r="B2911" t="s">
        <v>2625</v>
      </c>
      <c r="C2911">
        <v>5697</v>
      </c>
      <c r="D2911" t="s">
        <v>2344</v>
      </c>
      <c r="E2911" t="s">
        <v>2036</v>
      </c>
      <c r="F2911">
        <v>202205</v>
      </c>
      <c r="G2911" t="s">
        <v>2168</v>
      </c>
      <c r="H2911">
        <v>14.37</v>
      </c>
    </row>
    <row r="2912" spans="1:8">
      <c r="A2912">
        <v>5352</v>
      </c>
      <c r="B2912" t="s">
        <v>2625</v>
      </c>
      <c r="C2912">
        <v>5697</v>
      </c>
      <c r="D2912" t="s">
        <v>2344</v>
      </c>
      <c r="E2912" t="s">
        <v>2036</v>
      </c>
      <c r="F2912">
        <v>202205</v>
      </c>
      <c r="G2912" t="s">
        <v>2171</v>
      </c>
      <c r="H2912">
        <v>67820.12</v>
      </c>
    </row>
    <row r="2913" spans="1:8">
      <c r="A2913">
        <v>5352</v>
      </c>
      <c r="B2913" t="s">
        <v>2625</v>
      </c>
      <c r="C2913">
        <v>5697</v>
      </c>
      <c r="D2913" t="s">
        <v>2344</v>
      </c>
      <c r="E2913" t="s">
        <v>2036</v>
      </c>
      <c r="F2913">
        <v>202205</v>
      </c>
      <c r="G2913" t="s">
        <v>190</v>
      </c>
      <c r="H2913">
        <v>259781</v>
      </c>
    </row>
    <row r="2914" spans="1:8">
      <c r="A2914">
        <v>5352</v>
      </c>
      <c r="B2914" t="s">
        <v>2625</v>
      </c>
      <c r="C2914">
        <v>5697</v>
      </c>
      <c r="D2914" t="s">
        <v>2344</v>
      </c>
      <c r="E2914" t="s">
        <v>2036</v>
      </c>
      <c r="F2914">
        <v>202205</v>
      </c>
      <c r="G2914" t="s">
        <v>191</v>
      </c>
      <c r="H2914">
        <v>33729</v>
      </c>
    </row>
    <row r="2915" spans="1:8">
      <c r="A2915">
        <v>5352</v>
      </c>
      <c r="B2915" t="s">
        <v>2625</v>
      </c>
      <c r="C2915">
        <v>5697</v>
      </c>
      <c r="D2915" t="s">
        <v>2344</v>
      </c>
      <c r="E2915" t="s">
        <v>2036</v>
      </c>
      <c r="F2915">
        <v>202205</v>
      </c>
      <c r="G2915" t="s">
        <v>176</v>
      </c>
      <c r="H2915">
        <v>0</v>
      </c>
    </row>
    <row r="2916" spans="1:8">
      <c r="A2916">
        <v>5352</v>
      </c>
      <c r="B2916" t="s">
        <v>2625</v>
      </c>
      <c r="C2916">
        <v>5697</v>
      </c>
      <c r="D2916" t="s">
        <v>2344</v>
      </c>
      <c r="E2916" t="s">
        <v>2036</v>
      </c>
      <c r="F2916">
        <v>202205</v>
      </c>
      <c r="G2916" t="s">
        <v>178</v>
      </c>
      <c r="H2916">
        <v>1300</v>
      </c>
    </row>
    <row r="2917" spans="1:8">
      <c r="A2917">
        <v>5352</v>
      </c>
      <c r="B2917" t="s">
        <v>2625</v>
      </c>
      <c r="C2917">
        <v>5697</v>
      </c>
      <c r="D2917" t="s">
        <v>2344</v>
      </c>
      <c r="E2917" t="s">
        <v>2036</v>
      </c>
      <c r="F2917">
        <v>202205</v>
      </c>
      <c r="G2917" t="s">
        <v>180</v>
      </c>
      <c r="H2917">
        <v>1350</v>
      </c>
    </row>
    <row r="2918" spans="1:8">
      <c r="A2918">
        <v>5352</v>
      </c>
      <c r="B2918" t="s">
        <v>2625</v>
      </c>
      <c r="C2918">
        <v>5697</v>
      </c>
      <c r="D2918" t="s">
        <v>2344</v>
      </c>
      <c r="E2918" t="s">
        <v>2036</v>
      </c>
      <c r="F2918">
        <v>202205</v>
      </c>
      <c r="G2918" t="s">
        <v>182</v>
      </c>
      <c r="H2918">
        <v>259781</v>
      </c>
    </row>
    <row r="2919" spans="1:8">
      <c r="A2919">
        <v>5352</v>
      </c>
      <c r="B2919" t="s">
        <v>2625</v>
      </c>
      <c r="C2919">
        <v>5697</v>
      </c>
      <c r="D2919" t="s">
        <v>2344</v>
      </c>
      <c r="E2919" t="s">
        <v>2036</v>
      </c>
      <c r="F2919">
        <v>202205</v>
      </c>
      <c r="G2919" t="s">
        <v>184</v>
      </c>
      <c r="H2919">
        <v>33729</v>
      </c>
    </row>
    <row r="2920" spans="1:8">
      <c r="A2920">
        <v>5352</v>
      </c>
      <c r="B2920" t="s">
        <v>2625</v>
      </c>
      <c r="C2920">
        <v>5697</v>
      </c>
      <c r="D2920" t="s">
        <v>2344</v>
      </c>
      <c r="E2920" t="s">
        <v>2036</v>
      </c>
      <c r="F2920">
        <v>202205</v>
      </c>
      <c r="G2920" t="s">
        <v>192</v>
      </c>
      <c r="H2920">
        <v>0</v>
      </c>
    </row>
    <row r="2921" spans="1:8">
      <c r="A2921">
        <v>5352</v>
      </c>
      <c r="B2921" t="s">
        <v>2625</v>
      </c>
      <c r="C2921">
        <v>5697</v>
      </c>
      <c r="D2921" t="s">
        <v>2344</v>
      </c>
      <c r="E2921" t="s">
        <v>2036</v>
      </c>
      <c r="F2921">
        <v>202205</v>
      </c>
      <c r="G2921" t="s">
        <v>2170</v>
      </c>
      <c r="H2921">
        <v>2227.33</v>
      </c>
    </row>
    <row r="2922" spans="1:8">
      <c r="A2922">
        <v>5352</v>
      </c>
      <c r="B2922" t="s">
        <v>2625</v>
      </c>
      <c r="C2922">
        <v>5697</v>
      </c>
      <c r="D2922" t="s">
        <v>2344</v>
      </c>
      <c r="E2922" t="s">
        <v>2036</v>
      </c>
      <c r="F2922">
        <v>202205</v>
      </c>
      <c r="G2922" t="s">
        <v>186</v>
      </c>
      <c r="H2922">
        <v>0</v>
      </c>
    </row>
    <row r="2923" spans="1:8">
      <c r="A2923">
        <v>5352</v>
      </c>
      <c r="B2923" t="s">
        <v>2625</v>
      </c>
      <c r="C2923">
        <v>5697</v>
      </c>
      <c r="D2923" t="s">
        <v>2344</v>
      </c>
      <c r="E2923" t="s">
        <v>2036</v>
      </c>
      <c r="F2923">
        <v>202205</v>
      </c>
      <c r="G2923" t="s">
        <v>2169</v>
      </c>
      <c r="H2923">
        <v>182.65</v>
      </c>
    </row>
    <row r="2924" spans="1:8">
      <c r="A2924">
        <v>5352</v>
      </c>
      <c r="B2924" t="s">
        <v>2625</v>
      </c>
      <c r="C2924">
        <v>5697</v>
      </c>
      <c r="D2924" t="s">
        <v>2344</v>
      </c>
      <c r="E2924" t="s">
        <v>2036</v>
      </c>
      <c r="F2924">
        <v>202205</v>
      </c>
      <c r="G2924" t="s">
        <v>2166</v>
      </c>
      <c r="H2924">
        <v>11.83</v>
      </c>
    </row>
    <row r="2925" spans="1:8">
      <c r="A2925">
        <v>5352</v>
      </c>
      <c r="B2925" t="s">
        <v>2625</v>
      </c>
      <c r="C2925">
        <v>5697</v>
      </c>
      <c r="D2925" t="s">
        <v>2344</v>
      </c>
      <c r="E2925" t="s">
        <v>2036</v>
      </c>
      <c r="F2925">
        <v>202205</v>
      </c>
      <c r="G2925" t="s">
        <v>2167</v>
      </c>
      <c r="H2925">
        <v>21.22</v>
      </c>
    </row>
    <row r="2926" spans="1:8">
      <c r="A2926">
        <v>5352</v>
      </c>
      <c r="B2926" t="s">
        <v>2625</v>
      </c>
      <c r="C2926">
        <v>5697</v>
      </c>
      <c r="D2926" t="s">
        <v>2344</v>
      </c>
      <c r="E2926" t="s">
        <v>2036</v>
      </c>
      <c r="F2926">
        <v>202205</v>
      </c>
      <c r="G2926" t="s">
        <v>2168</v>
      </c>
      <c r="H2926">
        <v>14.37</v>
      </c>
    </row>
    <row r="2927" spans="1:8">
      <c r="A2927">
        <v>5352</v>
      </c>
      <c r="B2927" t="s">
        <v>2625</v>
      </c>
      <c r="C2927">
        <v>5697</v>
      </c>
      <c r="D2927" t="s">
        <v>2344</v>
      </c>
      <c r="E2927" t="s">
        <v>2036</v>
      </c>
      <c r="F2927">
        <v>202205</v>
      </c>
      <c r="G2927" t="s">
        <v>2171</v>
      </c>
      <c r="H2927">
        <v>104080.65</v>
      </c>
    </row>
    <row r="2928" spans="1:8">
      <c r="A2928">
        <v>5352</v>
      </c>
      <c r="B2928" t="s">
        <v>2625</v>
      </c>
      <c r="C2928">
        <v>5697</v>
      </c>
      <c r="D2928" t="s">
        <v>2344</v>
      </c>
      <c r="E2928" t="s">
        <v>2036</v>
      </c>
      <c r="F2928">
        <v>202205</v>
      </c>
      <c r="G2928" t="s">
        <v>190</v>
      </c>
      <c r="H2928">
        <v>103192</v>
      </c>
    </row>
    <row r="2929" spans="1:8">
      <c r="A2929">
        <v>5352</v>
      </c>
      <c r="B2929" t="s">
        <v>2625</v>
      </c>
      <c r="C2929">
        <v>5697</v>
      </c>
      <c r="D2929" t="s">
        <v>2344</v>
      </c>
      <c r="E2929" t="s">
        <v>2036</v>
      </c>
      <c r="F2929">
        <v>202205</v>
      </c>
      <c r="G2929" t="s">
        <v>191</v>
      </c>
      <c r="H2929">
        <v>12035</v>
      </c>
    </row>
    <row r="2930" spans="1:8">
      <c r="A2930">
        <v>5352</v>
      </c>
      <c r="B2930" t="s">
        <v>2625</v>
      </c>
      <c r="C2930">
        <v>5697</v>
      </c>
      <c r="D2930" t="s">
        <v>2344</v>
      </c>
      <c r="E2930" t="s">
        <v>2036</v>
      </c>
      <c r="F2930">
        <v>202205</v>
      </c>
      <c r="G2930" t="s">
        <v>176</v>
      </c>
      <c r="H2930">
        <v>0</v>
      </c>
    </row>
    <row r="2931" spans="1:8">
      <c r="A2931">
        <v>5352</v>
      </c>
      <c r="B2931" t="s">
        <v>2625</v>
      </c>
      <c r="C2931">
        <v>5697</v>
      </c>
      <c r="D2931" t="s">
        <v>2344</v>
      </c>
      <c r="E2931" t="s">
        <v>2036</v>
      </c>
      <c r="F2931">
        <v>202205</v>
      </c>
      <c r="G2931" t="s">
        <v>178</v>
      </c>
      <c r="H2931">
        <v>320</v>
      </c>
    </row>
    <row r="2932" spans="1:8">
      <c r="A2932">
        <v>5352</v>
      </c>
      <c r="B2932" t="s">
        <v>2625</v>
      </c>
      <c r="C2932">
        <v>5697</v>
      </c>
      <c r="D2932" t="s">
        <v>2344</v>
      </c>
      <c r="E2932" t="s">
        <v>2036</v>
      </c>
      <c r="F2932">
        <v>202205</v>
      </c>
      <c r="G2932" t="s">
        <v>180</v>
      </c>
      <c r="H2932">
        <v>320</v>
      </c>
    </row>
    <row r="2933" spans="1:8">
      <c r="A2933">
        <v>5352</v>
      </c>
      <c r="B2933" t="s">
        <v>2625</v>
      </c>
      <c r="C2933">
        <v>5697</v>
      </c>
      <c r="D2933" t="s">
        <v>2344</v>
      </c>
      <c r="E2933" t="s">
        <v>2036</v>
      </c>
      <c r="F2933">
        <v>202205</v>
      </c>
      <c r="G2933" t="s">
        <v>182</v>
      </c>
      <c r="H2933">
        <v>103192</v>
      </c>
    </row>
    <row r="2934" spans="1:8">
      <c r="A2934">
        <v>5352</v>
      </c>
      <c r="B2934" t="s">
        <v>2625</v>
      </c>
      <c r="C2934">
        <v>5697</v>
      </c>
      <c r="D2934" t="s">
        <v>2344</v>
      </c>
      <c r="E2934" t="s">
        <v>2036</v>
      </c>
      <c r="F2934">
        <v>202205</v>
      </c>
      <c r="G2934" t="s">
        <v>184</v>
      </c>
      <c r="H2934">
        <v>12035</v>
      </c>
    </row>
    <row r="2935" spans="1:8">
      <c r="A2935">
        <v>5352</v>
      </c>
      <c r="B2935" t="s">
        <v>2625</v>
      </c>
      <c r="C2935">
        <v>5697</v>
      </c>
      <c r="D2935" t="s">
        <v>2344</v>
      </c>
      <c r="E2935" t="s">
        <v>2036</v>
      </c>
      <c r="F2935">
        <v>202205</v>
      </c>
      <c r="G2935" t="s">
        <v>192</v>
      </c>
      <c r="H2935">
        <v>0</v>
      </c>
    </row>
    <row r="2936" spans="1:8">
      <c r="A2936">
        <v>5352</v>
      </c>
      <c r="B2936" t="s">
        <v>2625</v>
      </c>
      <c r="C2936">
        <v>5697</v>
      </c>
      <c r="D2936" t="s">
        <v>2344</v>
      </c>
      <c r="E2936" t="s">
        <v>2036</v>
      </c>
      <c r="F2936">
        <v>202205</v>
      </c>
      <c r="G2936" t="s">
        <v>2170</v>
      </c>
      <c r="H2936">
        <v>727.72</v>
      </c>
    </row>
    <row r="2937" spans="1:8">
      <c r="A2937">
        <v>5352</v>
      </c>
      <c r="B2937" t="s">
        <v>2625</v>
      </c>
      <c r="C2937">
        <v>5697</v>
      </c>
      <c r="D2937" t="s">
        <v>2344</v>
      </c>
      <c r="E2937" t="s">
        <v>2036</v>
      </c>
      <c r="F2937">
        <v>202205</v>
      </c>
      <c r="G2937" t="s">
        <v>186</v>
      </c>
      <c r="H2937">
        <v>0</v>
      </c>
    </row>
    <row r="2938" spans="1:8">
      <c r="A2938">
        <v>5352</v>
      </c>
      <c r="B2938" t="s">
        <v>2625</v>
      </c>
      <c r="C2938">
        <v>5697</v>
      </c>
      <c r="D2938" t="s">
        <v>2344</v>
      </c>
      <c r="E2938" t="s">
        <v>2036</v>
      </c>
      <c r="F2938">
        <v>202205</v>
      </c>
      <c r="G2938" t="s">
        <v>2169</v>
      </c>
      <c r="H2938">
        <v>182.65</v>
      </c>
    </row>
    <row r="2939" spans="1:8">
      <c r="A2939">
        <v>5352</v>
      </c>
      <c r="B2939" t="s">
        <v>2625</v>
      </c>
      <c r="C2939">
        <v>5697</v>
      </c>
      <c r="D2939" t="s">
        <v>2344</v>
      </c>
      <c r="E2939" t="s">
        <v>2036</v>
      </c>
      <c r="F2939">
        <v>202205</v>
      </c>
      <c r="G2939" t="s">
        <v>2166</v>
      </c>
      <c r="H2939">
        <v>11.83</v>
      </c>
    </row>
    <row r="2940" spans="1:8">
      <c r="A2940">
        <v>5352</v>
      </c>
      <c r="B2940" t="s">
        <v>2625</v>
      </c>
      <c r="C2940">
        <v>5697</v>
      </c>
      <c r="D2940" t="s">
        <v>2344</v>
      </c>
      <c r="E2940" t="s">
        <v>2036</v>
      </c>
      <c r="F2940">
        <v>202205</v>
      </c>
      <c r="G2940" t="s">
        <v>2167</v>
      </c>
      <c r="H2940">
        <v>21.22</v>
      </c>
    </row>
    <row r="2941" spans="1:8">
      <c r="A2941">
        <v>5352</v>
      </c>
      <c r="B2941" t="s">
        <v>2625</v>
      </c>
      <c r="C2941">
        <v>5697</v>
      </c>
      <c r="D2941" t="s">
        <v>2344</v>
      </c>
      <c r="E2941" t="s">
        <v>2036</v>
      </c>
      <c r="F2941">
        <v>202205</v>
      </c>
      <c r="G2941" t="s">
        <v>2168</v>
      </c>
      <c r="H2941">
        <v>14.37</v>
      </c>
    </row>
    <row r="2942" spans="1:8">
      <c r="A2942">
        <v>5352</v>
      </c>
      <c r="B2942" t="s">
        <v>2625</v>
      </c>
      <c r="C2942">
        <v>5697</v>
      </c>
      <c r="D2942" t="s">
        <v>2344</v>
      </c>
      <c r="E2942" t="s">
        <v>2036</v>
      </c>
      <c r="F2942">
        <v>202205</v>
      </c>
      <c r="G2942" t="s">
        <v>2171</v>
      </c>
      <c r="H2942">
        <v>34005.72</v>
      </c>
    </row>
    <row r="2943" spans="1:8">
      <c r="A2943">
        <v>5352</v>
      </c>
      <c r="B2943" t="s">
        <v>2625</v>
      </c>
      <c r="C2943">
        <v>5697</v>
      </c>
      <c r="D2943" t="s">
        <v>2344</v>
      </c>
      <c r="E2943" t="s">
        <v>2036</v>
      </c>
      <c r="F2943">
        <v>202205</v>
      </c>
      <c r="G2943" t="s">
        <v>190</v>
      </c>
      <c r="H2943">
        <v>177895</v>
      </c>
    </row>
    <row r="2944" spans="1:8">
      <c r="A2944">
        <v>5352</v>
      </c>
      <c r="B2944" t="s">
        <v>2625</v>
      </c>
      <c r="C2944">
        <v>5697</v>
      </c>
      <c r="D2944" t="s">
        <v>2344</v>
      </c>
      <c r="E2944" t="s">
        <v>2036</v>
      </c>
      <c r="F2944">
        <v>202205</v>
      </c>
      <c r="G2944" t="s">
        <v>191</v>
      </c>
      <c r="H2944">
        <v>25172</v>
      </c>
    </row>
    <row r="2945" spans="1:8">
      <c r="A2945">
        <v>5352</v>
      </c>
      <c r="B2945" t="s">
        <v>2625</v>
      </c>
      <c r="C2945">
        <v>5697</v>
      </c>
      <c r="D2945" t="s">
        <v>2344</v>
      </c>
      <c r="E2945" t="s">
        <v>2036</v>
      </c>
      <c r="F2945">
        <v>202205</v>
      </c>
      <c r="G2945" t="s">
        <v>176</v>
      </c>
      <c r="H2945">
        <v>0</v>
      </c>
    </row>
    <row r="2946" spans="1:8">
      <c r="A2946">
        <v>5352</v>
      </c>
      <c r="B2946" t="s">
        <v>2625</v>
      </c>
      <c r="C2946">
        <v>5697</v>
      </c>
      <c r="D2946" t="s">
        <v>2344</v>
      </c>
      <c r="E2946" t="s">
        <v>2036</v>
      </c>
      <c r="F2946">
        <v>202205</v>
      </c>
      <c r="G2946" t="s">
        <v>178</v>
      </c>
      <c r="H2946">
        <v>810</v>
      </c>
    </row>
    <row r="2947" spans="1:8">
      <c r="A2947">
        <v>5352</v>
      </c>
      <c r="B2947" t="s">
        <v>2625</v>
      </c>
      <c r="C2947">
        <v>5697</v>
      </c>
      <c r="D2947" t="s">
        <v>2344</v>
      </c>
      <c r="E2947" t="s">
        <v>2036</v>
      </c>
      <c r="F2947">
        <v>202205</v>
      </c>
      <c r="G2947" t="s">
        <v>180</v>
      </c>
      <c r="H2947">
        <v>930</v>
      </c>
    </row>
    <row r="2948" spans="1:8">
      <c r="A2948">
        <v>5352</v>
      </c>
      <c r="B2948" t="s">
        <v>2625</v>
      </c>
      <c r="C2948">
        <v>5697</v>
      </c>
      <c r="D2948" t="s">
        <v>2344</v>
      </c>
      <c r="E2948" t="s">
        <v>2036</v>
      </c>
      <c r="F2948">
        <v>202205</v>
      </c>
      <c r="G2948" t="s">
        <v>182</v>
      </c>
      <c r="H2948">
        <v>177895</v>
      </c>
    </row>
    <row r="2949" spans="1:8">
      <c r="A2949">
        <v>5352</v>
      </c>
      <c r="B2949" t="s">
        <v>2625</v>
      </c>
      <c r="C2949">
        <v>5697</v>
      </c>
      <c r="D2949" t="s">
        <v>2344</v>
      </c>
      <c r="E2949" t="s">
        <v>2036</v>
      </c>
      <c r="F2949">
        <v>202205</v>
      </c>
      <c r="G2949" t="s">
        <v>184</v>
      </c>
      <c r="H2949">
        <v>25172</v>
      </c>
    </row>
    <row r="2950" spans="1:8">
      <c r="A2950">
        <v>5352</v>
      </c>
      <c r="B2950" t="s">
        <v>2625</v>
      </c>
      <c r="C2950">
        <v>5697</v>
      </c>
      <c r="D2950" t="s">
        <v>2344</v>
      </c>
      <c r="E2950" t="s">
        <v>2036</v>
      </c>
      <c r="F2950">
        <v>202205</v>
      </c>
      <c r="G2950" t="s">
        <v>192</v>
      </c>
      <c r="H2950">
        <v>0</v>
      </c>
    </row>
    <row r="2951" spans="1:8">
      <c r="A2951">
        <v>5352</v>
      </c>
      <c r="B2951" t="s">
        <v>2625</v>
      </c>
      <c r="C2951">
        <v>5697</v>
      </c>
      <c r="D2951" t="s">
        <v>2344</v>
      </c>
      <c r="E2951" t="s">
        <v>2036</v>
      </c>
      <c r="F2951">
        <v>202205</v>
      </c>
      <c r="G2951" t="s">
        <v>2170</v>
      </c>
      <c r="H2951">
        <v>1516</v>
      </c>
    </row>
    <row r="2952" spans="1:8">
      <c r="A2952">
        <v>5352</v>
      </c>
      <c r="B2952" t="s">
        <v>2625</v>
      </c>
      <c r="C2952">
        <v>5697</v>
      </c>
      <c r="D2952" t="s">
        <v>2344</v>
      </c>
      <c r="E2952" t="s">
        <v>2036</v>
      </c>
      <c r="F2952">
        <v>202205</v>
      </c>
      <c r="G2952" t="s">
        <v>186</v>
      </c>
      <c r="H2952">
        <v>0</v>
      </c>
    </row>
    <row r="2953" spans="1:8">
      <c r="A2953">
        <v>5352</v>
      </c>
      <c r="B2953" t="s">
        <v>2625</v>
      </c>
      <c r="C2953">
        <v>5697</v>
      </c>
      <c r="D2953" t="s">
        <v>2344</v>
      </c>
      <c r="E2953" t="s">
        <v>2036</v>
      </c>
      <c r="F2953">
        <v>202205</v>
      </c>
      <c r="G2953" t="s">
        <v>2169</v>
      </c>
      <c r="H2953">
        <v>182.65</v>
      </c>
    </row>
    <row r="2954" spans="1:8">
      <c r="A2954">
        <v>5352</v>
      </c>
      <c r="B2954" t="s">
        <v>2625</v>
      </c>
      <c r="C2954">
        <v>5697</v>
      </c>
      <c r="D2954" t="s">
        <v>2344</v>
      </c>
      <c r="E2954" t="s">
        <v>2036</v>
      </c>
      <c r="F2954">
        <v>202205</v>
      </c>
      <c r="G2954" t="s">
        <v>2166</v>
      </c>
      <c r="H2954">
        <v>11.83</v>
      </c>
    </row>
    <row r="2955" spans="1:8">
      <c r="A2955">
        <v>5352</v>
      </c>
      <c r="B2955" t="s">
        <v>2625</v>
      </c>
      <c r="C2955">
        <v>5697</v>
      </c>
      <c r="D2955" t="s">
        <v>2344</v>
      </c>
      <c r="E2955" t="s">
        <v>2036</v>
      </c>
      <c r="F2955">
        <v>202205</v>
      </c>
      <c r="G2955" t="s">
        <v>2167</v>
      </c>
      <c r="H2955">
        <v>21.22</v>
      </c>
    </row>
    <row r="2956" spans="1:8">
      <c r="A2956">
        <v>5352</v>
      </c>
      <c r="B2956" t="s">
        <v>2625</v>
      </c>
      <c r="C2956">
        <v>5697</v>
      </c>
      <c r="D2956" t="s">
        <v>2344</v>
      </c>
      <c r="E2956" t="s">
        <v>2036</v>
      </c>
      <c r="F2956">
        <v>202205</v>
      </c>
      <c r="G2956" t="s">
        <v>2168</v>
      </c>
      <c r="H2956">
        <v>14.37</v>
      </c>
    </row>
    <row r="2957" spans="1:8">
      <c r="A2957">
        <v>5352</v>
      </c>
      <c r="B2957" t="s">
        <v>2625</v>
      </c>
      <c r="C2957">
        <v>5697</v>
      </c>
      <c r="D2957" t="s">
        <v>2344</v>
      </c>
      <c r="E2957" t="s">
        <v>2036</v>
      </c>
      <c r="F2957">
        <v>202205</v>
      </c>
      <c r="G2957" t="s">
        <v>2171</v>
      </c>
      <c r="H2957">
        <v>70841.149999999994</v>
      </c>
    </row>
    <row r="2958" spans="1:8">
      <c r="A2958">
        <v>5352</v>
      </c>
      <c r="B2958" t="s">
        <v>2625</v>
      </c>
      <c r="C2958">
        <v>5697</v>
      </c>
      <c r="D2958" t="s">
        <v>2344</v>
      </c>
      <c r="E2958" t="s">
        <v>2036</v>
      </c>
      <c r="F2958">
        <v>202205</v>
      </c>
      <c r="G2958" t="s">
        <v>190</v>
      </c>
      <c r="H2958">
        <v>154081</v>
      </c>
    </row>
    <row r="2959" spans="1:8">
      <c r="A2959">
        <v>5352</v>
      </c>
      <c r="B2959" t="s">
        <v>2625</v>
      </c>
      <c r="C2959">
        <v>5697</v>
      </c>
      <c r="D2959" t="s">
        <v>2344</v>
      </c>
      <c r="E2959" t="s">
        <v>2036</v>
      </c>
      <c r="F2959">
        <v>202205</v>
      </c>
      <c r="G2959" t="s">
        <v>191</v>
      </c>
      <c r="H2959">
        <v>17879</v>
      </c>
    </row>
    <row r="2960" spans="1:8">
      <c r="A2960">
        <v>5352</v>
      </c>
      <c r="B2960" t="s">
        <v>2625</v>
      </c>
      <c r="C2960">
        <v>5697</v>
      </c>
      <c r="D2960" t="s">
        <v>2344</v>
      </c>
      <c r="E2960" t="s">
        <v>2036</v>
      </c>
      <c r="F2960">
        <v>202205</v>
      </c>
      <c r="G2960" t="s">
        <v>176</v>
      </c>
      <c r="H2960">
        <v>0</v>
      </c>
    </row>
    <row r="2961" spans="1:8">
      <c r="A2961">
        <v>5352</v>
      </c>
      <c r="B2961" t="s">
        <v>2625</v>
      </c>
      <c r="C2961">
        <v>5697</v>
      </c>
      <c r="D2961" t="s">
        <v>2344</v>
      </c>
      <c r="E2961" t="s">
        <v>2036</v>
      </c>
      <c r="F2961">
        <v>202205</v>
      </c>
      <c r="G2961" t="s">
        <v>178</v>
      </c>
      <c r="H2961">
        <v>600</v>
      </c>
    </row>
    <row r="2962" spans="1:8">
      <c r="A2962">
        <v>5352</v>
      </c>
      <c r="B2962" t="s">
        <v>2625</v>
      </c>
      <c r="C2962">
        <v>5697</v>
      </c>
      <c r="D2962" t="s">
        <v>2344</v>
      </c>
      <c r="E2962" t="s">
        <v>2036</v>
      </c>
      <c r="F2962">
        <v>202205</v>
      </c>
      <c r="G2962" t="s">
        <v>180</v>
      </c>
      <c r="H2962">
        <v>600</v>
      </c>
    </row>
    <row r="2963" spans="1:8">
      <c r="A2963">
        <v>5352</v>
      </c>
      <c r="B2963" t="s">
        <v>2625</v>
      </c>
      <c r="C2963">
        <v>5697</v>
      </c>
      <c r="D2963" t="s">
        <v>2344</v>
      </c>
      <c r="E2963" t="s">
        <v>2036</v>
      </c>
      <c r="F2963">
        <v>202205</v>
      </c>
      <c r="G2963" t="s">
        <v>182</v>
      </c>
      <c r="H2963">
        <v>154081</v>
      </c>
    </row>
    <row r="2964" spans="1:8">
      <c r="A2964">
        <v>5352</v>
      </c>
      <c r="B2964" t="s">
        <v>2625</v>
      </c>
      <c r="C2964">
        <v>5697</v>
      </c>
      <c r="D2964" t="s">
        <v>2344</v>
      </c>
      <c r="E2964" t="s">
        <v>2036</v>
      </c>
      <c r="F2964">
        <v>202205</v>
      </c>
      <c r="G2964" t="s">
        <v>184</v>
      </c>
      <c r="H2964">
        <v>17879</v>
      </c>
    </row>
    <row r="2965" spans="1:8">
      <c r="A2965">
        <v>5352</v>
      </c>
      <c r="B2965" t="s">
        <v>2625</v>
      </c>
      <c r="C2965">
        <v>5697</v>
      </c>
      <c r="D2965" t="s">
        <v>2344</v>
      </c>
      <c r="E2965" t="s">
        <v>2036</v>
      </c>
      <c r="F2965">
        <v>202205</v>
      </c>
      <c r="G2965" t="s">
        <v>192</v>
      </c>
      <c r="H2965">
        <v>0</v>
      </c>
    </row>
    <row r="2966" spans="1:8">
      <c r="A2966">
        <v>5352</v>
      </c>
      <c r="B2966" t="s">
        <v>2625</v>
      </c>
      <c r="C2966">
        <v>5697</v>
      </c>
      <c r="D2966" t="s">
        <v>2344</v>
      </c>
      <c r="E2966" t="s">
        <v>2036</v>
      </c>
      <c r="F2966">
        <v>202205</v>
      </c>
      <c r="G2966" t="s">
        <v>2170</v>
      </c>
      <c r="H2966">
        <v>1174.52</v>
      </c>
    </row>
    <row r="2967" spans="1:8">
      <c r="A2967">
        <v>5352</v>
      </c>
      <c r="B2967" t="s">
        <v>2625</v>
      </c>
      <c r="C2967">
        <v>5697</v>
      </c>
      <c r="D2967" t="s">
        <v>2344</v>
      </c>
      <c r="E2967" t="s">
        <v>2036</v>
      </c>
      <c r="F2967">
        <v>202205</v>
      </c>
      <c r="G2967" t="s">
        <v>186</v>
      </c>
      <c r="H2967">
        <v>0</v>
      </c>
    </row>
    <row r="2968" spans="1:8">
      <c r="A2968">
        <v>5352</v>
      </c>
      <c r="B2968" t="s">
        <v>2625</v>
      </c>
      <c r="C2968">
        <v>5697</v>
      </c>
      <c r="D2968" t="s">
        <v>2344</v>
      </c>
      <c r="E2968" t="s">
        <v>2036</v>
      </c>
      <c r="F2968">
        <v>202205</v>
      </c>
      <c r="G2968" t="s">
        <v>2169</v>
      </c>
      <c r="H2968">
        <v>182.65</v>
      </c>
    </row>
    <row r="2969" spans="1:8">
      <c r="A2969">
        <v>5352</v>
      </c>
      <c r="B2969" t="s">
        <v>2625</v>
      </c>
      <c r="C2969">
        <v>5697</v>
      </c>
      <c r="D2969" t="s">
        <v>2344</v>
      </c>
      <c r="E2969" t="s">
        <v>2036</v>
      </c>
      <c r="F2969">
        <v>202205</v>
      </c>
      <c r="G2969" t="s">
        <v>2166</v>
      </c>
      <c r="H2969">
        <v>11.83</v>
      </c>
    </row>
    <row r="2970" spans="1:8">
      <c r="A2970">
        <v>5352</v>
      </c>
      <c r="B2970" t="s">
        <v>2625</v>
      </c>
      <c r="C2970">
        <v>5697</v>
      </c>
      <c r="D2970" t="s">
        <v>2344</v>
      </c>
      <c r="E2970" t="s">
        <v>2036</v>
      </c>
      <c r="F2970">
        <v>202205</v>
      </c>
      <c r="G2970" t="s">
        <v>2167</v>
      </c>
      <c r="H2970">
        <v>21.22</v>
      </c>
    </row>
    <row r="2971" spans="1:8">
      <c r="A2971">
        <v>5352</v>
      </c>
      <c r="B2971" t="s">
        <v>2625</v>
      </c>
      <c r="C2971">
        <v>5697</v>
      </c>
      <c r="D2971" t="s">
        <v>2344</v>
      </c>
      <c r="E2971" t="s">
        <v>2036</v>
      </c>
      <c r="F2971">
        <v>202205</v>
      </c>
      <c r="G2971" t="s">
        <v>2168</v>
      </c>
      <c r="H2971">
        <v>14.37</v>
      </c>
    </row>
    <row r="2972" spans="1:8">
      <c r="A2972">
        <v>5352</v>
      </c>
      <c r="B2972" t="s">
        <v>2625</v>
      </c>
      <c r="C2972">
        <v>5697</v>
      </c>
      <c r="D2972" t="s">
        <v>2344</v>
      </c>
      <c r="E2972" t="s">
        <v>2036</v>
      </c>
      <c r="F2972">
        <v>202205</v>
      </c>
      <c r="G2972" t="s">
        <v>2171</v>
      </c>
      <c r="H2972">
        <v>54884.06</v>
      </c>
    </row>
    <row r="2973" spans="1:8">
      <c r="A2973">
        <v>5352</v>
      </c>
      <c r="B2973" t="s">
        <v>2625</v>
      </c>
      <c r="C2973">
        <v>5697</v>
      </c>
      <c r="D2973" t="s">
        <v>2344</v>
      </c>
      <c r="E2973" t="s">
        <v>2036</v>
      </c>
      <c r="F2973">
        <v>202205</v>
      </c>
      <c r="G2973" t="s">
        <v>190</v>
      </c>
      <c r="H2973">
        <v>150016</v>
      </c>
    </row>
    <row r="2974" spans="1:8">
      <c r="A2974">
        <v>5352</v>
      </c>
      <c r="B2974" t="s">
        <v>2625</v>
      </c>
      <c r="C2974">
        <v>5697</v>
      </c>
      <c r="D2974" t="s">
        <v>2344</v>
      </c>
      <c r="E2974" t="s">
        <v>2036</v>
      </c>
      <c r="F2974">
        <v>202205</v>
      </c>
      <c r="G2974" t="s">
        <v>191</v>
      </c>
      <c r="H2974">
        <v>19126</v>
      </c>
    </row>
    <row r="2975" spans="1:8">
      <c r="A2975">
        <v>5352</v>
      </c>
      <c r="B2975" t="s">
        <v>2625</v>
      </c>
      <c r="C2975">
        <v>5697</v>
      </c>
      <c r="D2975" t="s">
        <v>2344</v>
      </c>
      <c r="E2975" t="s">
        <v>2036</v>
      </c>
      <c r="F2975">
        <v>202205</v>
      </c>
      <c r="G2975" t="s">
        <v>176</v>
      </c>
      <c r="H2975">
        <v>0</v>
      </c>
    </row>
    <row r="2976" spans="1:8">
      <c r="A2976">
        <v>5352</v>
      </c>
      <c r="B2976" t="s">
        <v>2625</v>
      </c>
      <c r="C2976">
        <v>5697</v>
      </c>
      <c r="D2976" t="s">
        <v>2344</v>
      </c>
      <c r="E2976" t="s">
        <v>2036</v>
      </c>
      <c r="F2976">
        <v>202205</v>
      </c>
      <c r="G2976" t="s">
        <v>178</v>
      </c>
      <c r="H2976">
        <v>480</v>
      </c>
    </row>
    <row r="2977" spans="1:8">
      <c r="A2977">
        <v>5352</v>
      </c>
      <c r="B2977" t="s">
        <v>2625</v>
      </c>
      <c r="C2977">
        <v>5697</v>
      </c>
      <c r="D2977" t="s">
        <v>2344</v>
      </c>
      <c r="E2977" t="s">
        <v>2036</v>
      </c>
      <c r="F2977">
        <v>202205</v>
      </c>
      <c r="G2977" t="s">
        <v>180</v>
      </c>
      <c r="H2977">
        <v>550</v>
      </c>
    </row>
    <row r="2978" spans="1:8">
      <c r="A2978">
        <v>5352</v>
      </c>
      <c r="B2978" t="s">
        <v>2625</v>
      </c>
      <c r="C2978">
        <v>5697</v>
      </c>
      <c r="D2978" t="s">
        <v>2344</v>
      </c>
      <c r="E2978" t="s">
        <v>2036</v>
      </c>
      <c r="F2978">
        <v>202205</v>
      </c>
      <c r="G2978" t="s">
        <v>182</v>
      </c>
      <c r="H2978">
        <v>150016</v>
      </c>
    </row>
    <row r="2979" spans="1:8">
      <c r="A2979">
        <v>5352</v>
      </c>
      <c r="B2979" t="s">
        <v>2625</v>
      </c>
      <c r="C2979">
        <v>5697</v>
      </c>
      <c r="D2979" t="s">
        <v>2344</v>
      </c>
      <c r="E2979" t="s">
        <v>2036</v>
      </c>
      <c r="F2979">
        <v>202205</v>
      </c>
      <c r="G2979" t="s">
        <v>184</v>
      </c>
      <c r="H2979">
        <v>19162</v>
      </c>
    </row>
    <row r="2980" spans="1:8">
      <c r="A2980">
        <v>5352</v>
      </c>
      <c r="B2980" t="s">
        <v>2625</v>
      </c>
      <c r="C2980">
        <v>5697</v>
      </c>
      <c r="D2980" t="s">
        <v>2344</v>
      </c>
      <c r="E2980" t="s">
        <v>2036</v>
      </c>
      <c r="F2980">
        <v>202205</v>
      </c>
      <c r="G2980" t="s">
        <v>192</v>
      </c>
      <c r="H2980">
        <v>0</v>
      </c>
    </row>
    <row r="2981" spans="1:8">
      <c r="A2981">
        <v>5352</v>
      </c>
      <c r="B2981" t="s">
        <v>2625</v>
      </c>
      <c r="C2981">
        <v>5697</v>
      </c>
      <c r="D2981" t="s">
        <v>2344</v>
      </c>
      <c r="E2981" t="s">
        <v>2036</v>
      </c>
      <c r="F2981">
        <v>202205</v>
      </c>
      <c r="G2981" t="s">
        <v>2170</v>
      </c>
      <c r="H2981">
        <v>1108.1400000000001</v>
      </c>
    </row>
    <row r="2982" spans="1:8">
      <c r="A2982">
        <v>5352</v>
      </c>
      <c r="B2982" t="s">
        <v>2625</v>
      </c>
      <c r="C2982">
        <v>5697</v>
      </c>
      <c r="D2982" t="s">
        <v>2344</v>
      </c>
      <c r="E2982" t="s">
        <v>2036</v>
      </c>
      <c r="F2982">
        <v>202205</v>
      </c>
      <c r="G2982" t="s">
        <v>186</v>
      </c>
      <c r="H2982">
        <v>0</v>
      </c>
    </row>
    <row r="2983" spans="1:8">
      <c r="A2983">
        <v>5352</v>
      </c>
      <c r="B2983" t="s">
        <v>2625</v>
      </c>
      <c r="C2983">
        <v>5697</v>
      </c>
      <c r="D2983" t="s">
        <v>2344</v>
      </c>
      <c r="E2983" t="s">
        <v>2036</v>
      </c>
      <c r="F2983">
        <v>202205</v>
      </c>
      <c r="G2983" t="s">
        <v>2169</v>
      </c>
      <c r="H2983">
        <v>182.65</v>
      </c>
    </row>
    <row r="2984" spans="1:8">
      <c r="A2984">
        <v>5352</v>
      </c>
      <c r="B2984" t="s">
        <v>2625</v>
      </c>
      <c r="C2984">
        <v>5697</v>
      </c>
      <c r="D2984" t="s">
        <v>2344</v>
      </c>
      <c r="E2984" t="s">
        <v>2036</v>
      </c>
      <c r="F2984">
        <v>202205</v>
      </c>
      <c r="G2984" t="s">
        <v>2166</v>
      </c>
      <c r="H2984">
        <v>11.83</v>
      </c>
    </row>
    <row r="2985" spans="1:8">
      <c r="A2985">
        <v>5352</v>
      </c>
      <c r="B2985" t="s">
        <v>2625</v>
      </c>
      <c r="C2985">
        <v>5697</v>
      </c>
      <c r="D2985" t="s">
        <v>2344</v>
      </c>
      <c r="E2985" t="s">
        <v>2036</v>
      </c>
      <c r="F2985">
        <v>202205</v>
      </c>
      <c r="G2985" t="s">
        <v>2167</v>
      </c>
      <c r="H2985">
        <v>21.22</v>
      </c>
    </row>
    <row r="2986" spans="1:8">
      <c r="A2986">
        <v>5352</v>
      </c>
      <c r="B2986" t="s">
        <v>2625</v>
      </c>
      <c r="C2986">
        <v>5697</v>
      </c>
      <c r="D2986" t="s">
        <v>2344</v>
      </c>
      <c r="E2986" t="s">
        <v>2036</v>
      </c>
      <c r="F2986">
        <v>202205</v>
      </c>
      <c r="G2986" t="s">
        <v>2168</v>
      </c>
      <c r="H2986">
        <v>14.37</v>
      </c>
    </row>
    <row r="2987" spans="1:8">
      <c r="A2987">
        <v>5352</v>
      </c>
      <c r="B2987" t="s">
        <v>2625</v>
      </c>
      <c r="C2987">
        <v>5697</v>
      </c>
      <c r="D2987" t="s">
        <v>2344</v>
      </c>
      <c r="E2987" t="s">
        <v>2036</v>
      </c>
      <c r="F2987">
        <v>202205</v>
      </c>
      <c r="G2987" t="s">
        <v>2171</v>
      </c>
      <c r="H2987">
        <v>51781.88</v>
      </c>
    </row>
    <row r="2988" spans="1:8">
      <c r="A2988">
        <v>5352</v>
      </c>
      <c r="B2988" t="s">
        <v>2625</v>
      </c>
      <c r="C2988">
        <v>5697</v>
      </c>
      <c r="D2988" t="s">
        <v>2344</v>
      </c>
      <c r="E2988" t="s">
        <v>2036</v>
      </c>
      <c r="F2988">
        <v>202205</v>
      </c>
      <c r="G2988" t="s">
        <v>190</v>
      </c>
      <c r="H2988">
        <v>55580</v>
      </c>
    </row>
    <row r="2989" spans="1:8">
      <c r="A2989">
        <v>5352</v>
      </c>
      <c r="B2989" t="s">
        <v>2625</v>
      </c>
      <c r="C2989">
        <v>5697</v>
      </c>
      <c r="D2989" t="s">
        <v>2344</v>
      </c>
      <c r="E2989" t="s">
        <v>2036</v>
      </c>
      <c r="F2989">
        <v>202205</v>
      </c>
      <c r="G2989" t="s">
        <v>191</v>
      </c>
      <c r="H2989">
        <v>7657</v>
      </c>
    </row>
    <row r="2990" spans="1:8">
      <c r="A2990">
        <v>5352</v>
      </c>
      <c r="B2990" t="s">
        <v>2625</v>
      </c>
      <c r="C2990">
        <v>5697</v>
      </c>
      <c r="D2990" t="s">
        <v>2344</v>
      </c>
      <c r="E2990" t="s">
        <v>2036</v>
      </c>
      <c r="F2990">
        <v>202205</v>
      </c>
      <c r="G2990" t="s">
        <v>176</v>
      </c>
      <c r="H2990">
        <v>0</v>
      </c>
    </row>
    <row r="2991" spans="1:8">
      <c r="A2991">
        <v>5352</v>
      </c>
      <c r="B2991" t="s">
        <v>2625</v>
      </c>
      <c r="C2991">
        <v>5697</v>
      </c>
      <c r="D2991" t="s">
        <v>2344</v>
      </c>
      <c r="E2991" t="s">
        <v>2036</v>
      </c>
      <c r="F2991">
        <v>202205</v>
      </c>
      <c r="G2991" t="s">
        <v>178</v>
      </c>
      <c r="H2991">
        <v>250</v>
      </c>
    </row>
    <row r="2992" spans="1:8">
      <c r="A2992">
        <v>5352</v>
      </c>
      <c r="B2992" t="s">
        <v>2625</v>
      </c>
      <c r="C2992">
        <v>5697</v>
      </c>
      <c r="D2992" t="s">
        <v>2344</v>
      </c>
      <c r="E2992" t="s">
        <v>2036</v>
      </c>
      <c r="F2992">
        <v>202205</v>
      </c>
      <c r="G2992" t="s">
        <v>180</v>
      </c>
      <c r="H2992">
        <v>250</v>
      </c>
    </row>
    <row r="2993" spans="1:8">
      <c r="A2993">
        <v>5352</v>
      </c>
      <c r="B2993" t="s">
        <v>2625</v>
      </c>
      <c r="C2993">
        <v>5697</v>
      </c>
      <c r="D2993" t="s">
        <v>2344</v>
      </c>
      <c r="E2993" t="s">
        <v>2036</v>
      </c>
      <c r="F2993">
        <v>202205</v>
      </c>
      <c r="G2993" t="s">
        <v>182</v>
      </c>
      <c r="H2993">
        <v>55580</v>
      </c>
    </row>
    <row r="2994" spans="1:8">
      <c r="A2994">
        <v>5352</v>
      </c>
      <c r="B2994" t="s">
        <v>2625</v>
      </c>
      <c r="C2994">
        <v>5697</v>
      </c>
      <c r="D2994" t="s">
        <v>2344</v>
      </c>
      <c r="E2994" t="s">
        <v>2036</v>
      </c>
      <c r="F2994">
        <v>202205</v>
      </c>
      <c r="G2994" t="s">
        <v>184</v>
      </c>
      <c r="H2994">
        <v>7657</v>
      </c>
    </row>
    <row r="2995" spans="1:8">
      <c r="A2995">
        <v>5352</v>
      </c>
      <c r="B2995" t="s">
        <v>2625</v>
      </c>
      <c r="C2995">
        <v>5697</v>
      </c>
      <c r="D2995" t="s">
        <v>2344</v>
      </c>
      <c r="E2995" t="s">
        <v>2036</v>
      </c>
      <c r="F2995">
        <v>202205</v>
      </c>
      <c r="G2995" t="s">
        <v>192</v>
      </c>
      <c r="H2995">
        <v>0</v>
      </c>
    </row>
    <row r="2996" spans="1:8">
      <c r="A2996">
        <v>5352</v>
      </c>
      <c r="B2996" t="s">
        <v>2625</v>
      </c>
      <c r="C2996">
        <v>5697</v>
      </c>
      <c r="D2996" t="s">
        <v>2344</v>
      </c>
      <c r="E2996" t="s">
        <v>2036</v>
      </c>
      <c r="F2996">
        <v>202205</v>
      </c>
      <c r="G2996" t="s">
        <v>2170</v>
      </c>
      <c r="H2996">
        <v>453.13</v>
      </c>
    </row>
    <row r="2997" spans="1:8">
      <c r="A2997">
        <v>5352</v>
      </c>
      <c r="B2997" t="s">
        <v>2625</v>
      </c>
      <c r="C2997">
        <v>5697</v>
      </c>
      <c r="D2997" t="s">
        <v>2344</v>
      </c>
      <c r="E2997" t="s">
        <v>2036</v>
      </c>
      <c r="F2997">
        <v>202205</v>
      </c>
      <c r="G2997" t="s">
        <v>186</v>
      </c>
      <c r="H2997">
        <v>0</v>
      </c>
    </row>
    <row r="2998" spans="1:8">
      <c r="A2998">
        <v>5352</v>
      </c>
      <c r="B2998" t="s">
        <v>2625</v>
      </c>
      <c r="C2998">
        <v>5697</v>
      </c>
      <c r="D2998" t="s">
        <v>2344</v>
      </c>
      <c r="E2998" t="s">
        <v>2036</v>
      </c>
      <c r="F2998">
        <v>202205</v>
      </c>
      <c r="G2998" t="s">
        <v>2169</v>
      </c>
      <c r="H2998">
        <v>182.65</v>
      </c>
    </row>
    <row r="2999" spans="1:8">
      <c r="A2999">
        <v>5352</v>
      </c>
      <c r="B2999" t="s">
        <v>2625</v>
      </c>
      <c r="C2999">
        <v>5697</v>
      </c>
      <c r="D2999" t="s">
        <v>2344</v>
      </c>
      <c r="E2999" t="s">
        <v>2036</v>
      </c>
      <c r="F2999">
        <v>202205</v>
      </c>
      <c r="G2999" t="s">
        <v>2166</v>
      </c>
      <c r="H2999">
        <v>11.83</v>
      </c>
    </row>
    <row r="3000" spans="1:8">
      <c r="A3000">
        <v>5352</v>
      </c>
      <c r="B3000" t="s">
        <v>2625</v>
      </c>
      <c r="C3000">
        <v>5697</v>
      </c>
      <c r="D3000" t="s">
        <v>2344</v>
      </c>
      <c r="E3000" t="s">
        <v>2036</v>
      </c>
      <c r="F3000">
        <v>202205</v>
      </c>
      <c r="G3000" t="s">
        <v>2167</v>
      </c>
      <c r="H3000">
        <v>21.22</v>
      </c>
    </row>
    <row r="3001" spans="1:8">
      <c r="A3001">
        <v>5352</v>
      </c>
      <c r="B3001" t="s">
        <v>2625</v>
      </c>
      <c r="C3001">
        <v>5697</v>
      </c>
      <c r="D3001" t="s">
        <v>2344</v>
      </c>
      <c r="E3001" t="s">
        <v>2036</v>
      </c>
      <c r="F3001">
        <v>202205</v>
      </c>
      <c r="G3001" t="s">
        <v>2168</v>
      </c>
      <c r="H3001">
        <v>14.37</v>
      </c>
    </row>
    <row r="3002" spans="1:8">
      <c r="A3002">
        <v>5352</v>
      </c>
      <c r="B3002" t="s">
        <v>2625</v>
      </c>
      <c r="C3002">
        <v>5697</v>
      </c>
      <c r="D3002" t="s">
        <v>2344</v>
      </c>
      <c r="E3002" t="s">
        <v>2036</v>
      </c>
      <c r="F3002">
        <v>202205</v>
      </c>
      <c r="G3002" t="s">
        <v>2171</v>
      </c>
      <c r="H3002">
        <v>25040.06</v>
      </c>
    </row>
    <row r="3003" spans="1:8">
      <c r="A3003">
        <v>5352</v>
      </c>
      <c r="B3003" t="s">
        <v>2625</v>
      </c>
      <c r="C3003">
        <v>5697</v>
      </c>
      <c r="D3003" t="s">
        <v>2344</v>
      </c>
      <c r="E3003" t="s">
        <v>2036</v>
      </c>
      <c r="F3003">
        <v>202205</v>
      </c>
      <c r="G3003" t="s">
        <v>190</v>
      </c>
      <c r="H3003">
        <v>235451</v>
      </c>
    </row>
    <row r="3004" spans="1:8">
      <c r="A3004">
        <v>5352</v>
      </c>
      <c r="B3004" t="s">
        <v>2625</v>
      </c>
      <c r="C3004">
        <v>5697</v>
      </c>
      <c r="D3004" t="s">
        <v>2344</v>
      </c>
      <c r="E3004" t="s">
        <v>2036</v>
      </c>
      <c r="F3004">
        <v>202205</v>
      </c>
      <c r="G3004" t="s">
        <v>191</v>
      </c>
      <c r="H3004">
        <v>30455</v>
      </c>
    </row>
    <row r="3005" spans="1:8">
      <c r="A3005">
        <v>5352</v>
      </c>
      <c r="B3005" t="s">
        <v>2625</v>
      </c>
      <c r="C3005">
        <v>5697</v>
      </c>
      <c r="D3005" t="s">
        <v>2344</v>
      </c>
      <c r="E3005" t="s">
        <v>2036</v>
      </c>
      <c r="F3005">
        <v>202205</v>
      </c>
      <c r="G3005" t="s">
        <v>176</v>
      </c>
      <c r="H3005">
        <v>0</v>
      </c>
    </row>
    <row r="3006" spans="1:8">
      <c r="A3006">
        <v>5352</v>
      </c>
      <c r="B3006" t="s">
        <v>2625</v>
      </c>
      <c r="C3006">
        <v>5697</v>
      </c>
      <c r="D3006" t="s">
        <v>2344</v>
      </c>
      <c r="E3006" t="s">
        <v>2036</v>
      </c>
      <c r="F3006">
        <v>202205</v>
      </c>
      <c r="G3006" t="s">
        <v>178</v>
      </c>
      <c r="H3006">
        <v>970</v>
      </c>
    </row>
    <row r="3007" spans="1:8">
      <c r="A3007">
        <v>5352</v>
      </c>
      <c r="B3007" t="s">
        <v>2625</v>
      </c>
      <c r="C3007">
        <v>5697</v>
      </c>
      <c r="D3007" t="s">
        <v>2344</v>
      </c>
      <c r="E3007" t="s">
        <v>2036</v>
      </c>
      <c r="F3007">
        <v>202205</v>
      </c>
      <c r="G3007" t="s">
        <v>180</v>
      </c>
      <c r="H3007">
        <v>970</v>
      </c>
    </row>
    <row r="3008" spans="1:8">
      <c r="A3008">
        <v>5352</v>
      </c>
      <c r="B3008" t="s">
        <v>2625</v>
      </c>
      <c r="C3008">
        <v>5697</v>
      </c>
      <c r="D3008" t="s">
        <v>2344</v>
      </c>
      <c r="E3008" t="s">
        <v>2036</v>
      </c>
      <c r="F3008">
        <v>202205</v>
      </c>
      <c r="G3008" t="s">
        <v>182</v>
      </c>
      <c r="H3008">
        <v>235451</v>
      </c>
    </row>
    <row r="3009" spans="1:8">
      <c r="A3009">
        <v>5352</v>
      </c>
      <c r="B3009" t="s">
        <v>2625</v>
      </c>
      <c r="C3009">
        <v>5697</v>
      </c>
      <c r="D3009" t="s">
        <v>2344</v>
      </c>
      <c r="E3009" t="s">
        <v>2036</v>
      </c>
      <c r="F3009">
        <v>202205</v>
      </c>
      <c r="G3009" t="s">
        <v>184</v>
      </c>
      <c r="H3009">
        <v>30455</v>
      </c>
    </row>
    <row r="3010" spans="1:8">
      <c r="A3010">
        <v>5352</v>
      </c>
      <c r="B3010" t="s">
        <v>2625</v>
      </c>
      <c r="C3010">
        <v>5697</v>
      </c>
      <c r="D3010" t="s">
        <v>2344</v>
      </c>
      <c r="E3010" t="s">
        <v>2036</v>
      </c>
      <c r="F3010">
        <v>202205</v>
      </c>
      <c r="G3010" t="s">
        <v>192</v>
      </c>
      <c r="H3010">
        <v>0</v>
      </c>
    </row>
    <row r="3011" spans="1:8">
      <c r="A3011">
        <v>5352</v>
      </c>
      <c r="B3011" t="s">
        <v>2625</v>
      </c>
      <c r="C3011">
        <v>5697</v>
      </c>
      <c r="D3011" t="s">
        <v>2344</v>
      </c>
      <c r="E3011" t="s">
        <v>2036</v>
      </c>
      <c r="F3011">
        <v>202205</v>
      </c>
      <c r="G3011" t="s">
        <v>2170</v>
      </c>
      <c r="H3011">
        <v>1846.69</v>
      </c>
    </row>
    <row r="3012" spans="1:8">
      <c r="A3012">
        <v>5352</v>
      </c>
      <c r="B3012" t="s">
        <v>2625</v>
      </c>
      <c r="C3012">
        <v>5697</v>
      </c>
      <c r="D3012" t="s">
        <v>2344</v>
      </c>
      <c r="E3012" t="s">
        <v>2036</v>
      </c>
      <c r="F3012">
        <v>202205</v>
      </c>
      <c r="G3012" t="s">
        <v>186</v>
      </c>
      <c r="H3012">
        <v>0</v>
      </c>
    </row>
    <row r="3013" spans="1:8">
      <c r="A3013">
        <v>5352</v>
      </c>
      <c r="B3013" t="s">
        <v>2625</v>
      </c>
      <c r="C3013">
        <v>5697</v>
      </c>
      <c r="D3013" t="s">
        <v>2344</v>
      </c>
      <c r="E3013" t="s">
        <v>2036</v>
      </c>
      <c r="F3013">
        <v>202205</v>
      </c>
      <c r="G3013" t="s">
        <v>2169</v>
      </c>
      <c r="H3013">
        <v>182.65</v>
      </c>
    </row>
    <row r="3014" spans="1:8">
      <c r="A3014">
        <v>5352</v>
      </c>
      <c r="B3014" t="s">
        <v>2625</v>
      </c>
      <c r="C3014">
        <v>5697</v>
      </c>
      <c r="D3014" t="s">
        <v>2344</v>
      </c>
      <c r="E3014" t="s">
        <v>2036</v>
      </c>
      <c r="F3014">
        <v>202205</v>
      </c>
      <c r="G3014" t="s">
        <v>2166</v>
      </c>
      <c r="H3014">
        <v>11.83</v>
      </c>
    </row>
    <row r="3015" spans="1:8">
      <c r="A3015">
        <v>5352</v>
      </c>
      <c r="B3015" t="s">
        <v>2625</v>
      </c>
      <c r="C3015">
        <v>5697</v>
      </c>
      <c r="D3015" t="s">
        <v>2344</v>
      </c>
      <c r="E3015" t="s">
        <v>2036</v>
      </c>
      <c r="F3015">
        <v>202205</v>
      </c>
      <c r="G3015" t="s">
        <v>2167</v>
      </c>
      <c r="H3015">
        <v>21.22</v>
      </c>
    </row>
    <row r="3016" spans="1:8">
      <c r="A3016">
        <v>5352</v>
      </c>
      <c r="B3016" t="s">
        <v>2625</v>
      </c>
      <c r="C3016">
        <v>5697</v>
      </c>
      <c r="D3016" t="s">
        <v>2344</v>
      </c>
      <c r="E3016" t="s">
        <v>2036</v>
      </c>
      <c r="F3016">
        <v>202205</v>
      </c>
      <c r="G3016" t="s">
        <v>2168</v>
      </c>
      <c r="H3016">
        <v>14.37</v>
      </c>
    </row>
    <row r="3017" spans="1:8">
      <c r="A3017">
        <v>5352</v>
      </c>
      <c r="B3017" t="s">
        <v>2625</v>
      </c>
      <c r="C3017">
        <v>5697</v>
      </c>
      <c r="D3017" t="s">
        <v>2344</v>
      </c>
      <c r="E3017" t="s">
        <v>2036</v>
      </c>
      <c r="F3017">
        <v>202205</v>
      </c>
      <c r="G3017" t="s">
        <v>2171</v>
      </c>
      <c r="H3017">
        <v>86293.97</v>
      </c>
    </row>
    <row r="3018" spans="1:8">
      <c r="A3018">
        <v>5352</v>
      </c>
      <c r="B3018" t="s">
        <v>2625</v>
      </c>
      <c r="C3018">
        <v>5697</v>
      </c>
      <c r="D3018" t="s">
        <v>2344</v>
      </c>
      <c r="E3018" t="s">
        <v>2036</v>
      </c>
      <c r="F3018">
        <v>202205</v>
      </c>
      <c r="G3018" t="s">
        <v>190</v>
      </c>
      <c r="H3018">
        <v>129306</v>
      </c>
    </row>
    <row r="3019" spans="1:8">
      <c r="A3019">
        <v>5352</v>
      </c>
      <c r="B3019" t="s">
        <v>2625</v>
      </c>
      <c r="C3019">
        <v>5697</v>
      </c>
      <c r="D3019" t="s">
        <v>2344</v>
      </c>
      <c r="E3019" t="s">
        <v>2036</v>
      </c>
      <c r="F3019">
        <v>202205</v>
      </c>
      <c r="G3019" t="s">
        <v>191</v>
      </c>
      <c r="H3019">
        <v>15459</v>
      </c>
    </row>
    <row r="3020" spans="1:8">
      <c r="A3020">
        <v>5352</v>
      </c>
      <c r="B3020" t="s">
        <v>2625</v>
      </c>
      <c r="C3020">
        <v>5697</v>
      </c>
      <c r="D3020" t="s">
        <v>2344</v>
      </c>
      <c r="E3020" t="s">
        <v>2036</v>
      </c>
      <c r="F3020">
        <v>202205</v>
      </c>
      <c r="G3020" t="s">
        <v>176</v>
      </c>
      <c r="H3020">
        <v>0</v>
      </c>
    </row>
    <row r="3021" spans="1:8">
      <c r="A3021">
        <v>5352</v>
      </c>
      <c r="B3021" t="s">
        <v>2625</v>
      </c>
      <c r="C3021">
        <v>5697</v>
      </c>
      <c r="D3021" t="s">
        <v>2344</v>
      </c>
      <c r="E3021" t="s">
        <v>2036</v>
      </c>
      <c r="F3021">
        <v>202205</v>
      </c>
      <c r="G3021" t="s">
        <v>178</v>
      </c>
      <c r="H3021">
        <v>450</v>
      </c>
    </row>
    <row r="3022" spans="1:8">
      <c r="A3022">
        <v>5352</v>
      </c>
      <c r="B3022" t="s">
        <v>2625</v>
      </c>
      <c r="C3022">
        <v>5697</v>
      </c>
      <c r="D3022" t="s">
        <v>2344</v>
      </c>
      <c r="E3022" t="s">
        <v>2036</v>
      </c>
      <c r="F3022">
        <v>202205</v>
      </c>
      <c r="G3022" t="s">
        <v>180</v>
      </c>
      <c r="H3022">
        <v>450</v>
      </c>
    </row>
    <row r="3023" spans="1:8">
      <c r="A3023">
        <v>5352</v>
      </c>
      <c r="B3023" t="s">
        <v>2625</v>
      </c>
      <c r="C3023">
        <v>5697</v>
      </c>
      <c r="D3023" t="s">
        <v>2344</v>
      </c>
      <c r="E3023" t="s">
        <v>2036</v>
      </c>
      <c r="F3023">
        <v>202205</v>
      </c>
      <c r="G3023" t="s">
        <v>182</v>
      </c>
      <c r="H3023">
        <v>129306</v>
      </c>
    </row>
    <row r="3024" spans="1:8">
      <c r="A3024">
        <v>5352</v>
      </c>
      <c r="B3024" t="s">
        <v>2625</v>
      </c>
      <c r="C3024">
        <v>5697</v>
      </c>
      <c r="D3024" t="s">
        <v>2344</v>
      </c>
      <c r="E3024" t="s">
        <v>2036</v>
      </c>
      <c r="F3024">
        <v>202205</v>
      </c>
      <c r="G3024" t="s">
        <v>184</v>
      </c>
      <c r="H3024">
        <v>15459</v>
      </c>
    </row>
    <row r="3025" spans="1:8">
      <c r="A3025">
        <v>5352</v>
      </c>
      <c r="B3025" t="s">
        <v>2625</v>
      </c>
      <c r="C3025">
        <v>5697</v>
      </c>
      <c r="D3025" t="s">
        <v>2344</v>
      </c>
      <c r="E3025" t="s">
        <v>2036</v>
      </c>
      <c r="F3025">
        <v>202205</v>
      </c>
      <c r="G3025" t="s">
        <v>192</v>
      </c>
      <c r="H3025">
        <v>0</v>
      </c>
    </row>
    <row r="3026" spans="1:8">
      <c r="A3026">
        <v>5352</v>
      </c>
      <c r="B3026" t="s">
        <v>2625</v>
      </c>
      <c r="C3026">
        <v>5697</v>
      </c>
      <c r="D3026" t="s">
        <v>2344</v>
      </c>
      <c r="E3026" t="s">
        <v>2036</v>
      </c>
      <c r="F3026">
        <v>202205</v>
      </c>
      <c r="G3026" t="s">
        <v>2170</v>
      </c>
      <c r="H3026">
        <v>948.94</v>
      </c>
    </row>
    <row r="3027" spans="1:8">
      <c r="A3027">
        <v>5352</v>
      </c>
      <c r="B3027" t="s">
        <v>2625</v>
      </c>
      <c r="C3027">
        <v>5697</v>
      </c>
      <c r="D3027" t="s">
        <v>2344</v>
      </c>
      <c r="E3027" t="s">
        <v>2036</v>
      </c>
      <c r="F3027">
        <v>202205</v>
      </c>
      <c r="G3027" t="s">
        <v>186</v>
      </c>
      <c r="H3027">
        <v>0</v>
      </c>
    </row>
    <row r="3028" spans="1:8">
      <c r="A3028">
        <v>5352</v>
      </c>
      <c r="B3028" t="s">
        <v>2625</v>
      </c>
      <c r="C3028">
        <v>5697</v>
      </c>
      <c r="D3028" t="s">
        <v>2344</v>
      </c>
      <c r="E3028" t="s">
        <v>2036</v>
      </c>
      <c r="F3028">
        <v>202205</v>
      </c>
      <c r="G3028" t="s">
        <v>2169</v>
      </c>
      <c r="H3028">
        <v>182.65</v>
      </c>
    </row>
    <row r="3029" spans="1:8">
      <c r="A3029">
        <v>5352</v>
      </c>
      <c r="B3029" t="s">
        <v>2625</v>
      </c>
      <c r="C3029">
        <v>5697</v>
      </c>
      <c r="D3029" t="s">
        <v>2344</v>
      </c>
      <c r="E3029" t="s">
        <v>2036</v>
      </c>
      <c r="F3029">
        <v>202205</v>
      </c>
      <c r="G3029" t="s">
        <v>2166</v>
      </c>
      <c r="H3029">
        <v>11.83</v>
      </c>
    </row>
    <row r="3030" spans="1:8">
      <c r="A3030">
        <v>5352</v>
      </c>
      <c r="B3030" t="s">
        <v>2625</v>
      </c>
      <c r="C3030">
        <v>5697</v>
      </c>
      <c r="D3030" t="s">
        <v>2344</v>
      </c>
      <c r="E3030" t="s">
        <v>2036</v>
      </c>
      <c r="F3030">
        <v>202205</v>
      </c>
      <c r="G3030" t="s">
        <v>2167</v>
      </c>
      <c r="H3030">
        <v>21.22</v>
      </c>
    </row>
    <row r="3031" spans="1:8">
      <c r="A3031">
        <v>5352</v>
      </c>
      <c r="B3031" t="s">
        <v>2625</v>
      </c>
      <c r="C3031">
        <v>5697</v>
      </c>
      <c r="D3031" t="s">
        <v>2344</v>
      </c>
      <c r="E3031" t="s">
        <v>2036</v>
      </c>
      <c r="F3031">
        <v>202205</v>
      </c>
      <c r="G3031" t="s">
        <v>2168</v>
      </c>
      <c r="H3031">
        <v>14.37</v>
      </c>
    </row>
    <row r="3032" spans="1:8">
      <c r="A3032">
        <v>5352</v>
      </c>
      <c r="B3032" t="s">
        <v>2625</v>
      </c>
      <c r="C3032">
        <v>5697</v>
      </c>
      <c r="D3032" t="s">
        <v>2344</v>
      </c>
      <c r="E3032" t="s">
        <v>2036</v>
      </c>
      <c r="F3032">
        <v>202205</v>
      </c>
      <c r="G3032" t="s">
        <v>2171</v>
      </c>
      <c r="H3032">
        <v>44343.02</v>
      </c>
    </row>
    <row r="3033" spans="1:8">
      <c r="A3033">
        <v>5352</v>
      </c>
      <c r="B3033" t="s">
        <v>2625</v>
      </c>
      <c r="C3033">
        <v>5697</v>
      </c>
      <c r="D3033" t="s">
        <v>2344</v>
      </c>
      <c r="E3033" t="s">
        <v>2036</v>
      </c>
      <c r="F3033">
        <v>202205</v>
      </c>
      <c r="G3033" t="s">
        <v>190</v>
      </c>
      <c r="H3033">
        <v>272341</v>
      </c>
    </row>
    <row r="3034" spans="1:8">
      <c r="A3034">
        <v>5352</v>
      </c>
      <c r="B3034" t="s">
        <v>2625</v>
      </c>
      <c r="C3034">
        <v>5697</v>
      </c>
      <c r="D3034" t="s">
        <v>2344</v>
      </c>
      <c r="E3034" t="s">
        <v>2036</v>
      </c>
      <c r="F3034">
        <v>202205</v>
      </c>
      <c r="G3034" t="s">
        <v>191</v>
      </c>
      <c r="H3034">
        <v>32396</v>
      </c>
    </row>
    <row r="3035" spans="1:8">
      <c r="A3035">
        <v>5352</v>
      </c>
      <c r="B3035" t="s">
        <v>2625</v>
      </c>
      <c r="C3035">
        <v>5697</v>
      </c>
      <c r="D3035" t="s">
        <v>2344</v>
      </c>
      <c r="E3035" t="s">
        <v>2036</v>
      </c>
      <c r="F3035">
        <v>202205</v>
      </c>
      <c r="G3035" t="s">
        <v>176</v>
      </c>
      <c r="H3035">
        <v>0</v>
      </c>
    </row>
    <row r="3036" spans="1:8">
      <c r="A3036">
        <v>5352</v>
      </c>
      <c r="B3036" t="s">
        <v>2625</v>
      </c>
      <c r="C3036">
        <v>5697</v>
      </c>
      <c r="D3036" t="s">
        <v>2344</v>
      </c>
      <c r="E3036" t="s">
        <v>2036</v>
      </c>
      <c r="F3036">
        <v>202205</v>
      </c>
      <c r="G3036" t="s">
        <v>178</v>
      </c>
      <c r="H3036">
        <v>843</v>
      </c>
    </row>
    <row r="3037" spans="1:8">
      <c r="A3037">
        <v>5352</v>
      </c>
      <c r="B3037" t="s">
        <v>2625</v>
      </c>
      <c r="C3037">
        <v>5697</v>
      </c>
      <c r="D3037" t="s">
        <v>2344</v>
      </c>
      <c r="E3037" t="s">
        <v>2036</v>
      </c>
      <c r="F3037">
        <v>202205</v>
      </c>
      <c r="G3037" t="s">
        <v>180</v>
      </c>
      <c r="H3037">
        <v>820</v>
      </c>
    </row>
    <row r="3038" spans="1:8">
      <c r="A3038">
        <v>5352</v>
      </c>
      <c r="B3038" t="s">
        <v>2625</v>
      </c>
      <c r="C3038">
        <v>5697</v>
      </c>
      <c r="D3038" t="s">
        <v>2344</v>
      </c>
      <c r="E3038" t="s">
        <v>2036</v>
      </c>
      <c r="F3038">
        <v>202205</v>
      </c>
      <c r="G3038" t="s">
        <v>182</v>
      </c>
      <c r="H3038">
        <v>272341</v>
      </c>
    </row>
    <row r="3039" spans="1:8">
      <c r="A3039">
        <v>5352</v>
      </c>
      <c r="B3039" t="s">
        <v>2625</v>
      </c>
      <c r="C3039">
        <v>5697</v>
      </c>
      <c r="D3039" t="s">
        <v>2344</v>
      </c>
      <c r="E3039" t="s">
        <v>2036</v>
      </c>
      <c r="F3039">
        <v>202205</v>
      </c>
      <c r="G3039" t="s">
        <v>184</v>
      </c>
      <c r="H3039">
        <v>32396</v>
      </c>
    </row>
    <row r="3040" spans="1:8">
      <c r="A3040">
        <v>5352</v>
      </c>
      <c r="B3040" t="s">
        <v>2625</v>
      </c>
      <c r="C3040">
        <v>5697</v>
      </c>
      <c r="D3040" t="s">
        <v>2344</v>
      </c>
      <c r="E3040" t="s">
        <v>2036</v>
      </c>
      <c r="F3040">
        <v>202205</v>
      </c>
      <c r="G3040" t="s">
        <v>192</v>
      </c>
      <c r="H3040">
        <v>0</v>
      </c>
    </row>
    <row r="3041" spans="1:8">
      <c r="A3041">
        <v>5352</v>
      </c>
      <c r="B3041" t="s">
        <v>2625</v>
      </c>
      <c r="C3041">
        <v>5697</v>
      </c>
      <c r="D3041" t="s">
        <v>2344</v>
      </c>
      <c r="E3041" t="s">
        <v>2036</v>
      </c>
      <c r="F3041">
        <v>202205</v>
      </c>
      <c r="G3041" t="s">
        <v>2170</v>
      </c>
      <c r="H3041">
        <v>1911.62</v>
      </c>
    </row>
    <row r="3042" spans="1:8">
      <c r="A3042">
        <v>5352</v>
      </c>
      <c r="B3042" t="s">
        <v>2625</v>
      </c>
      <c r="C3042">
        <v>5697</v>
      </c>
      <c r="D3042" t="s">
        <v>2344</v>
      </c>
      <c r="E3042" t="s">
        <v>2036</v>
      </c>
      <c r="F3042">
        <v>202205</v>
      </c>
      <c r="G3042" t="s">
        <v>186</v>
      </c>
      <c r="H3042">
        <v>0</v>
      </c>
    </row>
    <row r="3043" spans="1:8">
      <c r="A3043">
        <v>5352</v>
      </c>
      <c r="B3043" t="s">
        <v>2625</v>
      </c>
      <c r="C3043">
        <v>5697</v>
      </c>
      <c r="D3043" t="s">
        <v>2344</v>
      </c>
      <c r="E3043" t="s">
        <v>2036</v>
      </c>
      <c r="F3043">
        <v>202205</v>
      </c>
      <c r="G3043" t="s">
        <v>2169</v>
      </c>
      <c r="H3043">
        <v>182.65</v>
      </c>
    </row>
    <row r="3044" spans="1:8">
      <c r="A3044">
        <v>5352</v>
      </c>
      <c r="B3044" t="s">
        <v>2625</v>
      </c>
      <c r="C3044">
        <v>5697</v>
      </c>
      <c r="D3044" t="s">
        <v>2344</v>
      </c>
      <c r="E3044" t="s">
        <v>2036</v>
      </c>
      <c r="F3044">
        <v>202205</v>
      </c>
      <c r="G3044" t="s">
        <v>2166</v>
      </c>
      <c r="H3044">
        <v>11.83</v>
      </c>
    </row>
    <row r="3045" spans="1:8">
      <c r="A3045">
        <v>5352</v>
      </c>
      <c r="B3045" t="s">
        <v>2625</v>
      </c>
      <c r="C3045">
        <v>5697</v>
      </c>
      <c r="D3045" t="s">
        <v>2344</v>
      </c>
      <c r="E3045" t="s">
        <v>2036</v>
      </c>
      <c r="F3045">
        <v>202205</v>
      </c>
      <c r="G3045" t="s">
        <v>2167</v>
      </c>
      <c r="H3045">
        <v>21.22</v>
      </c>
    </row>
    <row r="3046" spans="1:8">
      <c r="A3046">
        <v>5352</v>
      </c>
      <c r="B3046" t="s">
        <v>2625</v>
      </c>
      <c r="C3046">
        <v>5697</v>
      </c>
      <c r="D3046" t="s">
        <v>2344</v>
      </c>
      <c r="E3046" t="s">
        <v>2036</v>
      </c>
      <c r="F3046">
        <v>202205</v>
      </c>
      <c r="G3046" t="s">
        <v>2168</v>
      </c>
      <c r="H3046">
        <v>14.37</v>
      </c>
    </row>
    <row r="3047" spans="1:8">
      <c r="A3047">
        <v>5352</v>
      </c>
      <c r="B3047" t="s">
        <v>2625</v>
      </c>
      <c r="C3047">
        <v>5697</v>
      </c>
      <c r="D3047" t="s">
        <v>2344</v>
      </c>
      <c r="E3047" t="s">
        <v>2036</v>
      </c>
      <c r="F3047">
        <v>202205</v>
      </c>
      <c r="G3047" t="s">
        <v>2171</v>
      </c>
      <c r="H3047">
        <v>89328.23</v>
      </c>
    </row>
    <row r="3048" spans="1:8">
      <c r="A3048">
        <v>5352</v>
      </c>
      <c r="B3048" t="s">
        <v>2625</v>
      </c>
      <c r="C3048">
        <v>5697</v>
      </c>
      <c r="D3048" t="s">
        <v>2344</v>
      </c>
      <c r="E3048" t="s">
        <v>2036</v>
      </c>
      <c r="F3048">
        <v>202206</v>
      </c>
      <c r="G3048" t="s">
        <v>190</v>
      </c>
      <c r="H3048">
        <v>487822</v>
      </c>
    </row>
    <row r="3049" spans="1:8">
      <c r="A3049">
        <v>5352</v>
      </c>
      <c r="B3049" t="s">
        <v>2625</v>
      </c>
      <c r="C3049">
        <v>5697</v>
      </c>
      <c r="D3049" t="s">
        <v>2344</v>
      </c>
      <c r="E3049" t="s">
        <v>2036</v>
      </c>
      <c r="F3049">
        <v>202206</v>
      </c>
      <c r="G3049" t="s">
        <v>191</v>
      </c>
      <c r="H3049">
        <v>72625</v>
      </c>
    </row>
    <row r="3050" spans="1:8">
      <c r="A3050">
        <v>5352</v>
      </c>
      <c r="B3050" t="s">
        <v>2625</v>
      </c>
      <c r="C3050">
        <v>5697</v>
      </c>
      <c r="D3050" t="s">
        <v>2344</v>
      </c>
      <c r="E3050" t="s">
        <v>2036</v>
      </c>
      <c r="F3050">
        <v>202206</v>
      </c>
      <c r="G3050" t="s">
        <v>176</v>
      </c>
      <c r="H3050">
        <v>-22261.360000000001</v>
      </c>
    </row>
    <row r="3051" spans="1:8">
      <c r="A3051">
        <v>5352</v>
      </c>
      <c r="B3051" t="s">
        <v>2625</v>
      </c>
      <c r="C3051">
        <v>5697</v>
      </c>
      <c r="D3051" t="s">
        <v>2344</v>
      </c>
      <c r="E3051" t="s">
        <v>2036</v>
      </c>
      <c r="F3051">
        <v>202206</v>
      </c>
      <c r="G3051" t="s">
        <v>178</v>
      </c>
      <c r="H3051">
        <v>1670</v>
      </c>
    </row>
    <row r="3052" spans="1:8">
      <c r="A3052">
        <v>5352</v>
      </c>
      <c r="B3052" t="s">
        <v>2625</v>
      </c>
      <c r="C3052">
        <v>5697</v>
      </c>
      <c r="D3052" t="s">
        <v>2344</v>
      </c>
      <c r="E3052" t="s">
        <v>2036</v>
      </c>
      <c r="F3052">
        <v>202206</v>
      </c>
      <c r="G3052" t="s">
        <v>180</v>
      </c>
      <c r="H3052">
        <v>1670</v>
      </c>
    </row>
    <row r="3053" spans="1:8">
      <c r="A3053">
        <v>5352</v>
      </c>
      <c r="B3053" t="s">
        <v>2625</v>
      </c>
      <c r="C3053">
        <v>5697</v>
      </c>
      <c r="D3053" t="s">
        <v>2344</v>
      </c>
      <c r="E3053" t="s">
        <v>2036</v>
      </c>
      <c r="F3053">
        <v>202206</v>
      </c>
      <c r="G3053" t="s">
        <v>182</v>
      </c>
      <c r="H3053">
        <v>487822</v>
      </c>
    </row>
    <row r="3054" spans="1:8">
      <c r="A3054">
        <v>5352</v>
      </c>
      <c r="B3054" t="s">
        <v>2625</v>
      </c>
      <c r="C3054">
        <v>5697</v>
      </c>
      <c r="D3054" t="s">
        <v>2344</v>
      </c>
      <c r="E3054" t="s">
        <v>2036</v>
      </c>
      <c r="F3054">
        <v>202206</v>
      </c>
      <c r="G3054" t="s">
        <v>184</v>
      </c>
      <c r="H3054">
        <v>72625</v>
      </c>
    </row>
    <row r="3055" spans="1:8">
      <c r="A3055">
        <v>5352</v>
      </c>
      <c r="B3055" t="s">
        <v>2625</v>
      </c>
      <c r="C3055">
        <v>5697</v>
      </c>
      <c r="D3055" t="s">
        <v>2344</v>
      </c>
      <c r="E3055" t="s">
        <v>2036</v>
      </c>
      <c r="F3055">
        <v>202206</v>
      </c>
      <c r="G3055" t="s">
        <v>192</v>
      </c>
      <c r="H3055">
        <v>0</v>
      </c>
    </row>
    <row r="3056" spans="1:8">
      <c r="A3056">
        <v>5352</v>
      </c>
      <c r="B3056" t="s">
        <v>2625</v>
      </c>
      <c r="C3056">
        <v>5697</v>
      </c>
      <c r="D3056" t="s">
        <v>2344</v>
      </c>
      <c r="E3056" t="s">
        <v>2036</v>
      </c>
      <c r="F3056">
        <v>202206</v>
      </c>
      <c r="G3056" t="s">
        <v>2170</v>
      </c>
      <c r="H3056">
        <v>5386.46</v>
      </c>
    </row>
    <row r="3057" spans="1:8">
      <c r="A3057">
        <v>5352</v>
      </c>
      <c r="B3057" t="s">
        <v>2625</v>
      </c>
      <c r="C3057">
        <v>5697</v>
      </c>
      <c r="D3057" t="s">
        <v>2344</v>
      </c>
      <c r="E3057" t="s">
        <v>2036</v>
      </c>
      <c r="F3057">
        <v>202206</v>
      </c>
      <c r="G3057" t="s">
        <v>186</v>
      </c>
      <c r="H3057">
        <v>0</v>
      </c>
    </row>
    <row r="3058" spans="1:8">
      <c r="A3058">
        <v>5352</v>
      </c>
      <c r="B3058" t="s">
        <v>2625</v>
      </c>
      <c r="C3058">
        <v>5697</v>
      </c>
      <c r="D3058" t="s">
        <v>2344</v>
      </c>
      <c r="E3058" t="s">
        <v>2036</v>
      </c>
      <c r="F3058">
        <v>202206</v>
      </c>
      <c r="G3058" t="s">
        <v>2169</v>
      </c>
      <c r="H3058">
        <v>182.65</v>
      </c>
    </row>
    <row r="3059" spans="1:8">
      <c r="A3059">
        <v>5352</v>
      </c>
      <c r="B3059" t="s">
        <v>2625</v>
      </c>
      <c r="C3059">
        <v>5697</v>
      </c>
      <c r="D3059" t="s">
        <v>2344</v>
      </c>
      <c r="E3059" t="s">
        <v>2036</v>
      </c>
      <c r="F3059">
        <v>202206</v>
      </c>
      <c r="G3059" t="s">
        <v>2166</v>
      </c>
      <c r="H3059">
        <v>11.83</v>
      </c>
    </row>
    <row r="3060" spans="1:8">
      <c r="A3060">
        <v>5352</v>
      </c>
      <c r="B3060" t="s">
        <v>2625</v>
      </c>
      <c r="C3060">
        <v>5697</v>
      </c>
      <c r="D3060" t="s">
        <v>2344</v>
      </c>
      <c r="E3060" t="s">
        <v>2036</v>
      </c>
      <c r="F3060">
        <v>202206</v>
      </c>
      <c r="G3060" t="s">
        <v>2167</v>
      </c>
      <c r="H3060">
        <v>21.22</v>
      </c>
    </row>
    <row r="3061" spans="1:8">
      <c r="A3061">
        <v>5352</v>
      </c>
      <c r="B3061" t="s">
        <v>2625</v>
      </c>
      <c r="C3061">
        <v>5697</v>
      </c>
      <c r="D3061" t="s">
        <v>2344</v>
      </c>
      <c r="E3061" t="s">
        <v>2036</v>
      </c>
      <c r="F3061">
        <v>202206</v>
      </c>
      <c r="G3061" t="s">
        <v>2168</v>
      </c>
      <c r="H3061">
        <v>14.37</v>
      </c>
    </row>
    <row r="3062" spans="1:8">
      <c r="A3062">
        <v>5352</v>
      </c>
      <c r="B3062" t="s">
        <v>2625</v>
      </c>
      <c r="C3062">
        <v>5697</v>
      </c>
      <c r="D3062" t="s">
        <v>2344</v>
      </c>
      <c r="E3062" t="s">
        <v>2036</v>
      </c>
      <c r="F3062">
        <v>202206</v>
      </c>
      <c r="G3062" t="s">
        <v>2171</v>
      </c>
      <c r="H3062">
        <v>148737.85</v>
      </c>
    </row>
    <row r="3063" spans="1:8">
      <c r="A3063">
        <v>5352</v>
      </c>
      <c r="B3063" t="s">
        <v>2625</v>
      </c>
      <c r="C3063">
        <v>5697</v>
      </c>
      <c r="D3063" t="s">
        <v>2344</v>
      </c>
      <c r="E3063" t="s">
        <v>2036</v>
      </c>
      <c r="F3063">
        <v>202206</v>
      </c>
      <c r="G3063" t="s">
        <v>190</v>
      </c>
      <c r="H3063">
        <v>661892</v>
      </c>
    </row>
    <row r="3064" spans="1:8">
      <c r="A3064">
        <v>5352</v>
      </c>
      <c r="B3064" t="s">
        <v>2625</v>
      </c>
      <c r="C3064">
        <v>5697</v>
      </c>
      <c r="D3064" t="s">
        <v>2344</v>
      </c>
      <c r="E3064" t="s">
        <v>2036</v>
      </c>
      <c r="F3064">
        <v>202206</v>
      </c>
      <c r="G3064" t="s">
        <v>191</v>
      </c>
      <c r="H3064">
        <v>36743</v>
      </c>
    </row>
    <row r="3065" spans="1:8">
      <c r="A3065">
        <v>5352</v>
      </c>
      <c r="B3065" t="s">
        <v>2625</v>
      </c>
      <c r="C3065">
        <v>5697</v>
      </c>
      <c r="D3065" t="s">
        <v>2344</v>
      </c>
      <c r="E3065" t="s">
        <v>2036</v>
      </c>
      <c r="F3065">
        <v>202206</v>
      </c>
      <c r="G3065" t="s">
        <v>176</v>
      </c>
      <c r="H3065">
        <v>-485.95</v>
      </c>
    </row>
    <row r="3066" spans="1:8">
      <c r="A3066">
        <v>5352</v>
      </c>
      <c r="B3066" t="s">
        <v>2625</v>
      </c>
      <c r="C3066">
        <v>5697</v>
      </c>
      <c r="D3066" t="s">
        <v>2344</v>
      </c>
      <c r="E3066" t="s">
        <v>2036</v>
      </c>
      <c r="F3066">
        <v>202206</v>
      </c>
      <c r="G3066" t="s">
        <v>178</v>
      </c>
      <c r="H3066">
        <v>1450</v>
      </c>
    </row>
    <row r="3067" spans="1:8">
      <c r="A3067">
        <v>5352</v>
      </c>
      <c r="B3067" t="s">
        <v>2625</v>
      </c>
      <c r="C3067">
        <v>5697</v>
      </c>
      <c r="D3067" t="s">
        <v>2344</v>
      </c>
      <c r="E3067" t="s">
        <v>2036</v>
      </c>
      <c r="F3067">
        <v>202206</v>
      </c>
      <c r="G3067" t="s">
        <v>180</v>
      </c>
      <c r="H3067">
        <v>1450</v>
      </c>
    </row>
    <row r="3068" spans="1:8">
      <c r="A3068">
        <v>5352</v>
      </c>
      <c r="B3068" t="s">
        <v>2625</v>
      </c>
      <c r="C3068">
        <v>5697</v>
      </c>
      <c r="D3068" t="s">
        <v>2344</v>
      </c>
      <c r="E3068" t="s">
        <v>2036</v>
      </c>
      <c r="F3068">
        <v>202206</v>
      </c>
      <c r="G3068" t="s">
        <v>182</v>
      </c>
      <c r="H3068">
        <v>661892</v>
      </c>
    </row>
    <row r="3069" spans="1:8">
      <c r="A3069">
        <v>5352</v>
      </c>
      <c r="B3069" t="s">
        <v>2625</v>
      </c>
      <c r="C3069">
        <v>5697</v>
      </c>
      <c r="D3069" t="s">
        <v>2344</v>
      </c>
      <c r="E3069" t="s">
        <v>2036</v>
      </c>
      <c r="F3069">
        <v>202206</v>
      </c>
      <c r="G3069" t="s">
        <v>184</v>
      </c>
      <c r="H3069">
        <v>36743</v>
      </c>
    </row>
    <row r="3070" spans="1:8">
      <c r="A3070">
        <v>5352</v>
      </c>
      <c r="B3070" t="s">
        <v>2625</v>
      </c>
      <c r="C3070">
        <v>5697</v>
      </c>
      <c r="D3070" t="s">
        <v>2344</v>
      </c>
      <c r="E3070" t="s">
        <v>2036</v>
      </c>
      <c r="F3070">
        <v>202206</v>
      </c>
      <c r="G3070" t="s">
        <v>192</v>
      </c>
      <c r="H3070">
        <v>0</v>
      </c>
    </row>
    <row r="3071" spans="1:8">
      <c r="A3071">
        <v>5352</v>
      </c>
      <c r="B3071" t="s">
        <v>2625</v>
      </c>
      <c r="C3071">
        <v>5697</v>
      </c>
      <c r="D3071" t="s">
        <v>2344</v>
      </c>
      <c r="E3071" t="s">
        <v>2036</v>
      </c>
      <c r="F3071">
        <v>202206</v>
      </c>
      <c r="G3071" t="s">
        <v>2170</v>
      </c>
      <c r="H3071">
        <v>6035.5</v>
      </c>
    </row>
    <row r="3072" spans="1:8">
      <c r="A3072">
        <v>5352</v>
      </c>
      <c r="B3072" t="s">
        <v>2625</v>
      </c>
      <c r="C3072">
        <v>5697</v>
      </c>
      <c r="D3072" t="s">
        <v>2344</v>
      </c>
      <c r="E3072" t="s">
        <v>2036</v>
      </c>
      <c r="F3072">
        <v>202206</v>
      </c>
      <c r="G3072" t="s">
        <v>186</v>
      </c>
      <c r="H3072">
        <v>0</v>
      </c>
    </row>
    <row r="3073" spans="1:8">
      <c r="A3073">
        <v>5352</v>
      </c>
      <c r="B3073" t="s">
        <v>2625</v>
      </c>
      <c r="C3073">
        <v>5697</v>
      </c>
      <c r="D3073" t="s">
        <v>2344</v>
      </c>
      <c r="E3073" t="s">
        <v>2036</v>
      </c>
      <c r="F3073">
        <v>202206</v>
      </c>
      <c r="G3073" t="s">
        <v>2169</v>
      </c>
      <c r="H3073">
        <v>182.65</v>
      </c>
    </row>
    <row r="3074" spans="1:8">
      <c r="A3074">
        <v>5352</v>
      </c>
      <c r="B3074" t="s">
        <v>2625</v>
      </c>
      <c r="C3074">
        <v>5697</v>
      </c>
      <c r="D3074" t="s">
        <v>2344</v>
      </c>
      <c r="E3074" t="s">
        <v>2036</v>
      </c>
      <c r="F3074">
        <v>202206</v>
      </c>
      <c r="G3074" t="s">
        <v>2166</v>
      </c>
      <c r="H3074">
        <v>11.83</v>
      </c>
    </row>
    <row r="3075" spans="1:8">
      <c r="A3075">
        <v>5352</v>
      </c>
      <c r="B3075" t="s">
        <v>2625</v>
      </c>
      <c r="C3075">
        <v>5697</v>
      </c>
      <c r="D3075" t="s">
        <v>2344</v>
      </c>
      <c r="E3075" t="s">
        <v>2036</v>
      </c>
      <c r="F3075">
        <v>202206</v>
      </c>
      <c r="G3075" t="s">
        <v>2167</v>
      </c>
      <c r="H3075">
        <v>21.22</v>
      </c>
    </row>
    <row r="3076" spans="1:8">
      <c r="A3076">
        <v>5352</v>
      </c>
      <c r="B3076" t="s">
        <v>2625</v>
      </c>
      <c r="C3076">
        <v>5697</v>
      </c>
      <c r="D3076" t="s">
        <v>2344</v>
      </c>
      <c r="E3076" t="s">
        <v>2036</v>
      </c>
      <c r="F3076">
        <v>202206</v>
      </c>
      <c r="G3076" t="s">
        <v>2168</v>
      </c>
      <c r="H3076">
        <v>14.37</v>
      </c>
    </row>
    <row r="3077" spans="1:8">
      <c r="A3077">
        <v>5352</v>
      </c>
      <c r="B3077" t="s">
        <v>2625</v>
      </c>
      <c r="C3077">
        <v>5697</v>
      </c>
      <c r="D3077" t="s">
        <v>2344</v>
      </c>
      <c r="E3077" t="s">
        <v>2036</v>
      </c>
      <c r="F3077">
        <v>202206</v>
      </c>
      <c r="G3077" t="s">
        <v>2171</v>
      </c>
      <c r="H3077">
        <v>191117.09</v>
      </c>
    </row>
    <row r="3078" spans="1:8">
      <c r="A3078">
        <v>5352</v>
      </c>
      <c r="B3078" t="s">
        <v>2625</v>
      </c>
      <c r="C3078">
        <v>5697</v>
      </c>
      <c r="D3078" t="s">
        <v>2344</v>
      </c>
      <c r="E3078" t="s">
        <v>2036</v>
      </c>
      <c r="F3078">
        <v>202206</v>
      </c>
      <c r="G3078" t="s">
        <v>190</v>
      </c>
      <c r="H3078">
        <v>802781</v>
      </c>
    </row>
    <row r="3079" spans="1:8">
      <c r="A3079">
        <v>5352</v>
      </c>
      <c r="B3079" t="s">
        <v>2625</v>
      </c>
      <c r="C3079">
        <v>5697</v>
      </c>
      <c r="D3079" t="s">
        <v>2344</v>
      </c>
      <c r="E3079" t="s">
        <v>2036</v>
      </c>
      <c r="F3079">
        <v>202206</v>
      </c>
      <c r="G3079" t="s">
        <v>191</v>
      </c>
      <c r="H3079">
        <v>132576</v>
      </c>
    </row>
    <row r="3080" spans="1:8">
      <c r="A3080">
        <v>5352</v>
      </c>
      <c r="B3080" t="s">
        <v>2625</v>
      </c>
      <c r="C3080">
        <v>5697</v>
      </c>
      <c r="D3080" t="s">
        <v>2344</v>
      </c>
      <c r="E3080" t="s">
        <v>2036</v>
      </c>
      <c r="F3080">
        <v>202206</v>
      </c>
      <c r="G3080" t="s">
        <v>176</v>
      </c>
      <c r="H3080">
        <v>0</v>
      </c>
    </row>
    <row r="3081" spans="1:8">
      <c r="A3081">
        <v>5352</v>
      </c>
      <c r="B3081" t="s">
        <v>2625</v>
      </c>
      <c r="C3081">
        <v>5697</v>
      </c>
      <c r="D3081" t="s">
        <v>2344</v>
      </c>
      <c r="E3081" t="s">
        <v>2036</v>
      </c>
      <c r="F3081">
        <v>202206</v>
      </c>
      <c r="G3081" t="s">
        <v>178</v>
      </c>
      <c r="H3081">
        <v>2750</v>
      </c>
    </row>
    <row r="3082" spans="1:8">
      <c r="A3082">
        <v>5352</v>
      </c>
      <c r="B3082" t="s">
        <v>2625</v>
      </c>
      <c r="C3082">
        <v>5697</v>
      </c>
      <c r="D3082" t="s">
        <v>2344</v>
      </c>
      <c r="E3082" t="s">
        <v>2036</v>
      </c>
      <c r="F3082">
        <v>202206</v>
      </c>
      <c r="G3082" t="s">
        <v>180</v>
      </c>
      <c r="H3082">
        <v>2750</v>
      </c>
    </row>
    <row r="3083" spans="1:8">
      <c r="A3083">
        <v>5352</v>
      </c>
      <c r="B3083" t="s">
        <v>2625</v>
      </c>
      <c r="C3083">
        <v>5697</v>
      </c>
      <c r="D3083" t="s">
        <v>2344</v>
      </c>
      <c r="E3083" t="s">
        <v>2036</v>
      </c>
      <c r="F3083">
        <v>202206</v>
      </c>
      <c r="G3083" t="s">
        <v>182</v>
      </c>
      <c r="H3083">
        <v>874968</v>
      </c>
    </row>
    <row r="3084" spans="1:8">
      <c r="A3084">
        <v>5352</v>
      </c>
      <c r="B3084" t="s">
        <v>2625</v>
      </c>
      <c r="C3084">
        <v>5697</v>
      </c>
      <c r="D3084" t="s">
        <v>2344</v>
      </c>
      <c r="E3084" t="s">
        <v>2036</v>
      </c>
      <c r="F3084">
        <v>202206</v>
      </c>
      <c r="G3084" t="s">
        <v>184</v>
      </c>
      <c r="H3084">
        <v>132576</v>
      </c>
    </row>
    <row r="3085" spans="1:8">
      <c r="A3085">
        <v>5352</v>
      </c>
      <c r="B3085" t="s">
        <v>2625</v>
      </c>
      <c r="C3085">
        <v>5697</v>
      </c>
      <c r="D3085" t="s">
        <v>2344</v>
      </c>
      <c r="E3085" t="s">
        <v>2036</v>
      </c>
      <c r="F3085">
        <v>202206</v>
      </c>
      <c r="G3085" t="s">
        <v>192</v>
      </c>
      <c r="H3085">
        <v>0</v>
      </c>
    </row>
    <row r="3086" spans="1:8">
      <c r="A3086">
        <v>5352</v>
      </c>
      <c r="B3086" t="s">
        <v>2625</v>
      </c>
      <c r="C3086">
        <v>5697</v>
      </c>
      <c r="D3086" t="s">
        <v>2344</v>
      </c>
      <c r="E3086" t="s">
        <v>2036</v>
      </c>
      <c r="F3086">
        <v>202206</v>
      </c>
      <c r="G3086" t="s">
        <v>2170</v>
      </c>
      <c r="H3086">
        <v>8983.57</v>
      </c>
    </row>
    <row r="3087" spans="1:8">
      <c r="A3087">
        <v>5352</v>
      </c>
      <c r="B3087" t="s">
        <v>2625</v>
      </c>
      <c r="C3087">
        <v>5697</v>
      </c>
      <c r="D3087" t="s">
        <v>2344</v>
      </c>
      <c r="E3087" t="s">
        <v>2036</v>
      </c>
      <c r="F3087">
        <v>202206</v>
      </c>
      <c r="G3087" t="s">
        <v>186</v>
      </c>
      <c r="H3087">
        <v>72187</v>
      </c>
    </row>
    <row r="3088" spans="1:8">
      <c r="A3088">
        <v>5352</v>
      </c>
      <c r="B3088" t="s">
        <v>2625</v>
      </c>
      <c r="C3088">
        <v>5697</v>
      </c>
      <c r="D3088" t="s">
        <v>2344</v>
      </c>
      <c r="E3088" t="s">
        <v>2036</v>
      </c>
      <c r="F3088">
        <v>202206</v>
      </c>
      <c r="G3088" t="s">
        <v>2169</v>
      </c>
      <c r="H3088">
        <v>182.65</v>
      </c>
    </row>
    <row r="3089" spans="1:8">
      <c r="A3089">
        <v>5352</v>
      </c>
      <c r="B3089" t="s">
        <v>2625</v>
      </c>
      <c r="C3089">
        <v>5697</v>
      </c>
      <c r="D3089" t="s">
        <v>2344</v>
      </c>
      <c r="E3089" t="s">
        <v>2036</v>
      </c>
      <c r="F3089">
        <v>202206</v>
      </c>
      <c r="G3089" t="s">
        <v>2166</v>
      </c>
      <c r="H3089">
        <v>11.83</v>
      </c>
    </row>
    <row r="3090" spans="1:8">
      <c r="A3090">
        <v>5352</v>
      </c>
      <c r="B3090" t="s">
        <v>2625</v>
      </c>
      <c r="C3090">
        <v>5697</v>
      </c>
      <c r="D3090" t="s">
        <v>2344</v>
      </c>
      <c r="E3090" t="s">
        <v>2036</v>
      </c>
      <c r="F3090">
        <v>202206</v>
      </c>
      <c r="G3090" t="s">
        <v>2167</v>
      </c>
      <c r="H3090">
        <v>21.22</v>
      </c>
    </row>
    <row r="3091" spans="1:8">
      <c r="A3091">
        <v>5352</v>
      </c>
      <c r="B3091" t="s">
        <v>2625</v>
      </c>
      <c r="C3091">
        <v>5697</v>
      </c>
      <c r="D3091" t="s">
        <v>2344</v>
      </c>
      <c r="E3091" t="s">
        <v>2036</v>
      </c>
      <c r="F3091">
        <v>202206</v>
      </c>
      <c r="G3091" t="s">
        <v>2168</v>
      </c>
      <c r="H3091">
        <v>14.37</v>
      </c>
    </row>
    <row r="3092" spans="1:8">
      <c r="A3092">
        <v>5352</v>
      </c>
      <c r="B3092" t="s">
        <v>2625</v>
      </c>
      <c r="C3092">
        <v>5697</v>
      </c>
      <c r="D3092" t="s">
        <v>2344</v>
      </c>
      <c r="E3092" t="s">
        <v>2036</v>
      </c>
      <c r="F3092">
        <v>202206</v>
      </c>
      <c r="G3092" t="s">
        <v>2171</v>
      </c>
      <c r="H3092">
        <v>285192.40999999997</v>
      </c>
    </row>
    <row r="3093" spans="1:8">
      <c r="A3093">
        <v>5352</v>
      </c>
      <c r="B3093" t="s">
        <v>2625</v>
      </c>
      <c r="C3093">
        <v>5697</v>
      </c>
      <c r="D3093" t="s">
        <v>2344</v>
      </c>
      <c r="E3093" t="s">
        <v>2036</v>
      </c>
      <c r="F3093">
        <v>202206</v>
      </c>
      <c r="G3093" t="s">
        <v>190</v>
      </c>
      <c r="H3093">
        <v>129662</v>
      </c>
    </row>
    <row r="3094" spans="1:8">
      <c r="A3094">
        <v>5352</v>
      </c>
      <c r="B3094" t="s">
        <v>2625</v>
      </c>
      <c r="C3094">
        <v>5697</v>
      </c>
      <c r="D3094" t="s">
        <v>2344</v>
      </c>
      <c r="E3094" t="s">
        <v>2036</v>
      </c>
      <c r="F3094">
        <v>202206</v>
      </c>
      <c r="G3094" t="s">
        <v>191</v>
      </c>
      <c r="H3094">
        <v>17372</v>
      </c>
    </row>
    <row r="3095" spans="1:8">
      <c r="A3095">
        <v>5352</v>
      </c>
      <c r="B3095" t="s">
        <v>2625</v>
      </c>
      <c r="C3095">
        <v>5697</v>
      </c>
      <c r="D3095" t="s">
        <v>2344</v>
      </c>
      <c r="E3095" t="s">
        <v>2036</v>
      </c>
      <c r="F3095">
        <v>202206</v>
      </c>
      <c r="G3095" t="s">
        <v>176</v>
      </c>
      <c r="H3095">
        <v>-2508.44</v>
      </c>
    </row>
    <row r="3096" spans="1:8">
      <c r="A3096">
        <v>5352</v>
      </c>
      <c r="B3096" t="s">
        <v>2625</v>
      </c>
      <c r="C3096">
        <v>5697</v>
      </c>
      <c r="D3096" t="s">
        <v>2344</v>
      </c>
      <c r="E3096" t="s">
        <v>2036</v>
      </c>
      <c r="F3096">
        <v>202206</v>
      </c>
      <c r="G3096" t="s">
        <v>178</v>
      </c>
      <c r="H3096">
        <v>450</v>
      </c>
    </row>
    <row r="3097" spans="1:8">
      <c r="A3097">
        <v>5352</v>
      </c>
      <c r="B3097" t="s">
        <v>2625</v>
      </c>
      <c r="C3097">
        <v>5697</v>
      </c>
      <c r="D3097" t="s">
        <v>2344</v>
      </c>
      <c r="E3097" t="s">
        <v>2036</v>
      </c>
      <c r="F3097">
        <v>202206</v>
      </c>
      <c r="G3097" t="s">
        <v>180</v>
      </c>
      <c r="H3097">
        <v>450</v>
      </c>
    </row>
    <row r="3098" spans="1:8">
      <c r="A3098">
        <v>5352</v>
      </c>
      <c r="B3098" t="s">
        <v>2625</v>
      </c>
      <c r="C3098">
        <v>5697</v>
      </c>
      <c r="D3098" t="s">
        <v>2344</v>
      </c>
      <c r="E3098" t="s">
        <v>2036</v>
      </c>
      <c r="F3098">
        <v>202206</v>
      </c>
      <c r="G3098" t="s">
        <v>182</v>
      </c>
      <c r="H3098">
        <v>129662</v>
      </c>
    </row>
    <row r="3099" spans="1:8">
      <c r="A3099">
        <v>5352</v>
      </c>
      <c r="B3099" t="s">
        <v>2625</v>
      </c>
      <c r="C3099">
        <v>5697</v>
      </c>
      <c r="D3099" t="s">
        <v>2344</v>
      </c>
      <c r="E3099" t="s">
        <v>2036</v>
      </c>
      <c r="F3099">
        <v>202206</v>
      </c>
      <c r="G3099" t="s">
        <v>184</v>
      </c>
      <c r="H3099">
        <v>17372</v>
      </c>
    </row>
    <row r="3100" spans="1:8">
      <c r="A3100">
        <v>5352</v>
      </c>
      <c r="B3100" t="s">
        <v>2625</v>
      </c>
      <c r="C3100">
        <v>5697</v>
      </c>
      <c r="D3100" t="s">
        <v>2344</v>
      </c>
      <c r="E3100" t="s">
        <v>2036</v>
      </c>
      <c r="F3100">
        <v>202206</v>
      </c>
      <c r="G3100" t="s">
        <v>192</v>
      </c>
      <c r="H3100">
        <v>0</v>
      </c>
    </row>
    <row r="3101" spans="1:8">
      <c r="A3101">
        <v>5352</v>
      </c>
      <c r="B3101" t="s">
        <v>2625</v>
      </c>
      <c r="C3101">
        <v>5697</v>
      </c>
      <c r="D3101" t="s">
        <v>2344</v>
      </c>
      <c r="E3101" t="s">
        <v>2036</v>
      </c>
      <c r="F3101">
        <v>202206</v>
      </c>
      <c r="G3101" t="s">
        <v>2170</v>
      </c>
      <c r="H3101">
        <v>1425.9</v>
      </c>
    </row>
    <row r="3102" spans="1:8">
      <c r="A3102">
        <v>5352</v>
      </c>
      <c r="B3102" t="s">
        <v>2625</v>
      </c>
      <c r="C3102">
        <v>5697</v>
      </c>
      <c r="D3102" t="s">
        <v>2344</v>
      </c>
      <c r="E3102" t="s">
        <v>2036</v>
      </c>
      <c r="F3102">
        <v>202206</v>
      </c>
      <c r="G3102" t="s">
        <v>186</v>
      </c>
      <c r="H3102">
        <v>0</v>
      </c>
    </row>
    <row r="3103" spans="1:8">
      <c r="A3103">
        <v>5352</v>
      </c>
      <c r="B3103" t="s">
        <v>2625</v>
      </c>
      <c r="C3103">
        <v>5697</v>
      </c>
      <c r="D3103" t="s">
        <v>2344</v>
      </c>
      <c r="E3103" t="s">
        <v>2036</v>
      </c>
      <c r="F3103">
        <v>202206</v>
      </c>
      <c r="G3103" t="s">
        <v>2169</v>
      </c>
      <c r="H3103">
        <v>182.65</v>
      </c>
    </row>
    <row r="3104" spans="1:8">
      <c r="A3104">
        <v>5352</v>
      </c>
      <c r="B3104" t="s">
        <v>2625</v>
      </c>
      <c r="C3104">
        <v>5697</v>
      </c>
      <c r="D3104" t="s">
        <v>2344</v>
      </c>
      <c r="E3104" t="s">
        <v>2036</v>
      </c>
      <c r="F3104">
        <v>202206</v>
      </c>
      <c r="G3104" t="s">
        <v>2166</v>
      </c>
      <c r="H3104">
        <v>11.83</v>
      </c>
    </row>
    <row r="3105" spans="1:8">
      <c r="A3105">
        <v>5352</v>
      </c>
      <c r="B3105" t="s">
        <v>2625</v>
      </c>
      <c r="C3105">
        <v>5697</v>
      </c>
      <c r="D3105" t="s">
        <v>2344</v>
      </c>
      <c r="E3105" t="s">
        <v>2036</v>
      </c>
      <c r="F3105">
        <v>202206</v>
      </c>
      <c r="G3105" t="s">
        <v>2167</v>
      </c>
      <c r="H3105">
        <v>21.22</v>
      </c>
    </row>
    <row r="3106" spans="1:8">
      <c r="A3106">
        <v>5352</v>
      </c>
      <c r="B3106" t="s">
        <v>2625</v>
      </c>
      <c r="C3106">
        <v>5697</v>
      </c>
      <c r="D3106" t="s">
        <v>2344</v>
      </c>
      <c r="E3106" t="s">
        <v>2036</v>
      </c>
      <c r="F3106">
        <v>202206</v>
      </c>
      <c r="G3106" t="s">
        <v>2168</v>
      </c>
      <c r="H3106">
        <v>14.37</v>
      </c>
    </row>
    <row r="3107" spans="1:8">
      <c r="A3107">
        <v>5352</v>
      </c>
      <c r="B3107" t="s">
        <v>2625</v>
      </c>
      <c r="C3107">
        <v>5697</v>
      </c>
      <c r="D3107" t="s">
        <v>2344</v>
      </c>
      <c r="E3107" t="s">
        <v>2036</v>
      </c>
      <c r="F3107">
        <v>202206</v>
      </c>
      <c r="G3107" t="s">
        <v>2171</v>
      </c>
      <c r="H3107">
        <v>42758.58</v>
      </c>
    </row>
    <row r="3108" spans="1:8">
      <c r="A3108">
        <v>5352</v>
      </c>
      <c r="B3108" t="s">
        <v>2625</v>
      </c>
      <c r="C3108">
        <v>5697</v>
      </c>
      <c r="D3108" t="s">
        <v>2344</v>
      </c>
      <c r="E3108" t="s">
        <v>2036</v>
      </c>
      <c r="F3108">
        <v>202206</v>
      </c>
      <c r="G3108" t="s">
        <v>190</v>
      </c>
      <c r="H3108">
        <v>196821</v>
      </c>
    </row>
    <row r="3109" spans="1:8">
      <c r="A3109">
        <v>5352</v>
      </c>
      <c r="B3109" t="s">
        <v>2625</v>
      </c>
      <c r="C3109">
        <v>5697</v>
      </c>
      <c r="D3109" t="s">
        <v>2344</v>
      </c>
      <c r="E3109" t="s">
        <v>2036</v>
      </c>
      <c r="F3109">
        <v>202206</v>
      </c>
      <c r="G3109" t="s">
        <v>191</v>
      </c>
      <c r="H3109">
        <v>30289</v>
      </c>
    </row>
    <row r="3110" spans="1:8">
      <c r="A3110">
        <v>5352</v>
      </c>
      <c r="B3110" t="s">
        <v>2625</v>
      </c>
      <c r="C3110">
        <v>5697</v>
      </c>
      <c r="D3110" t="s">
        <v>2344</v>
      </c>
      <c r="E3110" t="s">
        <v>2036</v>
      </c>
      <c r="F3110">
        <v>202206</v>
      </c>
      <c r="G3110" t="s">
        <v>176</v>
      </c>
      <c r="H3110">
        <v>-4142.2700000000004</v>
      </c>
    </row>
    <row r="3111" spans="1:8">
      <c r="A3111">
        <v>5352</v>
      </c>
      <c r="B3111" t="s">
        <v>2625</v>
      </c>
      <c r="C3111">
        <v>5697</v>
      </c>
      <c r="D3111" t="s">
        <v>2344</v>
      </c>
      <c r="E3111" t="s">
        <v>2036</v>
      </c>
      <c r="F3111">
        <v>202206</v>
      </c>
      <c r="G3111" t="s">
        <v>178</v>
      </c>
      <c r="H3111">
        <v>700</v>
      </c>
    </row>
    <row r="3112" spans="1:8">
      <c r="A3112">
        <v>5352</v>
      </c>
      <c r="B3112" t="s">
        <v>2625</v>
      </c>
      <c r="C3112">
        <v>5697</v>
      </c>
      <c r="D3112" t="s">
        <v>2344</v>
      </c>
      <c r="E3112" t="s">
        <v>2036</v>
      </c>
      <c r="F3112">
        <v>202206</v>
      </c>
      <c r="G3112" t="s">
        <v>180</v>
      </c>
      <c r="H3112">
        <v>629</v>
      </c>
    </row>
    <row r="3113" spans="1:8">
      <c r="A3113">
        <v>5352</v>
      </c>
      <c r="B3113" t="s">
        <v>2625</v>
      </c>
      <c r="C3113">
        <v>5697</v>
      </c>
      <c r="D3113" t="s">
        <v>2344</v>
      </c>
      <c r="E3113" t="s">
        <v>2036</v>
      </c>
      <c r="F3113">
        <v>202206</v>
      </c>
      <c r="G3113" t="s">
        <v>182</v>
      </c>
      <c r="H3113">
        <v>196821</v>
      </c>
    </row>
    <row r="3114" spans="1:8">
      <c r="A3114">
        <v>5352</v>
      </c>
      <c r="B3114" t="s">
        <v>2625</v>
      </c>
      <c r="C3114">
        <v>5697</v>
      </c>
      <c r="D3114" t="s">
        <v>2344</v>
      </c>
      <c r="E3114" t="s">
        <v>2036</v>
      </c>
      <c r="F3114">
        <v>202206</v>
      </c>
      <c r="G3114" t="s">
        <v>184</v>
      </c>
      <c r="H3114">
        <v>30289</v>
      </c>
    </row>
    <row r="3115" spans="1:8">
      <c r="A3115">
        <v>5352</v>
      </c>
      <c r="B3115" t="s">
        <v>2625</v>
      </c>
      <c r="C3115">
        <v>5697</v>
      </c>
      <c r="D3115" t="s">
        <v>2344</v>
      </c>
      <c r="E3115" t="s">
        <v>2036</v>
      </c>
      <c r="F3115">
        <v>202206</v>
      </c>
      <c r="G3115" t="s">
        <v>192</v>
      </c>
      <c r="H3115">
        <v>0</v>
      </c>
    </row>
    <row r="3116" spans="1:8">
      <c r="A3116">
        <v>5352</v>
      </c>
      <c r="B3116" t="s">
        <v>2625</v>
      </c>
      <c r="C3116">
        <v>5697</v>
      </c>
      <c r="D3116" t="s">
        <v>2344</v>
      </c>
      <c r="E3116" t="s">
        <v>2036</v>
      </c>
      <c r="F3116">
        <v>202206</v>
      </c>
      <c r="G3116" t="s">
        <v>2170</v>
      </c>
      <c r="H3116">
        <v>2158.7600000000002</v>
      </c>
    </row>
    <row r="3117" spans="1:8">
      <c r="A3117">
        <v>5352</v>
      </c>
      <c r="B3117" t="s">
        <v>2625</v>
      </c>
      <c r="C3117">
        <v>5697</v>
      </c>
      <c r="D3117" t="s">
        <v>2344</v>
      </c>
      <c r="E3117" t="s">
        <v>2036</v>
      </c>
      <c r="F3117">
        <v>202206</v>
      </c>
      <c r="G3117" t="s">
        <v>186</v>
      </c>
      <c r="H3117">
        <v>0</v>
      </c>
    </row>
    <row r="3118" spans="1:8">
      <c r="A3118">
        <v>5352</v>
      </c>
      <c r="B3118" t="s">
        <v>2625</v>
      </c>
      <c r="C3118">
        <v>5697</v>
      </c>
      <c r="D3118" t="s">
        <v>2344</v>
      </c>
      <c r="E3118" t="s">
        <v>2036</v>
      </c>
      <c r="F3118">
        <v>202206</v>
      </c>
      <c r="G3118" t="s">
        <v>2169</v>
      </c>
      <c r="H3118">
        <v>182.65</v>
      </c>
    </row>
    <row r="3119" spans="1:8">
      <c r="A3119">
        <v>5352</v>
      </c>
      <c r="B3119" t="s">
        <v>2625</v>
      </c>
      <c r="C3119">
        <v>5697</v>
      </c>
      <c r="D3119" t="s">
        <v>2344</v>
      </c>
      <c r="E3119" t="s">
        <v>2036</v>
      </c>
      <c r="F3119">
        <v>202206</v>
      </c>
      <c r="G3119" t="s">
        <v>2166</v>
      </c>
      <c r="H3119">
        <v>11.83</v>
      </c>
    </row>
    <row r="3120" spans="1:8">
      <c r="A3120">
        <v>5352</v>
      </c>
      <c r="B3120" t="s">
        <v>2625</v>
      </c>
      <c r="C3120">
        <v>5697</v>
      </c>
      <c r="D3120" t="s">
        <v>2344</v>
      </c>
      <c r="E3120" t="s">
        <v>2036</v>
      </c>
      <c r="F3120">
        <v>202206</v>
      </c>
      <c r="G3120" t="s">
        <v>2167</v>
      </c>
      <c r="H3120">
        <v>21.22</v>
      </c>
    </row>
    <row r="3121" spans="1:8">
      <c r="A3121">
        <v>5352</v>
      </c>
      <c r="B3121" t="s">
        <v>2625</v>
      </c>
      <c r="C3121">
        <v>5697</v>
      </c>
      <c r="D3121" t="s">
        <v>2344</v>
      </c>
      <c r="E3121" t="s">
        <v>2036</v>
      </c>
      <c r="F3121">
        <v>202206</v>
      </c>
      <c r="G3121" t="s">
        <v>2168</v>
      </c>
      <c r="H3121">
        <v>14.37</v>
      </c>
    </row>
    <row r="3122" spans="1:8">
      <c r="A3122">
        <v>5352</v>
      </c>
      <c r="B3122" t="s">
        <v>2625</v>
      </c>
      <c r="C3122">
        <v>5697</v>
      </c>
      <c r="D3122" t="s">
        <v>2344</v>
      </c>
      <c r="E3122" t="s">
        <v>2036</v>
      </c>
      <c r="F3122">
        <v>202206</v>
      </c>
      <c r="G3122" t="s">
        <v>2171</v>
      </c>
      <c r="H3122">
        <v>64389.84</v>
      </c>
    </row>
    <row r="3123" spans="1:8">
      <c r="A3123">
        <v>5352</v>
      </c>
      <c r="B3123" t="s">
        <v>2625</v>
      </c>
      <c r="C3123">
        <v>5697</v>
      </c>
      <c r="D3123" t="s">
        <v>2344</v>
      </c>
      <c r="E3123" t="s">
        <v>2036</v>
      </c>
      <c r="F3123">
        <v>202206</v>
      </c>
      <c r="G3123" t="s">
        <v>190</v>
      </c>
      <c r="H3123">
        <v>253421</v>
      </c>
    </row>
    <row r="3124" spans="1:8">
      <c r="A3124">
        <v>5352</v>
      </c>
      <c r="B3124" t="s">
        <v>2625</v>
      </c>
      <c r="C3124">
        <v>5697</v>
      </c>
      <c r="D3124" t="s">
        <v>2344</v>
      </c>
      <c r="E3124" t="s">
        <v>2036</v>
      </c>
      <c r="F3124">
        <v>202206</v>
      </c>
      <c r="G3124" t="s">
        <v>191</v>
      </c>
      <c r="H3124">
        <v>37033</v>
      </c>
    </row>
    <row r="3125" spans="1:8">
      <c r="A3125">
        <v>5352</v>
      </c>
      <c r="B3125" t="s">
        <v>2625</v>
      </c>
      <c r="C3125">
        <v>5697</v>
      </c>
      <c r="D3125" t="s">
        <v>2344</v>
      </c>
      <c r="E3125" t="s">
        <v>2036</v>
      </c>
      <c r="F3125">
        <v>202206</v>
      </c>
      <c r="G3125" t="s">
        <v>176</v>
      </c>
      <c r="H3125">
        <v>-3837.83</v>
      </c>
    </row>
    <row r="3126" spans="1:8">
      <c r="A3126">
        <v>5352</v>
      </c>
      <c r="B3126" t="s">
        <v>2625</v>
      </c>
      <c r="C3126">
        <v>5697</v>
      </c>
      <c r="D3126" t="s">
        <v>2344</v>
      </c>
      <c r="E3126" t="s">
        <v>2036</v>
      </c>
      <c r="F3126">
        <v>202206</v>
      </c>
      <c r="G3126" t="s">
        <v>178</v>
      </c>
      <c r="H3126">
        <v>970</v>
      </c>
    </row>
    <row r="3127" spans="1:8">
      <c r="A3127">
        <v>5352</v>
      </c>
      <c r="B3127" t="s">
        <v>2625</v>
      </c>
      <c r="C3127">
        <v>5697</v>
      </c>
      <c r="D3127" t="s">
        <v>2344</v>
      </c>
      <c r="E3127" t="s">
        <v>2036</v>
      </c>
      <c r="F3127">
        <v>202206</v>
      </c>
      <c r="G3127" t="s">
        <v>180</v>
      </c>
      <c r="H3127">
        <v>970</v>
      </c>
    </row>
    <row r="3128" spans="1:8">
      <c r="A3128">
        <v>5352</v>
      </c>
      <c r="B3128" t="s">
        <v>2625</v>
      </c>
      <c r="C3128">
        <v>5697</v>
      </c>
      <c r="D3128" t="s">
        <v>2344</v>
      </c>
      <c r="E3128" t="s">
        <v>2036</v>
      </c>
      <c r="F3128">
        <v>202206</v>
      </c>
      <c r="G3128" t="s">
        <v>182</v>
      </c>
      <c r="H3128">
        <v>253421</v>
      </c>
    </row>
    <row r="3129" spans="1:8">
      <c r="A3129">
        <v>5352</v>
      </c>
      <c r="B3129" t="s">
        <v>2625</v>
      </c>
      <c r="C3129">
        <v>5697</v>
      </c>
      <c r="D3129" t="s">
        <v>2344</v>
      </c>
      <c r="E3129" t="s">
        <v>2036</v>
      </c>
      <c r="F3129">
        <v>202206</v>
      </c>
      <c r="G3129" t="s">
        <v>184</v>
      </c>
      <c r="H3129">
        <v>37033</v>
      </c>
    </row>
    <row r="3130" spans="1:8">
      <c r="A3130">
        <v>5352</v>
      </c>
      <c r="B3130" t="s">
        <v>2625</v>
      </c>
      <c r="C3130">
        <v>5697</v>
      </c>
      <c r="D3130" t="s">
        <v>2344</v>
      </c>
      <c r="E3130" t="s">
        <v>2036</v>
      </c>
      <c r="F3130">
        <v>202206</v>
      </c>
      <c r="G3130" t="s">
        <v>192</v>
      </c>
      <c r="H3130">
        <v>0</v>
      </c>
    </row>
    <row r="3131" spans="1:8">
      <c r="A3131">
        <v>5352</v>
      </c>
      <c r="B3131" t="s">
        <v>2625</v>
      </c>
      <c r="C3131">
        <v>5697</v>
      </c>
      <c r="D3131" t="s">
        <v>2344</v>
      </c>
      <c r="E3131" t="s">
        <v>2036</v>
      </c>
      <c r="F3131">
        <v>202206</v>
      </c>
      <c r="G3131" t="s">
        <v>2170</v>
      </c>
      <c r="H3131">
        <v>2903.92</v>
      </c>
    </row>
    <row r="3132" spans="1:8">
      <c r="A3132">
        <v>5352</v>
      </c>
      <c r="B3132" t="s">
        <v>2625</v>
      </c>
      <c r="C3132">
        <v>5697</v>
      </c>
      <c r="D3132" t="s">
        <v>2344</v>
      </c>
      <c r="E3132" t="s">
        <v>2036</v>
      </c>
      <c r="F3132">
        <v>202206</v>
      </c>
      <c r="G3132" t="s">
        <v>186</v>
      </c>
      <c r="H3132">
        <v>0</v>
      </c>
    </row>
    <row r="3133" spans="1:8">
      <c r="A3133">
        <v>5352</v>
      </c>
      <c r="B3133" t="s">
        <v>2625</v>
      </c>
      <c r="C3133">
        <v>5697</v>
      </c>
      <c r="D3133" t="s">
        <v>2344</v>
      </c>
      <c r="E3133" t="s">
        <v>2036</v>
      </c>
      <c r="F3133">
        <v>202206</v>
      </c>
      <c r="G3133" t="s">
        <v>2169</v>
      </c>
      <c r="H3133">
        <v>182.65</v>
      </c>
    </row>
    <row r="3134" spans="1:8">
      <c r="A3134">
        <v>5352</v>
      </c>
      <c r="B3134" t="s">
        <v>2625</v>
      </c>
      <c r="C3134">
        <v>5697</v>
      </c>
      <c r="D3134" t="s">
        <v>2344</v>
      </c>
      <c r="E3134" t="s">
        <v>2036</v>
      </c>
      <c r="F3134">
        <v>202206</v>
      </c>
      <c r="G3134" t="s">
        <v>2166</v>
      </c>
      <c r="H3134">
        <v>11.83</v>
      </c>
    </row>
    <row r="3135" spans="1:8">
      <c r="A3135">
        <v>5352</v>
      </c>
      <c r="B3135" t="s">
        <v>2625</v>
      </c>
      <c r="C3135">
        <v>5697</v>
      </c>
      <c r="D3135" t="s">
        <v>2344</v>
      </c>
      <c r="E3135" t="s">
        <v>2036</v>
      </c>
      <c r="F3135">
        <v>202206</v>
      </c>
      <c r="G3135" t="s">
        <v>2167</v>
      </c>
      <c r="H3135">
        <v>21.22</v>
      </c>
    </row>
    <row r="3136" spans="1:8">
      <c r="A3136">
        <v>5352</v>
      </c>
      <c r="B3136" t="s">
        <v>2625</v>
      </c>
      <c r="C3136">
        <v>5697</v>
      </c>
      <c r="D3136" t="s">
        <v>2344</v>
      </c>
      <c r="E3136" t="s">
        <v>2036</v>
      </c>
      <c r="F3136">
        <v>202206</v>
      </c>
      <c r="G3136" t="s">
        <v>2168</v>
      </c>
      <c r="H3136">
        <v>14.37</v>
      </c>
    </row>
    <row r="3137" spans="1:8">
      <c r="A3137">
        <v>5352</v>
      </c>
      <c r="B3137" t="s">
        <v>2625</v>
      </c>
      <c r="C3137">
        <v>5697</v>
      </c>
      <c r="D3137" t="s">
        <v>2344</v>
      </c>
      <c r="E3137" t="s">
        <v>2036</v>
      </c>
      <c r="F3137">
        <v>202206</v>
      </c>
      <c r="G3137" t="s">
        <v>2171</v>
      </c>
      <c r="H3137">
        <v>88349.81</v>
      </c>
    </row>
    <row r="3138" spans="1:8">
      <c r="A3138">
        <v>5352</v>
      </c>
      <c r="B3138" t="s">
        <v>2625</v>
      </c>
      <c r="C3138">
        <v>5697</v>
      </c>
      <c r="D3138" t="s">
        <v>2344</v>
      </c>
      <c r="E3138" t="s">
        <v>2036</v>
      </c>
      <c r="F3138">
        <v>202206</v>
      </c>
      <c r="G3138" t="s">
        <v>190</v>
      </c>
      <c r="H3138">
        <v>84409</v>
      </c>
    </row>
    <row r="3139" spans="1:8">
      <c r="A3139">
        <v>5352</v>
      </c>
      <c r="B3139" t="s">
        <v>2625</v>
      </c>
      <c r="C3139">
        <v>5697</v>
      </c>
      <c r="D3139" t="s">
        <v>2344</v>
      </c>
      <c r="E3139" t="s">
        <v>2036</v>
      </c>
      <c r="F3139">
        <v>202206</v>
      </c>
      <c r="G3139" t="s">
        <v>191</v>
      </c>
      <c r="H3139">
        <v>13114</v>
      </c>
    </row>
    <row r="3140" spans="1:8">
      <c r="A3140">
        <v>5352</v>
      </c>
      <c r="B3140" t="s">
        <v>2625</v>
      </c>
      <c r="C3140">
        <v>5697</v>
      </c>
      <c r="D3140" t="s">
        <v>2344</v>
      </c>
      <c r="E3140" t="s">
        <v>2036</v>
      </c>
      <c r="F3140">
        <v>202206</v>
      </c>
      <c r="G3140" t="s">
        <v>176</v>
      </c>
      <c r="H3140">
        <v>-1935.58</v>
      </c>
    </row>
    <row r="3141" spans="1:8">
      <c r="A3141">
        <v>5352</v>
      </c>
      <c r="B3141" t="s">
        <v>2625</v>
      </c>
      <c r="C3141">
        <v>5697</v>
      </c>
      <c r="D3141" t="s">
        <v>2344</v>
      </c>
      <c r="E3141" t="s">
        <v>2036</v>
      </c>
      <c r="F3141">
        <v>202206</v>
      </c>
      <c r="G3141" t="s">
        <v>178</v>
      </c>
      <c r="H3141">
        <v>510</v>
      </c>
    </row>
    <row r="3142" spans="1:8">
      <c r="A3142">
        <v>5352</v>
      </c>
      <c r="B3142" t="s">
        <v>2625</v>
      </c>
      <c r="C3142">
        <v>5697</v>
      </c>
      <c r="D3142" t="s">
        <v>2344</v>
      </c>
      <c r="E3142" t="s">
        <v>2036</v>
      </c>
      <c r="F3142">
        <v>202206</v>
      </c>
      <c r="G3142" t="s">
        <v>180</v>
      </c>
      <c r="H3142">
        <v>570</v>
      </c>
    </row>
    <row r="3143" spans="1:8">
      <c r="A3143">
        <v>5352</v>
      </c>
      <c r="B3143" t="s">
        <v>2625</v>
      </c>
      <c r="C3143">
        <v>5697</v>
      </c>
      <c r="D3143" t="s">
        <v>2344</v>
      </c>
      <c r="E3143" t="s">
        <v>2036</v>
      </c>
      <c r="F3143">
        <v>202206</v>
      </c>
      <c r="G3143" t="s">
        <v>182</v>
      </c>
      <c r="H3143">
        <v>84409</v>
      </c>
    </row>
    <row r="3144" spans="1:8">
      <c r="A3144">
        <v>5352</v>
      </c>
      <c r="B3144" t="s">
        <v>2625</v>
      </c>
      <c r="C3144">
        <v>5697</v>
      </c>
      <c r="D3144" t="s">
        <v>2344</v>
      </c>
      <c r="E3144" t="s">
        <v>2036</v>
      </c>
      <c r="F3144">
        <v>202206</v>
      </c>
      <c r="G3144" t="s">
        <v>184</v>
      </c>
      <c r="H3144">
        <v>13114</v>
      </c>
    </row>
    <row r="3145" spans="1:8">
      <c r="A3145">
        <v>5352</v>
      </c>
      <c r="B3145" t="s">
        <v>2625</v>
      </c>
      <c r="C3145">
        <v>5697</v>
      </c>
      <c r="D3145" t="s">
        <v>2344</v>
      </c>
      <c r="E3145" t="s">
        <v>2036</v>
      </c>
      <c r="F3145">
        <v>202206</v>
      </c>
      <c r="G3145" t="s">
        <v>192</v>
      </c>
      <c r="H3145">
        <v>0</v>
      </c>
    </row>
    <row r="3146" spans="1:8">
      <c r="A3146">
        <v>5352</v>
      </c>
      <c r="B3146" t="s">
        <v>2625</v>
      </c>
      <c r="C3146">
        <v>5697</v>
      </c>
      <c r="D3146" t="s">
        <v>2344</v>
      </c>
      <c r="E3146" t="s">
        <v>2036</v>
      </c>
      <c r="F3146">
        <v>202206</v>
      </c>
      <c r="G3146" t="s">
        <v>2170</v>
      </c>
      <c r="H3146">
        <v>1214.57</v>
      </c>
    </row>
    <row r="3147" spans="1:8">
      <c r="A3147">
        <v>5352</v>
      </c>
      <c r="B3147" t="s">
        <v>2625</v>
      </c>
      <c r="C3147">
        <v>5697</v>
      </c>
      <c r="D3147" t="s">
        <v>2344</v>
      </c>
      <c r="E3147" t="s">
        <v>2036</v>
      </c>
      <c r="F3147">
        <v>202206</v>
      </c>
      <c r="G3147" t="s">
        <v>186</v>
      </c>
      <c r="H3147">
        <v>0</v>
      </c>
    </row>
    <row r="3148" spans="1:8">
      <c r="A3148">
        <v>5352</v>
      </c>
      <c r="B3148" t="s">
        <v>2625</v>
      </c>
      <c r="C3148">
        <v>5697</v>
      </c>
      <c r="D3148" t="s">
        <v>2344</v>
      </c>
      <c r="E3148" t="s">
        <v>2036</v>
      </c>
      <c r="F3148">
        <v>202206</v>
      </c>
      <c r="G3148" t="s">
        <v>2169</v>
      </c>
      <c r="H3148">
        <v>182.65</v>
      </c>
    </row>
    <row r="3149" spans="1:8">
      <c r="A3149">
        <v>5352</v>
      </c>
      <c r="B3149" t="s">
        <v>2625</v>
      </c>
      <c r="C3149">
        <v>5697</v>
      </c>
      <c r="D3149" t="s">
        <v>2344</v>
      </c>
      <c r="E3149" t="s">
        <v>2036</v>
      </c>
      <c r="F3149">
        <v>202206</v>
      </c>
      <c r="G3149" t="s">
        <v>2166</v>
      </c>
      <c r="H3149">
        <v>11.83</v>
      </c>
    </row>
    <row r="3150" spans="1:8">
      <c r="A3150">
        <v>5352</v>
      </c>
      <c r="B3150" t="s">
        <v>2625</v>
      </c>
      <c r="C3150">
        <v>5697</v>
      </c>
      <c r="D3150" t="s">
        <v>2344</v>
      </c>
      <c r="E3150" t="s">
        <v>2036</v>
      </c>
      <c r="F3150">
        <v>202206</v>
      </c>
      <c r="G3150" t="s">
        <v>2167</v>
      </c>
      <c r="H3150">
        <v>21.22</v>
      </c>
    </row>
    <row r="3151" spans="1:8">
      <c r="A3151">
        <v>5352</v>
      </c>
      <c r="B3151" t="s">
        <v>2625</v>
      </c>
      <c r="C3151">
        <v>5697</v>
      </c>
      <c r="D3151" t="s">
        <v>2344</v>
      </c>
      <c r="E3151" t="s">
        <v>2036</v>
      </c>
      <c r="F3151">
        <v>202206</v>
      </c>
      <c r="G3151" t="s">
        <v>2168</v>
      </c>
      <c r="H3151">
        <v>14.37</v>
      </c>
    </row>
    <row r="3152" spans="1:8">
      <c r="A3152">
        <v>5352</v>
      </c>
      <c r="B3152" t="s">
        <v>2625</v>
      </c>
      <c r="C3152">
        <v>5697</v>
      </c>
      <c r="D3152" t="s">
        <v>2344</v>
      </c>
      <c r="E3152" t="s">
        <v>2036</v>
      </c>
      <c r="F3152">
        <v>202206</v>
      </c>
      <c r="G3152" t="s">
        <v>2171</v>
      </c>
      <c r="H3152">
        <v>36621.64</v>
      </c>
    </row>
    <row r="3153" spans="1:8">
      <c r="A3153">
        <v>5352</v>
      </c>
      <c r="B3153" t="s">
        <v>2625</v>
      </c>
      <c r="C3153">
        <v>5697</v>
      </c>
      <c r="D3153" t="s">
        <v>2344</v>
      </c>
      <c r="E3153" t="s">
        <v>2036</v>
      </c>
      <c r="F3153">
        <v>202206</v>
      </c>
      <c r="G3153" t="s">
        <v>190</v>
      </c>
      <c r="H3153">
        <v>142939</v>
      </c>
    </row>
    <row r="3154" spans="1:8">
      <c r="A3154">
        <v>5352</v>
      </c>
      <c r="B3154" t="s">
        <v>2625</v>
      </c>
      <c r="C3154">
        <v>5697</v>
      </c>
      <c r="D3154" t="s">
        <v>2344</v>
      </c>
      <c r="E3154" t="s">
        <v>2036</v>
      </c>
      <c r="F3154">
        <v>202206</v>
      </c>
      <c r="G3154" t="s">
        <v>191</v>
      </c>
      <c r="H3154">
        <v>22083</v>
      </c>
    </row>
    <row r="3155" spans="1:8">
      <c r="A3155">
        <v>5352</v>
      </c>
      <c r="B3155" t="s">
        <v>2625</v>
      </c>
      <c r="C3155">
        <v>5697</v>
      </c>
      <c r="D3155" t="s">
        <v>2344</v>
      </c>
      <c r="E3155" t="s">
        <v>2036</v>
      </c>
      <c r="F3155">
        <v>202206</v>
      </c>
      <c r="G3155" t="s">
        <v>176</v>
      </c>
      <c r="H3155">
        <v>0</v>
      </c>
    </row>
    <row r="3156" spans="1:8">
      <c r="A3156">
        <v>5352</v>
      </c>
      <c r="B3156" t="s">
        <v>2625</v>
      </c>
      <c r="C3156">
        <v>5697</v>
      </c>
      <c r="D3156" t="s">
        <v>2344</v>
      </c>
      <c r="E3156" t="s">
        <v>2036</v>
      </c>
      <c r="F3156">
        <v>202206</v>
      </c>
      <c r="G3156" t="s">
        <v>178</v>
      </c>
      <c r="H3156">
        <v>480</v>
      </c>
    </row>
    <row r="3157" spans="1:8">
      <c r="A3157">
        <v>5352</v>
      </c>
      <c r="B3157" t="s">
        <v>2625</v>
      </c>
      <c r="C3157">
        <v>5697</v>
      </c>
      <c r="D3157" t="s">
        <v>2344</v>
      </c>
      <c r="E3157" t="s">
        <v>2036</v>
      </c>
      <c r="F3157">
        <v>202206</v>
      </c>
      <c r="G3157" t="s">
        <v>180</v>
      </c>
      <c r="H3157">
        <v>550</v>
      </c>
    </row>
    <row r="3158" spans="1:8">
      <c r="A3158">
        <v>5352</v>
      </c>
      <c r="B3158" t="s">
        <v>2625</v>
      </c>
      <c r="C3158">
        <v>5697</v>
      </c>
      <c r="D3158" t="s">
        <v>2344</v>
      </c>
      <c r="E3158" t="s">
        <v>2036</v>
      </c>
      <c r="F3158">
        <v>202206</v>
      </c>
      <c r="G3158" t="s">
        <v>182</v>
      </c>
      <c r="H3158">
        <v>142939</v>
      </c>
    </row>
    <row r="3159" spans="1:8">
      <c r="A3159">
        <v>5352</v>
      </c>
      <c r="B3159" t="s">
        <v>2625</v>
      </c>
      <c r="C3159">
        <v>5697</v>
      </c>
      <c r="D3159" t="s">
        <v>2344</v>
      </c>
      <c r="E3159" t="s">
        <v>2036</v>
      </c>
      <c r="F3159">
        <v>202206</v>
      </c>
      <c r="G3159" t="s">
        <v>184</v>
      </c>
      <c r="H3159">
        <v>22083</v>
      </c>
    </row>
    <row r="3160" spans="1:8">
      <c r="A3160">
        <v>5352</v>
      </c>
      <c r="B3160" t="s">
        <v>2625</v>
      </c>
      <c r="C3160">
        <v>5697</v>
      </c>
      <c r="D3160" t="s">
        <v>2344</v>
      </c>
      <c r="E3160" t="s">
        <v>2036</v>
      </c>
      <c r="F3160">
        <v>202206</v>
      </c>
      <c r="G3160" t="s">
        <v>192</v>
      </c>
      <c r="H3160">
        <v>0</v>
      </c>
    </row>
    <row r="3161" spans="1:8">
      <c r="A3161">
        <v>5352</v>
      </c>
      <c r="B3161" t="s">
        <v>2625</v>
      </c>
      <c r="C3161">
        <v>5697</v>
      </c>
      <c r="D3161" t="s">
        <v>2344</v>
      </c>
      <c r="E3161" t="s">
        <v>2036</v>
      </c>
      <c r="F3161">
        <v>202206</v>
      </c>
      <c r="G3161" t="s">
        <v>2170</v>
      </c>
      <c r="H3161">
        <v>1621.72</v>
      </c>
    </row>
    <row r="3162" spans="1:8">
      <c r="A3162">
        <v>5352</v>
      </c>
      <c r="B3162" t="s">
        <v>2625</v>
      </c>
      <c r="C3162">
        <v>5697</v>
      </c>
      <c r="D3162" t="s">
        <v>2344</v>
      </c>
      <c r="E3162" t="s">
        <v>2036</v>
      </c>
      <c r="F3162">
        <v>202206</v>
      </c>
      <c r="G3162" t="s">
        <v>186</v>
      </c>
      <c r="H3162">
        <v>0</v>
      </c>
    </row>
    <row r="3163" spans="1:8">
      <c r="A3163">
        <v>5352</v>
      </c>
      <c r="B3163" t="s">
        <v>2625</v>
      </c>
      <c r="C3163">
        <v>5697</v>
      </c>
      <c r="D3163" t="s">
        <v>2344</v>
      </c>
      <c r="E3163" t="s">
        <v>2036</v>
      </c>
      <c r="F3163">
        <v>202206</v>
      </c>
      <c r="G3163" t="s">
        <v>2169</v>
      </c>
      <c r="H3163">
        <v>182.65</v>
      </c>
    </row>
    <row r="3164" spans="1:8">
      <c r="A3164">
        <v>5352</v>
      </c>
      <c r="B3164" t="s">
        <v>2625</v>
      </c>
      <c r="C3164">
        <v>5697</v>
      </c>
      <c r="D3164" t="s">
        <v>2344</v>
      </c>
      <c r="E3164" t="s">
        <v>2036</v>
      </c>
      <c r="F3164">
        <v>202206</v>
      </c>
      <c r="G3164" t="s">
        <v>2166</v>
      </c>
      <c r="H3164">
        <v>11.83</v>
      </c>
    </row>
    <row r="3165" spans="1:8">
      <c r="A3165">
        <v>5352</v>
      </c>
      <c r="B3165" t="s">
        <v>2625</v>
      </c>
      <c r="C3165">
        <v>5697</v>
      </c>
      <c r="D3165" t="s">
        <v>2344</v>
      </c>
      <c r="E3165" t="s">
        <v>2036</v>
      </c>
      <c r="F3165">
        <v>202206</v>
      </c>
      <c r="G3165" t="s">
        <v>2167</v>
      </c>
      <c r="H3165">
        <v>21.22</v>
      </c>
    </row>
    <row r="3166" spans="1:8">
      <c r="A3166">
        <v>5352</v>
      </c>
      <c r="B3166" t="s">
        <v>2625</v>
      </c>
      <c r="C3166">
        <v>5697</v>
      </c>
      <c r="D3166" t="s">
        <v>2344</v>
      </c>
      <c r="E3166" t="s">
        <v>2036</v>
      </c>
      <c r="F3166">
        <v>202206</v>
      </c>
      <c r="G3166" t="s">
        <v>2168</v>
      </c>
      <c r="H3166">
        <v>14.37</v>
      </c>
    </row>
    <row r="3167" spans="1:8">
      <c r="A3167">
        <v>5352</v>
      </c>
      <c r="B3167" t="s">
        <v>2625</v>
      </c>
      <c r="C3167">
        <v>5697</v>
      </c>
      <c r="D3167" t="s">
        <v>2344</v>
      </c>
      <c r="E3167" t="s">
        <v>2036</v>
      </c>
      <c r="F3167">
        <v>202206</v>
      </c>
      <c r="G3167" t="s">
        <v>2171</v>
      </c>
      <c r="H3167">
        <v>51483.73</v>
      </c>
    </row>
    <row r="3168" spans="1:8">
      <c r="A3168">
        <v>5352</v>
      </c>
      <c r="B3168" t="s">
        <v>2625</v>
      </c>
      <c r="C3168">
        <v>5697</v>
      </c>
      <c r="D3168" t="s">
        <v>2344</v>
      </c>
      <c r="E3168" t="s">
        <v>2036</v>
      </c>
      <c r="F3168">
        <v>202206</v>
      </c>
      <c r="G3168" t="s">
        <v>190</v>
      </c>
      <c r="H3168">
        <v>178496</v>
      </c>
    </row>
    <row r="3169" spans="1:8">
      <c r="A3169">
        <v>5352</v>
      </c>
      <c r="B3169" t="s">
        <v>2625</v>
      </c>
      <c r="C3169">
        <v>5697</v>
      </c>
      <c r="D3169" t="s">
        <v>2344</v>
      </c>
      <c r="E3169" t="s">
        <v>2036</v>
      </c>
      <c r="F3169">
        <v>202206</v>
      </c>
      <c r="G3169" t="s">
        <v>191</v>
      </c>
      <c r="H3169">
        <v>28769</v>
      </c>
    </row>
    <row r="3170" spans="1:8">
      <c r="A3170">
        <v>5352</v>
      </c>
      <c r="B3170" t="s">
        <v>2625</v>
      </c>
      <c r="C3170">
        <v>5697</v>
      </c>
      <c r="D3170" t="s">
        <v>2344</v>
      </c>
      <c r="E3170" t="s">
        <v>2036</v>
      </c>
      <c r="F3170">
        <v>202206</v>
      </c>
      <c r="G3170" t="s">
        <v>176</v>
      </c>
      <c r="H3170">
        <v>0</v>
      </c>
    </row>
    <row r="3171" spans="1:8">
      <c r="A3171">
        <v>5352</v>
      </c>
      <c r="B3171" t="s">
        <v>2625</v>
      </c>
      <c r="C3171">
        <v>5697</v>
      </c>
      <c r="D3171" t="s">
        <v>2344</v>
      </c>
      <c r="E3171" t="s">
        <v>2036</v>
      </c>
      <c r="F3171">
        <v>202206</v>
      </c>
      <c r="G3171" t="s">
        <v>178</v>
      </c>
      <c r="H3171">
        <v>1300</v>
      </c>
    </row>
    <row r="3172" spans="1:8">
      <c r="A3172">
        <v>5352</v>
      </c>
      <c r="B3172" t="s">
        <v>2625</v>
      </c>
      <c r="C3172">
        <v>5697</v>
      </c>
      <c r="D3172" t="s">
        <v>2344</v>
      </c>
      <c r="E3172" t="s">
        <v>2036</v>
      </c>
      <c r="F3172">
        <v>202206</v>
      </c>
      <c r="G3172" t="s">
        <v>180</v>
      </c>
      <c r="H3172">
        <v>1350</v>
      </c>
    </row>
    <row r="3173" spans="1:8">
      <c r="A3173">
        <v>5352</v>
      </c>
      <c r="B3173" t="s">
        <v>2625</v>
      </c>
      <c r="C3173">
        <v>5697</v>
      </c>
      <c r="D3173" t="s">
        <v>2344</v>
      </c>
      <c r="E3173" t="s">
        <v>2036</v>
      </c>
      <c r="F3173">
        <v>202206</v>
      </c>
      <c r="G3173" t="s">
        <v>182</v>
      </c>
      <c r="H3173">
        <v>178496</v>
      </c>
    </row>
    <row r="3174" spans="1:8">
      <c r="A3174">
        <v>5352</v>
      </c>
      <c r="B3174" t="s">
        <v>2625</v>
      </c>
      <c r="C3174">
        <v>5697</v>
      </c>
      <c r="D3174" t="s">
        <v>2344</v>
      </c>
      <c r="E3174" t="s">
        <v>2036</v>
      </c>
      <c r="F3174">
        <v>202206</v>
      </c>
      <c r="G3174" t="s">
        <v>184</v>
      </c>
      <c r="H3174">
        <v>28769</v>
      </c>
    </row>
    <row r="3175" spans="1:8">
      <c r="A3175">
        <v>5352</v>
      </c>
      <c r="B3175" t="s">
        <v>2625</v>
      </c>
      <c r="C3175">
        <v>5697</v>
      </c>
      <c r="D3175" t="s">
        <v>2344</v>
      </c>
      <c r="E3175" t="s">
        <v>2036</v>
      </c>
      <c r="F3175">
        <v>202206</v>
      </c>
      <c r="G3175" t="s">
        <v>192</v>
      </c>
      <c r="H3175">
        <v>0</v>
      </c>
    </row>
    <row r="3176" spans="1:8">
      <c r="A3176">
        <v>5352</v>
      </c>
      <c r="B3176" t="s">
        <v>2625</v>
      </c>
      <c r="C3176">
        <v>5697</v>
      </c>
      <c r="D3176" t="s">
        <v>2344</v>
      </c>
      <c r="E3176" t="s">
        <v>2036</v>
      </c>
      <c r="F3176">
        <v>202206</v>
      </c>
      <c r="G3176" t="s">
        <v>2170</v>
      </c>
      <c r="H3176">
        <v>2760.06</v>
      </c>
    </row>
    <row r="3177" spans="1:8">
      <c r="A3177">
        <v>5352</v>
      </c>
      <c r="B3177" t="s">
        <v>2625</v>
      </c>
      <c r="C3177">
        <v>5697</v>
      </c>
      <c r="D3177" t="s">
        <v>2344</v>
      </c>
      <c r="E3177" t="s">
        <v>2036</v>
      </c>
      <c r="F3177">
        <v>202206</v>
      </c>
      <c r="G3177" t="s">
        <v>186</v>
      </c>
      <c r="H3177">
        <v>0</v>
      </c>
    </row>
    <row r="3178" spans="1:8">
      <c r="A3178">
        <v>5352</v>
      </c>
      <c r="B3178" t="s">
        <v>2625</v>
      </c>
      <c r="C3178">
        <v>5697</v>
      </c>
      <c r="D3178" t="s">
        <v>2344</v>
      </c>
      <c r="E3178" t="s">
        <v>2036</v>
      </c>
      <c r="F3178">
        <v>202206</v>
      </c>
      <c r="G3178" t="s">
        <v>2169</v>
      </c>
      <c r="H3178">
        <v>182.65</v>
      </c>
    </row>
    <row r="3179" spans="1:8">
      <c r="A3179">
        <v>5352</v>
      </c>
      <c r="B3179" t="s">
        <v>2625</v>
      </c>
      <c r="C3179">
        <v>5697</v>
      </c>
      <c r="D3179" t="s">
        <v>2344</v>
      </c>
      <c r="E3179" t="s">
        <v>2036</v>
      </c>
      <c r="F3179">
        <v>202206</v>
      </c>
      <c r="G3179" t="s">
        <v>2166</v>
      </c>
      <c r="H3179">
        <v>11.83</v>
      </c>
    </row>
    <row r="3180" spans="1:8">
      <c r="A3180">
        <v>5352</v>
      </c>
      <c r="B3180" t="s">
        <v>2625</v>
      </c>
      <c r="C3180">
        <v>5697</v>
      </c>
      <c r="D3180" t="s">
        <v>2344</v>
      </c>
      <c r="E3180" t="s">
        <v>2036</v>
      </c>
      <c r="F3180">
        <v>202206</v>
      </c>
      <c r="G3180" t="s">
        <v>2167</v>
      </c>
      <c r="H3180">
        <v>21.22</v>
      </c>
    </row>
    <row r="3181" spans="1:8">
      <c r="A3181">
        <v>5352</v>
      </c>
      <c r="B3181" t="s">
        <v>2625</v>
      </c>
      <c r="C3181">
        <v>5697</v>
      </c>
      <c r="D3181" t="s">
        <v>2344</v>
      </c>
      <c r="E3181" t="s">
        <v>2036</v>
      </c>
      <c r="F3181">
        <v>202206</v>
      </c>
      <c r="G3181" t="s">
        <v>2168</v>
      </c>
      <c r="H3181">
        <v>14.37</v>
      </c>
    </row>
    <row r="3182" spans="1:8">
      <c r="A3182">
        <v>5352</v>
      </c>
      <c r="B3182" t="s">
        <v>2625</v>
      </c>
      <c r="C3182">
        <v>5697</v>
      </c>
      <c r="D3182" t="s">
        <v>2344</v>
      </c>
      <c r="E3182" t="s">
        <v>2036</v>
      </c>
      <c r="F3182">
        <v>202206</v>
      </c>
      <c r="G3182" t="s">
        <v>2171</v>
      </c>
      <c r="H3182">
        <v>87621.39</v>
      </c>
    </row>
    <row r="3183" spans="1:8">
      <c r="A3183">
        <v>5352</v>
      </c>
      <c r="B3183" t="s">
        <v>2625</v>
      </c>
      <c r="C3183">
        <v>5697</v>
      </c>
      <c r="D3183" t="s">
        <v>2344</v>
      </c>
      <c r="E3183" t="s">
        <v>2036</v>
      </c>
      <c r="F3183">
        <v>202206</v>
      </c>
      <c r="G3183" t="s">
        <v>190</v>
      </c>
      <c r="H3183">
        <v>269089</v>
      </c>
    </row>
    <row r="3184" spans="1:8">
      <c r="A3184">
        <v>5352</v>
      </c>
      <c r="B3184" t="s">
        <v>2625</v>
      </c>
      <c r="C3184">
        <v>5697</v>
      </c>
      <c r="D3184" t="s">
        <v>2344</v>
      </c>
      <c r="E3184" t="s">
        <v>2036</v>
      </c>
      <c r="F3184">
        <v>202206</v>
      </c>
      <c r="G3184" t="s">
        <v>191</v>
      </c>
      <c r="H3184">
        <v>35429</v>
      </c>
    </row>
    <row r="3185" spans="1:8">
      <c r="A3185">
        <v>5352</v>
      </c>
      <c r="B3185" t="s">
        <v>2625</v>
      </c>
      <c r="C3185">
        <v>5697</v>
      </c>
      <c r="D3185" t="s">
        <v>2344</v>
      </c>
      <c r="E3185" t="s">
        <v>2036</v>
      </c>
      <c r="F3185">
        <v>202206</v>
      </c>
      <c r="G3185" t="s">
        <v>176</v>
      </c>
      <c r="H3185">
        <v>-6168.28</v>
      </c>
    </row>
    <row r="3186" spans="1:8">
      <c r="A3186">
        <v>5352</v>
      </c>
      <c r="B3186" t="s">
        <v>2625</v>
      </c>
      <c r="C3186">
        <v>5697</v>
      </c>
      <c r="D3186" t="s">
        <v>2344</v>
      </c>
      <c r="E3186" t="s">
        <v>2036</v>
      </c>
      <c r="F3186">
        <v>202206</v>
      </c>
      <c r="G3186" t="s">
        <v>178</v>
      </c>
      <c r="H3186">
        <v>820</v>
      </c>
    </row>
    <row r="3187" spans="1:8">
      <c r="A3187">
        <v>5352</v>
      </c>
      <c r="B3187" t="s">
        <v>2625</v>
      </c>
      <c r="C3187">
        <v>5697</v>
      </c>
      <c r="D3187" t="s">
        <v>2344</v>
      </c>
      <c r="E3187" t="s">
        <v>2036</v>
      </c>
      <c r="F3187">
        <v>202206</v>
      </c>
      <c r="G3187" t="s">
        <v>180</v>
      </c>
      <c r="H3187">
        <v>820</v>
      </c>
    </row>
    <row r="3188" spans="1:8">
      <c r="A3188">
        <v>5352</v>
      </c>
      <c r="B3188" t="s">
        <v>2625</v>
      </c>
      <c r="C3188">
        <v>5697</v>
      </c>
      <c r="D3188" t="s">
        <v>2344</v>
      </c>
      <c r="E3188" t="s">
        <v>2036</v>
      </c>
      <c r="F3188">
        <v>202206</v>
      </c>
      <c r="G3188" t="s">
        <v>182</v>
      </c>
      <c r="H3188">
        <v>269089</v>
      </c>
    </row>
    <row r="3189" spans="1:8">
      <c r="A3189">
        <v>5352</v>
      </c>
      <c r="B3189" t="s">
        <v>2625</v>
      </c>
      <c r="C3189">
        <v>5697</v>
      </c>
      <c r="D3189" t="s">
        <v>2344</v>
      </c>
      <c r="E3189" t="s">
        <v>2036</v>
      </c>
      <c r="F3189">
        <v>202206</v>
      </c>
      <c r="G3189" t="s">
        <v>184</v>
      </c>
      <c r="H3189">
        <v>35429</v>
      </c>
    </row>
    <row r="3190" spans="1:8">
      <c r="A3190">
        <v>5352</v>
      </c>
      <c r="B3190" t="s">
        <v>2625</v>
      </c>
      <c r="C3190">
        <v>5697</v>
      </c>
      <c r="D3190" t="s">
        <v>2344</v>
      </c>
      <c r="E3190" t="s">
        <v>2036</v>
      </c>
      <c r="F3190">
        <v>202206</v>
      </c>
      <c r="G3190" t="s">
        <v>192</v>
      </c>
      <c r="H3190">
        <v>0</v>
      </c>
    </row>
    <row r="3191" spans="1:8">
      <c r="A3191">
        <v>5352</v>
      </c>
      <c r="B3191" t="s">
        <v>2625</v>
      </c>
      <c r="C3191">
        <v>5697</v>
      </c>
      <c r="D3191" t="s">
        <v>2344</v>
      </c>
      <c r="E3191" t="s">
        <v>2036</v>
      </c>
      <c r="F3191">
        <v>202206</v>
      </c>
      <c r="G3191" t="s">
        <v>2170</v>
      </c>
      <c r="H3191">
        <v>2832.79</v>
      </c>
    </row>
    <row r="3192" spans="1:8">
      <c r="A3192">
        <v>5352</v>
      </c>
      <c r="B3192" t="s">
        <v>2625</v>
      </c>
      <c r="C3192">
        <v>5697</v>
      </c>
      <c r="D3192" t="s">
        <v>2344</v>
      </c>
      <c r="E3192" t="s">
        <v>2036</v>
      </c>
      <c r="F3192">
        <v>202206</v>
      </c>
      <c r="G3192" t="s">
        <v>186</v>
      </c>
      <c r="H3192">
        <v>0</v>
      </c>
    </row>
    <row r="3193" spans="1:8">
      <c r="A3193">
        <v>5352</v>
      </c>
      <c r="B3193" t="s">
        <v>2625</v>
      </c>
      <c r="C3193">
        <v>5697</v>
      </c>
      <c r="D3193" t="s">
        <v>2344</v>
      </c>
      <c r="E3193" t="s">
        <v>2036</v>
      </c>
      <c r="F3193">
        <v>202206</v>
      </c>
      <c r="G3193" t="s">
        <v>2169</v>
      </c>
      <c r="H3193">
        <v>182.65</v>
      </c>
    </row>
    <row r="3194" spans="1:8">
      <c r="A3194">
        <v>5352</v>
      </c>
      <c r="B3194" t="s">
        <v>2625</v>
      </c>
      <c r="C3194">
        <v>5697</v>
      </c>
      <c r="D3194" t="s">
        <v>2344</v>
      </c>
      <c r="E3194" t="s">
        <v>2036</v>
      </c>
      <c r="F3194">
        <v>202206</v>
      </c>
      <c r="G3194" t="s">
        <v>2166</v>
      </c>
      <c r="H3194">
        <v>11.83</v>
      </c>
    </row>
    <row r="3195" spans="1:8">
      <c r="A3195">
        <v>5352</v>
      </c>
      <c r="B3195" t="s">
        <v>2625</v>
      </c>
      <c r="C3195">
        <v>5697</v>
      </c>
      <c r="D3195" t="s">
        <v>2344</v>
      </c>
      <c r="E3195" t="s">
        <v>2036</v>
      </c>
      <c r="F3195">
        <v>202206</v>
      </c>
      <c r="G3195" t="s">
        <v>2167</v>
      </c>
      <c r="H3195">
        <v>21.22</v>
      </c>
    </row>
    <row r="3196" spans="1:8">
      <c r="A3196">
        <v>5352</v>
      </c>
      <c r="B3196" t="s">
        <v>2625</v>
      </c>
      <c r="C3196">
        <v>5697</v>
      </c>
      <c r="D3196" t="s">
        <v>2344</v>
      </c>
      <c r="E3196" t="s">
        <v>2036</v>
      </c>
      <c r="F3196">
        <v>202206</v>
      </c>
      <c r="G3196" t="s">
        <v>2168</v>
      </c>
      <c r="H3196">
        <v>14.37</v>
      </c>
    </row>
    <row r="3197" spans="1:8">
      <c r="A3197">
        <v>5352</v>
      </c>
      <c r="B3197" t="s">
        <v>2625</v>
      </c>
      <c r="C3197">
        <v>5697</v>
      </c>
      <c r="D3197" t="s">
        <v>2344</v>
      </c>
      <c r="E3197" t="s">
        <v>2036</v>
      </c>
      <c r="F3197">
        <v>202206</v>
      </c>
      <c r="G3197" t="s">
        <v>2171</v>
      </c>
      <c r="H3197">
        <v>83761.62</v>
      </c>
    </row>
    <row r="3198" spans="1:8">
      <c r="A3198">
        <v>5352</v>
      </c>
      <c r="B3198" t="s">
        <v>2625</v>
      </c>
      <c r="C3198">
        <v>5697</v>
      </c>
      <c r="D3198" t="s">
        <v>2344</v>
      </c>
      <c r="E3198" t="s">
        <v>2036</v>
      </c>
      <c r="F3198">
        <v>202206</v>
      </c>
      <c r="G3198" t="s">
        <v>190</v>
      </c>
      <c r="H3198">
        <v>180734</v>
      </c>
    </row>
    <row r="3199" spans="1:8">
      <c r="A3199">
        <v>5352</v>
      </c>
      <c r="B3199" t="s">
        <v>2625</v>
      </c>
      <c r="C3199">
        <v>5697</v>
      </c>
      <c r="D3199" t="s">
        <v>2344</v>
      </c>
      <c r="E3199" t="s">
        <v>2036</v>
      </c>
      <c r="F3199">
        <v>202206</v>
      </c>
      <c r="G3199" t="s">
        <v>191</v>
      </c>
      <c r="H3199">
        <v>28111</v>
      </c>
    </row>
    <row r="3200" spans="1:8">
      <c r="A3200">
        <v>5352</v>
      </c>
      <c r="B3200" t="s">
        <v>2625</v>
      </c>
      <c r="C3200">
        <v>5697</v>
      </c>
      <c r="D3200" t="s">
        <v>2344</v>
      </c>
      <c r="E3200" t="s">
        <v>2036</v>
      </c>
      <c r="F3200">
        <v>202206</v>
      </c>
      <c r="G3200" t="s">
        <v>176</v>
      </c>
      <c r="H3200">
        <v>0</v>
      </c>
    </row>
    <row r="3201" spans="1:8">
      <c r="A3201">
        <v>5352</v>
      </c>
      <c r="B3201" t="s">
        <v>2625</v>
      </c>
      <c r="C3201">
        <v>5697</v>
      </c>
      <c r="D3201" t="s">
        <v>2344</v>
      </c>
      <c r="E3201" t="s">
        <v>2036</v>
      </c>
      <c r="F3201">
        <v>202206</v>
      </c>
      <c r="G3201" t="s">
        <v>178</v>
      </c>
      <c r="H3201">
        <v>810</v>
      </c>
    </row>
    <row r="3202" spans="1:8">
      <c r="A3202">
        <v>5352</v>
      </c>
      <c r="B3202" t="s">
        <v>2625</v>
      </c>
      <c r="C3202">
        <v>5697</v>
      </c>
      <c r="D3202" t="s">
        <v>2344</v>
      </c>
      <c r="E3202" t="s">
        <v>2036</v>
      </c>
      <c r="F3202">
        <v>202206</v>
      </c>
      <c r="G3202" t="s">
        <v>180</v>
      </c>
      <c r="H3202">
        <v>930</v>
      </c>
    </row>
    <row r="3203" spans="1:8">
      <c r="A3203">
        <v>5352</v>
      </c>
      <c r="B3203" t="s">
        <v>2625</v>
      </c>
      <c r="C3203">
        <v>5697</v>
      </c>
      <c r="D3203" t="s">
        <v>2344</v>
      </c>
      <c r="E3203" t="s">
        <v>2036</v>
      </c>
      <c r="F3203">
        <v>202206</v>
      </c>
      <c r="G3203" t="s">
        <v>182</v>
      </c>
      <c r="H3203">
        <v>180734</v>
      </c>
    </row>
    <row r="3204" spans="1:8">
      <c r="A3204">
        <v>5352</v>
      </c>
      <c r="B3204" t="s">
        <v>2625</v>
      </c>
      <c r="C3204">
        <v>5697</v>
      </c>
      <c r="D3204" t="s">
        <v>2344</v>
      </c>
      <c r="E3204" t="s">
        <v>2036</v>
      </c>
      <c r="F3204">
        <v>202206</v>
      </c>
      <c r="G3204" t="s">
        <v>184</v>
      </c>
      <c r="H3204">
        <v>28111</v>
      </c>
    </row>
    <row r="3205" spans="1:8">
      <c r="A3205">
        <v>5352</v>
      </c>
      <c r="B3205" t="s">
        <v>2625</v>
      </c>
      <c r="C3205">
        <v>5697</v>
      </c>
      <c r="D3205" t="s">
        <v>2344</v>
      </c>
      <c r="E3205" t="s">
        <v>2036</v>
      </c>
      <c r="F3205">
        <v>202206</v>
      </c>
      <c r="G3205" t="s">
        <v>192</v>
      </c>
      <c r="H3205">
        <v>0</v>
      </c>
    </row>
    <row r="3206" spans="1:8">
      <c r="A3206">
        <v>5352</v>
      </c>
      <c r="B3206" t="s">
        <v>2625</v>
      </c>
      <c r="C3206">
        <v>5697</v>
      </c>
      <c r="D3206" t="s">
        <v>2344</v>
      </c>
      <c r="E3206" t="s">
        <v>2036</v>
      </c>
      <c r="F3206">
        <v>202206</v>
      </c>
      <c r="G3206" t="s">
        <v>2170</v>
      </c>
      <c r="H3206">
        <v>2291.79</v>
      </c>
    </row>
    <row r="3207" spans="1:8">
      <c r="A3207">
        <v>5352</v>
      </c>
      <c r="B3207" t="s">
        <v>2625</v>
      </c>
      <c r="C3207">
        <v>5697</v>
      </c>
      <c r="D3207" t="s">
        <v>2344</v>
      </c>
      <c r="E3207" t="s">
        <v>2036</v>
      </c>
      <c r="F3207">
        <v>202206</v>
      </c>
      <c r="G3207" t="s">
        <v>186</v>
      </c>
      <c r="H3207">
        <v>0</v>
      </c>
    </row>
    <row r="3208" spans="1:8">
      <c r="A3208">
        <v>5352</v>
      </c>
      <c r="B3208" t="s">
        <v>2625</v>
      </c>
      <c r="C3208">
        <v>5697</v>
      </c>
      <c r="D3208" t="s">
        <v>2344</v>
      </c>
      <c r="E3208" t="s">
        <v>2036</v>
      </c>
      <c r="F3208">
        <v>202206</v>
      </c>
      <c r="G3208" t="s">
        <v>2169</v>
      </c>
      <c r="H3208">
        <v>182.65</v>
      </c>
    </row>
    <row r="3209" spans="1:8">
      <c r="A3209">
        <v>5352</v>
      </c>
      <c r="B3209" t="s">
        <v>2625</v>
      </c>
      <c r="C3209">
        <v>5697</v>
      </c>
      <c r="D3209" t="s">
        <v>2344</v>
      </c>
      <c r="E3209" t="s">
        <v>2036</v>
      </c>
      <c r="F3209">
        <v>202206</v>
      </c>
      <c r="G3209" t="s">
        <v>2166</v>
      </c>
      <c r="H3209">
        <v>11.83</v>
      </c>
    </row>
    <row r="3210" spans="1:8">
      <c r="A3210">
        <v>5352</v>
      </c>
      <c r="B3210" t="s">
        <v>2625</v>
      </c>
      <c r="C3210">
        <v>5697</v>
      </c>
      <c r="D3210" t="s">
        <v>2344</v>
      </c>
      <c r="E3210" t="s">
        <v>2036</v>
      </c>
      <c r="F3210">
        <v>202206</v>
      </c>
      <c r="G3210" t="s">
        <v>2167</v>
      </c>
      <c r="H3210">
        <v>21.22</v>
      </c>
    </row>
    <row r="3211" spans="1:8">
      <c r="A3211">
        <v>5352</v>
      </c>
      <c r="B3211" t="s">
        <v>2625</v>
      </c>
      <c r="C3211">
        <v>5697</v>
      </c>
      <c r="D3211" t="s">
        <v>2344</v>
      </c>
      <c r="E3211" t="s">
        <v>2036</v>
      </c>
      <c r="F3211">
        <v>202206</v>
      </c>
      <c r="G3211" t="s">
        <v>2168</v>
      </c>
      <c r="H3211">
        <v>14.37</v>
      </c>
    </row>
    <row r="3212" spans="1:8">
      <c r="A3212">
        <v>5352</v>
      </c>
      <c r="B3212" t="s">
        <v>2625</v>
      </c>
      <c r="C3212">
        <v>5697</v>
      </c>
      <c r="D3212" t="s">
        <v>2344</v>
      </c>
      <c r="E3212" t="s">
        <v>2036</v>
      </c>
      <c r="F3212">
        <v>202206</v>
      </c>
      <c r="G3212" t="s">
        <v>2171</v>
      </c>
      <c r="H3212">
        <v>72755.31</v>
      </c>
    </row>
    <row r="3213" spans="1:8">
      <c r="A3213">
        <v>5352</v>
      </c>
      <c r="B3213" t="s">
        <v>2625</v>
      </c>
      <c r="C3213">
        <v>5697</v>
      </c>
      <c r="D3213" t="s">
        <v>2344</v>
      </c>
      <c r="E3213" t="s">
        <v>2036</v>
      </c>
      <c r="F3213">
        <v>202206</v>
      </c>
      <c r="G3213" t="s">
        <v>190</v>
      </c>
      <c r="H3213">
        <v>56845</v>
      </c>
    </row>
    <row r="3214" spans="1:8">
      <c r="A3214">
        <v>5352</v>
      </c>
      <c r="B3214" t="s">
        <v>2625</v>
      </c>
      <c r="C3214">
        <v>5697</v>
      </c>
      <c r="D3214" t="s">
        <v>2344</v>
      </c>
      <c r="E3214" t="s">
        <v>2036</v>
      </c>
      <c r="F3214">
        <v>202206</v>
      </c>
      <c r="G3214" t="s">
        <v>191</v>
      </c>
      <c r="H3214">
        <v>8341</v>
      </c>
    </row>
    <row r="3215" spans="1:8">
      <c r="A3215">
        <v>5352</v>
      </c>
      <c r="B3215" t="s">
        <v>2625</v>
      </c>
      <c r="C3215">
        <v>5697</v>
      </c>
      <c r="D3215" t="s">
        <v>2344</v>
      </c>
      <c r="E3215" t="s">
        <v>2036</v>
      </c>
      <c r="F3215">
        <v>202206</v>
      </c>
      <c r="G3215" t="s">
        <v>176</v>
      </c>
      <c r="H3215">
        <v>0</v>
      </c>
    </row>
    <row r="3216" spans="1:8">
      <c r="A3216">
        <v>5352</v>
      </c>
      <c r="B3216" t="s">
        <v>2625</v>
      </c>
      <c r="C3216">
        <v>5697</v>
      </c>
      <c r="D3216" t="s">
        <v>2344</v>
      </c>
      <c r="E3216" t="s">
        <v>2036</v>
      </c>
      <c r="F3216">
        <v>202206</v>
      </c>
      <c r="G3216" t="s">
        <v>178</v>
      </c>
      <c r="H3216">
        <v>250</v>
      </c>
    </row>
    <row r="3217" spans="1:8">
      <c r="A3217">
        <v>5352</v>
      </c>
      <c r="B3217" t="s">
        <v>2625</v>
      </c>
      <c r="C3217">
        <v>5697</v>
      </c>
      <c r="D3217" t="s">
        <v>2344</v>
      </c>
      <c r="E3217" t="s">
        <v>2036</v>
      </c>
      <c r="F3217">
        <v>202206</v>
      </c>
      <c r="G3217" t="s">
        <v>180</v>
      </c>
      <c r="H3217">
        <v>250</v>
      </c>
    </row>
    <row r="3218" spans="1:8">
      <c r="A3218">
        <v>5352</v>
      </c>
      <c r="B3218" t="s">
        <v>2625</v>
      </c>
      <c r="C3218">
        <v>5697</v>
      </c>
      <c r="D3218" t="s">
        <v>2344</v>
      </c>
      <c r="E3218" t="s">
        <v>2036</v>
      </c>
      <c r="F3218">
        <v>202206</v>
      </c>
      <c r="G3218" t="s">
        <v>182</v>
      </c>
      <c r="H3218">
        <v>56845</v>
      </c>
    </row>
    <row r="3219" spans="1:8">
      <c r="A3219">
        <v>5352</v>
      </c>
      <c r="B3219" t="s">
        <v>2625</v>
      </c>
      <c r="C3219">
        <v>5697</v>
      </c>
      <c r="D3219" t="s">
        <v>2344</v>
      </c>
      <c r="E3219" t="s">
        <v>2036</v>
      </c>
      <c r="F3219">
        <v>202206</v>
      </c>
      <c r="G3219" t="s">
        <v>184</v>
      </c>
      <c r="H3219">
        <v>8341</v>
      </c>
    </row>
    <row r="3220" spans="1:8">
      <c r="A3220">
        <v>5352</v>
      </c>
      <c r="B3220" t="s">
        <v>2625</v>
      </c>
      <c r="C3220">
        <v>5697</v>
      </c>
      <c r="D3220" t="s">
        <v>2344</v>
      </c>
      <c r="E3220" t="s">
        <v>2036</v>
      </c>
      <c r="F3220">
        <v>202206</v>
      </c>
      <c r="G3220" t="s">
        <v>192</v>
      </c>
      <c r="H3220">
        <v>0</v>
      </c>
    </row>
    <row r="3221" spans="1:8">
      <c r="A3221">
        <v>5352</v>
      </c>
      <c r="B3221" t="s">
        <v>2625</v>
      </c>
      <c r="C3221">
        <v>5697</v>
      </c>
      <c r="D3221" t="s">
        <v>2344</v>
      </c>
      <c r="E3221" t="s">
        <v>2036</v>
      </c>
      <c r="F3221">
        <v>202206</v>
      </c>
      <c r="G3221" t="s">
        <v>2170</v>
      </c>
      <c r="H3221">
        <v>686.43</v>
      </c>
    </row>
    <row r="3222" spans="1:8">
      <c r="A3222">
        <v>5352</v>
      </c>
      <c r="B3222" t="s">
        <v>2625</v>
      </c>
      <c r="C3222">
        <v>5697</v>
      </c>
      <c r="D3222" t="s">
        <v>2344</v>
      </c>
      <c r="E3222" t="s">
        <v>2036</v>
      </c>
      <c r="F3222">
        <v>202206</v>
      </c>
      <c r="G3222" t="s">
        <v>186</v>
      </c>
      <c r="H3222">
        <v>0</v>
      </c>
    </row>
    <row r="3223" spans="1:8">
      <c r="A3223">
        <v>5352</v>
      </c>
      <c r="B3223" t="s">
        <v>2625</v>
      </c>
      <c r="C3223">
        <v>5697</v>
      </c>
      <c r="D3223" t="s">
        <v>2344</v>
      </c>
      <c r="E3223" t="s">
        <v>2036</v>
      </c>
      <c r="F3223">
        <v>202206</v>
      </c>
      <c r="G3223" t="s">
        <v>2169</v>
      </c>
      <c r="H3223">
        <v>182.65</v>
      </c>
    </row>
    <row r="3224" spans="1:8">
      <c r="A3224">
        <v>5352</v>
      </c>
      <c r="B3224" t="s">
        <v>2625</v>
      </c>
      <c r="C3224">
        <v>5697</v>
      </c>
      <c r="D3224" t="s">
        <v>2344</v>
      </c>
      <c r="E3224" t="s">
        <v>2036</v>
      </c>
      <c r="F3224">
        <v>202206</v>
      </c>
      <c r="G3224" t="s">
        <v>2166</v>
      </c>
      <c r="H3224">
        <v>11.83</v>
      </c>
    </row>
    <row r="3225" spans="1:8">
      <c r="A3225">
        <v>5352</v>
      </c>
      <c r="B3225" t="s">
        <v>2625</v>
      </c>
      <c r="C3225">
        <v>5697</v>
      </c>
      <c r="D3225" t="s">
        <v>2344</v>
      </c>
      <c r="E3225" t="s">
        <v>2036</v>
      </c>
      <c r="F3225">
        <v>202206</v>
      </c>
      <c r="G3225" t="s">
        <v>2167</v>
      </c>
      <c r="H3225">
        <v>21.22</v>
      </c>
    </row>
    <row r="3226" spans="1:8">
      <c r="A3226">
        <v>5352</v>
      </c>
      <c r="B3226" t="s">
        <v>2625</v>
      </c>
      <c r="C3226">
        <v>5697</v>
      </c>
      <c r="D3226" t="s">
        <v>2344</v>
      </c>
      <c r="E3226" t="s">
        <v>2036</v>
      </c>
      <c r="F3226">
        <v>202206</v>
      </c>
      <c r="G3226" t="s">
        <v>2168</v>
      </c>
      <c r="H3226">
        <v>14.37</v>
      </c>
    </row>
    <row r="3227" spans="1:8">
      <c r="A3227">
        <v>5352</v>
      </c>
      <c r="B3227" t="s">
        <v>2625</v>
      </c>
      <c r="C3227">
        <v>5697</v>
      </c>
      <c r="D3227" t="s">
        <v>2344</v>
      </c>
      <c r="E3227" t="s">
        <v>2036</v>
      </c>
      <c r="F3227">
        <v>202206</v>
      </c>
      <c r="G3227" t="s">
        <v>2171</v>
      </c>
      <c r="H3227">
        <v>25657.35</v>
      </c>
    </row>
    <row r="3228" spans="1:8">
      <c r="A3228">
        <v>5352</v>
      </c>
      <c r="B3228" t="s">
        <v>2625</v>
      </c>
      <c r="C3228">
        <v>5697</v>
      </c>
      <c r="D3228" t="s">
        <v>2344</v>
      </c>
      <c r="E3228" t="s">
        <v>2036</v>
      </c>
      <c r="F3228">
        <v>202206</v>
      </c>
      <c r="G3228" t="s">
        <v>190</v>
      </c>
      <c r="H3228">
        <v>11416</v>
      </c>
    </row>
    <row r="3229" spans="1:8">
      <c r="A3229">
        <v>5352</v>
      </c>
      <c r="B3229" t="s">
        <v>2625</v>
      </c>
      <c r="C3229">
        <v>5697</v>
      </c>
      <c r="D3229" t="s">
        <v>2344</v>
      </c>
      <c r="E3229" t="s">
        <v>2036</v>
      </c>
      <c r="F3229">
        <v>202206</v>
      </c>
      <c r="G3229" t="s">
        <v>191</v>
      </c>
      <c r="H3229">
        <v>1832</v>
      </c>
    </row>
    <row r="3230" spans="1:8">
      <c r="A3230">
        <v>5352</v>
      </c>
      <c r="B3230" t="s">
        <v>2625</v>
      </c>
      <c r="C3230">
        <v>5697</v>
      </c>
      <c r="D3230" t="s">
        <v>2344</v>
      </c>
      <c r="E3230" t="s">
        <v>2036</v>
      </c>
      <c r="F3230">
        <v>202206</v>
      </c>
      <c r="G3230" t="s">
        <v>176</v>
      </c>
      <c r="H3230">
        <v>-405.01</v>
      </c>
    </row>
    <row r="3231" spans="1:8">
      <c r="A3231">
        <v>5352</v>
      </c>
      <c r="B3231" t="s">
        <v>2625</v>
      </c>
      <c r="C3231">
        <v>5697</v>
      </c>
      <c r="D3231" t="s">
        <v>2344</v>
      </c>
      <c r="E3231" t="s">
        <v>2036</v>
      </c>
      <c r="F3231">
        <v>202206</v>
      </c>
      <c r="G3231" t="s">
        <v>178</v>
      </c>
      <c r="H3231">
        <v>120</v>
      </c>
    </row>
    <row r="3232" spans="1:8">
      <c r="A3232">
        <v>5352</v>
      </c>
      <c r="B3232" t="s">
        <v>2625</v>
      </c>
      <c r="C3232">
        <v>5697</v>
      </c>
      <c r="D3232" t="s">
        <v>2344</v>
      </c>
      <c r="E3232" t="s">
        <v>2036</v>
      </c>
      <c r="F3232">
        <v>202206</v>
      </c>
      <c r="G3232" t="s">
        <v>180</v>
      </c>
      <c r="H3232">
        <v>120</v>
      </c>
    </row>
    <row r="3233" spans="1:8">
      <c r="A3233">
        <v>5352</v>
      </c>
      <c r="B3233" t="s">
        <v>2625</v>
      </c>
      <c r="C3233">
        <v>5697</v>
      </c>
      <c r="D3233" t="s">
        <v>2344</v>
      </c>
      <c r="E3233" t="s">
        <v>2036</v>
      </c>
      <c r="F3233">
        <v>202206</v>
      </c>
      <c r="G3233" t="s">
        <v>182</v>
      </c>
      <c r="H3233">
        <v>11416</v>
      </c>
    </row>
    <row r="3234" spans="1:8">
      <c r="A3234">
        <v>5352</v>
      </c>
      <c r="B3234" t="s">
        <v>2625</v>
      </c>
      <c r="C3234">
        <v>5697</v>
      </c>
      <c r="D3234" t="s">
        <v>2344</v>
      </c>
      <c r="E3234" t="s">
        <v>2036</v>
      </c>
      <c r="F3234">
        <v>202206</v>
      </c>
      <c r="G3234" t="s">
        <v>184</v>
      </c>
      <c r="H3234">
        <v>1832</v>
      </c>
    </row>
    <row r="3235" spans="1:8">
      <c r="A3235">
        <v>5352</v>
      </c>
      <c r="B3235" t="s">
        <v>2625</v>
      </c>
      <c r="C3235">
        <v>5697</v>
      </c>
      <c r="D3235" t="s">
        <v>2344</v>
      </c>
      <c r="E3235" t="s">
        <v>2036</v>
      </c>
      <c r="F3235">
        <v>202206</v>
      </c>
      <c r="G3235" t="s">
        <v>192</v>
      </c>
      <c r="H3235">
        <v>0</v>
      </c>
    </row>
    <row r="3236" spans="1:8">
      <c r="A3236">
        <v>5352</v>
      </c>
      <c r="B3236" t="s">
        <v>2625</v>
      </c>
      <c r="C3236">
        <v>5697</v>
      </c>
      <c r="D3236" t="s">
        <v>2344</v>
      </c>
      <c r="E3236" t="s">
        <v>2036</v>
      </c>
      <c r="F3236">
        <v>202206</v>
      </c>
      <c r="G3236" t="s">
        <v>2170</v>
      </c>
      <c r="H3236">
        <v>213.88</v>
      </c>
    </row>
    <row r="3237" spans="1:8">
      <c r="A3237">
        <v>5352</v>
      </c>
      <c r="B3237" t="s">
        <v>2625</v>
      </c>
      <c r="C3237">
        <v>5697</v>
      </c>
      <c r="D3237" t="s">
        <v>2344</v>
      </c>
      <c r="E3237" t="s">
        <v>2036</v>
      </c>
      <c r="F3237">
        <v>202206</v>
      </c>
      <c r="G3237" t="s">
        <v>186</v>
      </c>
      <c r="H3237">
        <v>0</v>
      </c>
    </row>
    <row r="3238" spans="1:8">
      <c r="A3238">
        <v>5352</v>
      </c>
      <c r="B3238" t="s">
        <v>2625</v>
      </c>
      <c r="C3238">
        <v>5697</v>
      </c>
      <c r="D3238" t="s">
        <v>2344</v>
      </c>
      <c r="E3238" t="s">
        <v>2036</v>
      </c>
      <c r="F3238">
        <v>202206</v>
      </c>
      <c r="G3238" t="s">
        <v>2169</v>
      </c>
      <c r="H3238">
        <v>182.65</v>
      </c>
    </row>
    <row r="3239" spans="1:8">
      <c r="A3239">
        <v>5352</v>
      </c>
      <c r="B3239" t="s">
        <v>2625</v>
      </c>
      <c r="C3239">
        <v>5697</v>
      </c>
      <c r="D3239" t="s">
        <v>2344</v>
      </c>
      <c r="E3239" t="s">
        <v>2036</v>
      </c>
      <c r="F3239">
        <v>202206</v>
      </c>
      <c r="G3239" t="s">
        <v>2166</v>
      </c>
      <c r="H3239">
        <v>11.83</v>
      </c>
    </row>
    <row r="3240" spans="1:8">
      <c r="A3240">
        <v>5352</v>
      </c>
      <c r="B3240" t="s">
        <v>2625</v>
      </c>
      <c r="C3240">
        <v>5697</v>
      </c>
      <c r="D3240" t="s">
        <v>2344</v>
      </c>
      <c r="E3240" t="s">
        <v>2036</v>
      </c>
      <c r="F3240">
        <v>202206</v>
      </c>
      <c r="G3240" t="s">
        <v>2167</v>
      </c>
      <c r="H3240">
        <v>21.22</v>
      </c>
    </row>
    <row r="3241" spans="1:8">
      <c r="A3241">
        <v>5352</v>
      </c>
      <c r="B3241" t="s">
        <v>2625</v>
      </c>
      <c r="C3241">
        <v>5697</v>
      </c>
      <c r="D3241" t="s">
        <v>2344</v>
      </c>
      <c r="E3241" t="s">
        <v>2036</v>
      </c>
      <c r="F3241">
        <v>202206</v>
      </c>
      <c r="G3241" t="s">
        <v>2168</v>
      </c>
      <c r="H3241">
        <v>14.37</v>
      </c>
    </row>
    <row r="3242" spans="1:8">
      <c r="A3242">
        <v>5352</v>
      </c>
      <c r="B3242" t="s">
        <v>2625</v>
      </c>
      <c r="C3242">
        <v>5697</v>
      </c>
      <c r="D3242" t="s">
        <v>2344</v>
      </c>
      <c r="E3242" t="s">
        <v>2036</v>
      </c>
      <c r="F3242">
        <v>202206</v>
      </c>
      <c r="G3242" t="s">
        <v>2171</v>
      </c>
      <c r="H3242">
        <v>6384.97</v>
      </c>
    </row>
    <row r="3243" spans="1:8">
      <c r="A3243">
        <v>5352</v>
      </c>
      <c r="B3243" t="s">
        <v>2625</v>
      </c>
      <c r="C3243">
        <v>5697</v>
      </c>
      <c r="D3243" t="s">
        <v>2344</v>
      </c>
      <c r="E3243" t="s">
        <v>2036</v>
      </c>
      <c r="F3243">
        <v>202206</v>
      </c>
      <c r="G3243" t="s">
        <v>190</v>
      </c>
      <c r="H3243">
        <v>183607</v>
      </c>
    </row>
    <row r="3244" spans="1:8">
      <c r="A3244">
        <v>5352</v>
      </c>
      <c r="B3244" t="s">
        <v>2625</v>
      </c>
      <c r="C3244">
        <v>5697</v>
      </c>
      <c r="D3244" t="s">
        <v>2344</v>
      </c>
      <c r="E3244" t="s">
        <v>2036</v>
      </c>
      <c r="F3244">
        <v>202206</v>
      </c>
      <c r="G3244" t="s">
        <v>191</v>
      </c>
      <c r="H3244">
        <v>27620</v>
      </c>
    </row>
    <row r="3245" spans="1:8">
      <c r="A3245">
        <v>5352</v>
      </c>
      <c r="B3245" t="s">
        <v>2625</v>
      </c>
      <c r="C3245">
        <v>5697</v>
      </c>
      <c r="D3245" t="s">
        <v>2344</v>
      </c>
      <c r="E3245" t="s">
        <v>2036</v>
      </c>
      <c r="F3245">
        <v>202206</v>
      </c>
      <c r="G3245" t="s">
        <v>176</v>
      </c>
      <c r="H3245">
        <v>-4491.37</v>
      </c>
    </row>
    <row r="3246" spans="1:8">
      <c r="A3246">
        <v>5352</v>
      </c>
      <c r="B3246" t="s">
        <v>2625</v>
      </c>
      <c r="C3246">
        <v>5697</v>
      </c>
      <c r="D3246" t="s">
        <v>2344</v>
      </c>
      <c r="E3246" t="s">
        <v>2036</v>
      </c>
      <c r="F3246">
        <v>202206</v>
      </c>
      <c r="G3246" t="s">
        <v>178</v>
      </c>
      <c r="H3246">
        <v>900</v>
      </c>
    </row>
    <row r="3247" spans="1:8">
      <c r="A3247">
        <v>5352</v>
      </c>
      <c r="B3247" t="s">
        <v>2625</v>
      </c>
      <c r="C3247">
        <v>5697</v>
      </c>
      <c r="D3247" t="s">
        <v>2344</v>
      </c>
      <c r="E3247" t="s">
        <v>2036</v>
      </c>
      <c r="F3247">
        <v>202206</v>
      </c>
      <c r="G3247" t="s">
        <v>180</v>
      </c>
      <c r="H3247">
        <v>850</v>
      </c>
    </row>
    <row r="3248" spans="1:8">
      <c r="A3248">
        <v>5352</v>
      </c>
      <c r="B3248" t="s">
        <v>2625</v>
      </c>
      <c r="C3248">
        <v>5697</v>
      </c>
      <c r="D3248" t="s">
        <v>2344</v>
      </c>
      <c r="E3248" t="s">
        <v>2036</v>
      </c>
      <c r="F3248">
        <v>202206</v>
      </c>
      <c r="G3248" t="s">
        <v>182</v>
      </c>
      <c r="H3248">
        <v>183607</v>
      </c>
    </row>
    <row r="3249" spans="1:8">
      <c r="A3249">
        <v>5352</v>
      </c>
      <c r="B3249" t="s">
        <v>2625</v>
      </c>
      <c r="C3249">
        <v>5697</v>
      </c>
      <c r="D3249" t="s">
        <v>2344</v>
      </c>
      <c r="E3249" t="s">
        <v>2036</v>
      </c>
      <c r="F3249">
        <v>202206</v>
      </c>
      <c r="G3249" t="s">
        <v>184</v>
      </c>
      <c r="H3249">
        <v>27620</v>
      </c>
    </row>
    <row r="3250" spans="1:8">
      <c r="A3250">
        <v>5352</v>
      </c>
      <c r="B3250" t="s">
        <v>2625</v>
      </c>
      <c r="C3250">
        <v>5697</v>
      </c>
      <c r="D3250" t="s">
        <v>2344</v>
      </c>
      <c r="E3250" t="s">
        <v>2036</v>
      </c>
      <c r="F3250">
        <v>202206</v>
      </c>
      <c r="G3250" t="s">
        <v>192</v>
      </c>
      <c r="H3250">
        <v>0</v>
      </c>
    </row>
    <row r="3251" spans="1:8">
      <c r="A3251">
        <v>5352</v>
      </c>
      <c r="B3251" t="s">
        <v>2625</v>
      </c>
      <c r="C3251">
        <v>5697</v>
      </c>
      <c r="D3251" t="s">
        <v>2344</v>
      </c>
      <c r="E3251" t="s">
        <v>2036</v>
      </c>
      <c r="F3251">
        <v>202206</v>
      </c>
      <c r="G3251" t="s">
        <v>2170</v>
      </c>
      <c r="H3251">
        <v>2286.4699999999998</v>
      </c>
    </row>
    <row r="3252" spans="1:8">
      <c r="A3252">
        <v>5352</v>
      </c>
      <c r="B3252" t="s">
        <v>2625</v>
      </c>
      <c r="C3252">
        <v>5697</v>
      </c>
      <c r="D3252" t="s">
        <v>2344</v>
      </c>
      <c r="E3252" t="s">
        <v>2036</v>
      </c>
      <c r="F3252">
        <v>202206</v>
      </c>
      <c r="G3252" t="s">
        <v>186</v>
      </c>
      <c r="H3252">
        <v>0</v>
      </c>
    </row>
    <row r="3253" spans="1:8">
      <c r="A3253">
        <v>5352</v>
      </c>
      <c r="B3253" t="s">
        <v>2625</v>
      </c>
      <c r="C3253">
        <v>5697</v>
      </c>
      <c r="D3253" t="s">
        <v>2344</v>
      </c>
      <c r="E3253" t="s">
        <v>2036</v>
      </c>
      <c r="F3253">
        <v>202206</v>
      </c>
      <c r="G3253" t="s">
        <v>2169</v>
      </c>
      <c r="H3253">
        <v>182.65</v>
      </c>
    </row>
    <row r="3254" spans="1:8">
      <c r="A3254">
        <v>5352</v>
      </c>
      <c r="B3254" t="s">
        <v>2625</v>
      </c>
      <c r="C3254">
        <v>5697</v>
      </c>
      <c r="D3254" t="s">
        <v>2344</v>
      </c>
      <c r="E3254" t="s">
        <v>2036</v>
      </c>
      <c r="F3254">
        <v>202206</v>
      </c>
      <c r="G3254" t="s">
        <v>2166</v>
      </c>
      <c r="H3254">
        <v>11.83</v>
      </c>
    </row>
    <row r="3255" spans="1:8">
      <c r="A3255">
        <v>5352</v>
      </c>
      <c r="B3255" t="s">
        <v>2625</v>
      </c>
      <c r="C3255">
        <v>5697</v>
      </c>
      <c r="D3255" t="s">
        <v>2344</v>
      </c>
      <c r="E3255" t="s">
        <v>2036</v>
      </c>
      <c r="F3255">
        <v>202206</v>
      </c>
      <c r="G3255" t="s">
        <v>2167</v>
      </c>
      <c r="H3255">
        <v>21.22</v>
      </c>
    </row>
    <row r="3256" spans="1:8">
      <c r="A3256">
        <v>5352</v>
      </c>
      <c r="B3256" t="s">
        <v>2625</v>
      </c>
      <c r="C3256">
        <v>5697</v>
      </c>
      <c r="D3256" t="s">
        <v>2344</v>
      </c>
      <c r="E3256" t="s">
        <v>2036</v>
      </c>
      <c r="F3256">
        <v>202206</v>
      </c>
      <c r="G3256" t="s">
        <v>2168</v>
      </c>
      <c r="H3256">
        <v>14.37</v>
      </c>
    </row>
    <row r="3257" spans="1:8">
      <c r="A3257">
        <v>5352</v>
      </c>
      <c r="B3257" t="s">
        <v>2625</v>
      </c>
      <c r="C3257">
        <v>5697</v>
      </c>
      <c r="D3257" t="s">
        <v>2344</v>
      </c>
      <c r="E3257" t="s">
        <v>2036</v>
      </c>
      <c r="F3257">
        <v>202206</v>
      </c>
      <c r="G3257" t="s">
        <v>2171</v>
      </c>
      <c r="H3257">
        <v>68095.02</v>
      </c>
    </row>
    <row r="3258" spans="1:8">
      <c r="A3258">
        <v>5352</v>
      </c>
      <c r="B3258" t="s">
        <v>2625</v>
      </c>
      <c r="C3258">
        <v>5697</v>
      </c>
      <c r="D3258" t="s">
        <v>2344</v>
      </c>
      <c r="E3258" t="s">
        <v>2036</v>
      </c>
      <c r="F3258">
        <v>202206</v>
      </c>
      <c r="G3258" t="s">
        <v>190</v>
      </c>
      <c r="H3258">
        <v>100005</v>
      </c>
    </row>
    <row r="3259" spans="1:8">
      <c r="A3259">
        <v>5352</v>
      </c>
      <c r="B3259" t="s">
        <v>2625</v>
      </c>
      <c r="C3259">
        <v>5697</v>
      </c>
      <c r="D3259" t="s">
        <v>2344</v>
      </c>
      <c r="E3259" t="s">
        <v>2036</v>
      </c>
      <c r="F3259">
        <v>202206</v>
      </c>
      <c r="G3259" t="s">
        <v>191</v>
      </c>
      <c r="H3259">
        <v>13567</v>
      </c>
    </row>
    <row r="3260" spans="1:8">
      <c r="A3260">
        <v>5352</v>
      </c>
      <c r="B3260" t="s">
        <v>2625</v>
      </c>
      <c r="C3260">
        <v>5697</v>
      </c>
      <c r="D3260" t="s">
        <v>2344</v>
      </c>
      <c r="E3260" t="s">
        <v>2036</v>
      </c>
      <c r="F3260">
        <v>202206</v>
      </c>
      <c r="G3260" t="s">
        <v>176</v>
      </c>
      <c r="H3260">
        <v>-3960.38</v>
      </c>
    </row>
    <row r="3261" spans="1:8">
      <c r="A3261">
        <v>5352</v>
      </c>
      <c r="B3261" t="s">
        <v>2625</v>
      </c>
      <c r="C3261">
        <v>5697</v>
      </c>
      <c r="D3261" t="s">
        <v>2344</v>
      </c>
      <c r="E3261" t="s">
        <v>2036</v>
      </c>
      <c r="F3261">
        <v>202206</v>
      </c>
      <c r="G3261" t="s">
        <v>178</v>
      </c>
      <c r="H3261">
        <v>320</v>
      </c>
    </row>
    <row r="3262" spans="1:8">
      <c r="A3262">
        <v>5352</v>
      </c>
      <c r="B3262" t="s">
        <v>2625</v>
      </c>
      <c r="C3262">
        <v>5697</v>
      </c>
      <c r="D3262" t="s">
        <v>2344</v>
      </c>
      <c r="E3262" t="s">
        <v>2036</v>
      </c>
      <c r="F3262">
        <v>202206</v>
      </c>
      <c r="G3262" t="s">
        <v>180</v>
      </c>
      <c r="H3262">
        <v>320</v>
      </c>
    </row>
    <row r="3263" spans="1:8">
      <c r="A3263">
        <v>5352</v>
      </c>
      <c r="B3263" t="s">
        <v>2625</v>
      </c>
      <c r="C3263">
        <v>5697</v>
      </c>
      <c r="D3263" t="s">
        <v>2344</v>
      </c>
      <c r="E3263" t="s">
        <v>2036</v>
      </c>
      <c r="F3263">
        <v>202206</v>
      </c>
      <c r="G3263" t="s">
        <v>182</v>
      </c>
      <c r="H3263">
        <v>100005</v>
      </c>
    </row>
    <row r="3264" spans="1:8">
      <c r="A3264">
        <v>5352</v>
      </c>
      <c r="B3264" t="s">
        <v>2625</v>
      </c>
      <c r="C3264">
        <v>5697</v>
      </c>
      <c r="D3264" t="s">
        <v>2344</v>
      </c>
      <c r="E3264" t="s">
        <v>2036</v>
      </c>
      <c r="F3264">
        <v>202206</v>
      </c>
      <c r="G3264" t="s">
        <v>184</v>
      </c>
      <c r="H3264">
        <v>13567</v>
      </c>
    </row>
    <row r="3265" spans="1:8">
      <c r="A3265">
        <v>5352</v>
      </c>
      <c r="B3265" t="s">
        <v>2625</v>
      </c>
      <c r="C3265">
        <v>5697</v>
      </c>
      <c r="D3265" t="s">
        <v>2344</v>
      </c>
      <c r="E3265" t="s">
        <v>2036</v>
      </c>
      <c r="F3265">
        <v>202206</v>
      </c>
      <c r="G3265" t="s">
        <v>192</v>
      </c>
      <c r="H3265">
        <v>0</v>
      </c>
    </row>
    <row r="3266" spans="1:8">
      <c r="A3266">
        <v>5352</v>
      </c>
      <c r="B3266" t="s">
        <v>2625</v>
      </c>
      <c r="C3266">
        <v>5697</v>
      </c>
      <c r="D3266" t="s">
        <v>2344</v>
      </c>
      <c r="E3266" t="s">
        <v>2036</v>
      </c>
      <c r="F3266">
        <v>202206</v>
      </c>
      <c r="G3266" t="s">
        <v>2170</v>
      </c>
      <c r="H3266">
        <v>1071.75</v>
      </c>
    </row>
    <row r="3267" spans="1:8">
      <c r="A3267">
        <v>5352</v>
      </c>
      <c r="B3267" t="s">
        <v>2625</v>
      </c>
      <c r="C3267">
        <v>5697</v>
      </c>
      <c r="D3267" t="s">
        <v>2344</v>
      </c>
      <c r="E3267" t="s">
        <v>2036</v>
      </c>
      <c r="F3267">
        <v>202206</v>
      </c>
      <c r="G3267" t="s">
        <v>186</v>
      </c>
      <c r="H3267">
        <v>0</v>
      </c>
    </row>
    <row r="3268" spans="1:8">
      <c r="A3268">
        <v>5352</v>
      </c>
      <c r="B3268" t="s">
        <v>2625</v>
      </c>
      <c r="C3268">
        <v>5697</v>
      </c>
      <c r="D3268" t="s">
        <v>2344</v>
      </c>
      <c r="E3268" t="s">
        <v>2036</v>
      </c>
      <c r="F3268">
        <v>202206</v>
      </c>
      <c r="G3268" t="s">
        <v>2169</v>
      </c>
      <c r="H3268">
        <v>182.65</v>
      </c>
    </row>
    <row r="3269" spans="1:8">
      <c r="A3269">
        <v>5352</v>
      </c>
      <c r="B3269" t="s">
        <v>2625</v>
      </c>
      <c r="C3269">
        <v>5697</v>
      </c>
      <c r="D3269" t="s">
        <v>2344</v>
      </c>
      <c r="E3269" t="s">
        <v>2036</v>
      </c>
      <c r="F3269">
        <v>202206</v>
      </c>
      <c r="G3269" t="s">
        <v>2166</v>
      </c>
      <c r="H3269">
        <v>11.83</v>
      </c>
    </row>
    <row r="3270" spans="1:8">
      <c r="A3270">
        <v>5352</v>
      </c>
      <c r="B3270" t="s">
        <v>2625</v>
      </c>
      <c r="C3270">
        <v>5697</v>
      </c>
      <c r="D3270" t="s">
        <v>2344</v>
      </c>
      <c r="E3270" t="s">
        <v>2036</v>
      </c>
      <c r="F3270">
        <v>202206</v>
      </c>
      <c r="G3270" t="s">
        <v>2167</v>
      </c>
      <c r="H3270">
        <v>21.22</v>
      </c>
    </row>
    <row r="3271" spans="1:8">
      <c r="A3271">
        <v>5352</v>
      </c>
      <c r="B3271" t="s">
        <v>2625</v>
      </c>
      <c r="C3271">
        <v>5697</v>
      </c>
      <c r="D3271" t="s">
        <v>2344</v>
      </c>
      <c r="E3271" t="s">
        <v>2036</v>
      </c>
      <c r="F3271">
        <v>202206</v>
      </c>
      <c r="G3271" t="s">
        <v>2168</v>
      </c>
      <c r="H3271">
        <v>14.37</v>
      </c>
    </row>
    <row r="3272" spans="1:8">
      <c r="A3272">
        <v>5352</v>
      </c>
      <c r="B3272" t="s">
        <v>2625</v>
      </c>
      <c r="C3272">
        <v>5697</v>
      </c>
      <c r="D3272" t="s">
        <v>2344</v>
      </c>
      <c r="E3272" t="s">
        <v>2036</v>
      </c>
      <c r="F3272">
        <v>202206</v>
      </c>
      <c r="G3272" t="s">
        <v>2171</v>
      </c>
      <c r="H3272">
        <v>30063.31</v>
      </c>
    </row>
    <row r="3273" spans="1:8">
      <c r="A3273">
        <v>5352</v>
      </c>
      <c r="B3273" t="s">
        <v>2625</v>
      </c>
      <c r="C3273">
        <v>5697</v>
      </c>
      <c r="D3273" t="s">
        <v>2344</v>
      </c>
      <c r="E3273" t="s">
        <v>2036</v>
      </c>
      <c r="F3273">
        <v>202206</v>
      </c>
      <c r="G3273" t="s">
        <v>190</v>
      </c>
      <c r="H3273">
        <v>160498</v>
      </c>
    </row>
    <row r="3274" spans="1:8">
      <c r="A3274">
        <v>5352</v>
      </c>
      <c r="B3274" t="s">
        <v>2625</v>
      </c>
      <c r="C3274">
        <v>5697</v>
      </c>
      <c r="D3274" t="s">
        <v>2344</v>
      </c>
      <c r="E3274" t="s">
        <v>2036</v>
      </c>
      <c r="F3274">
        <v>202206</v>
      </c>
      <c r="G3274" t="s">
        <v>191</v>
      </c>
      <c r="H3274">
        <v>22586</v>
      </c>
    </row>
    <row r="3275" spans="1:8">
      <c r="A3275">
        <v>5352</v>
      </c>
      <c r="B3275" t="s">
        <v>2625</v>
      </c>
      <c r="C3275">
        <v>5697</v>
      </c>
      <c r="D3275" t="s">
        <v>2344</v>
      </c>
      <c r="E3275" t="s">
        <v>2036</v>
      </c>
      <c r="F3275">
        <v>202206</v>
      </c>
      <c r="G3275" t="s">
        <v>176</v>
      </c>
      <c r="H3275">
        <v>-6986.36</v>
      </c>
    </row>
    <row r="3276" spans="1:8">
      <c r="A3276">
        <v>5352</v>
      </c>
      <c r="B3276" t="s">
        <v>2625</v>
      </c>
      <c r="C3276">
        <v>5697</v>
      </c>
      <c r="D3276" t="s">
        <v>2344</v>
      </c>
      <c r="E3276" t="s">
        <v>2036</v>
      </c>
      <c r="F3276">
        <v>202206</v>
      </c>
      <c r="G3276" t="s">
        <v>178</v>
      </c>
      <c r="H3276">
        <v>600</v>
      </c>
    </row>
    <row r="3277" spans="1:8">
      <c r="A3277">
        <v>5352</v>
      </c>
      <c r="B3277" t="s">
        <v>2625</v>
      </c>
      <c r="C3277">
        <v>5697</v>
      </c>
      <c r="D3277" t="s">
        <v>2344</v>
      </c>
      <c r="E3277" t="s">
        <v>2036</v>
      </c>
      <c r="F3277">
        <v>202206</v>
      </c>
      <c r="G3277" t="s">
        <v>180</v>
      </c>
      <c r="H3277">
        <v>600</v>
      </c>
    </row>
    <row r="3278" spans="1:8">
      <c r="A3278">
        <v>5352</v>
      </c>
      <c r="B3278" t="s">
        <v>2625</v>
      </c>
      <c r="C3278">
        <v>5697</v>
      </c>
      <c r="D3278" t="s">
        <v>2344</v>
      </c>
      <c r="E3278" t="s">
        <v>2036</v>
      </c>
      <c r="F3278">
        <v>202206</v>
      </c>
      <c r="G3278" t="s">
        <v>182</v>
      </c>
      <c r="H3278">
        <v>160498</v>
      </c>
    </row>
    <row r="3279" spans="1:8">
      <c r="A3279">
        <v>5352</v>
      </c>
      <c r="B3279" t="s">
        <v>2625</v>
      </c>
      <c r="C3279">
        <v>5697</v>
      </c>
      <c r="D3279" t="s">
        <v>2344</v>
      </c>
      <c r="E3279" t="s">
        <v>2036</v>
      </c>
      <c r="F3279">
        <v>202206</v>
      </c>
      <c r="G3279" t="s">
        <v>184</v>
      </c>
      <c r="H3279">
        <v>22586</v>
      </c>
    </row>
    <row r="3280" spans="1:8">
      <c r="A3280">
        <v>5352</v>
      </c>
      <c r="B3280" t="s">
        <v>2625</v>
      </c>
      <c r="C3280">
        <v>5697</v>
      </c>
      <c r="D3280" t="s">
        <v>2344</v>
      </c>
      <c r="E3280" t="s">
        <v>2036</v>
      </c>
      <c r="F3280">
        <v>202206</v>
      </c>
      <c r="G3280" t="s">
        <v>192</v>
      </c>
      <c r="H3280">
        <v>0</v>
      </c>
    </row>
    <row r="3281" spans="1:8">
      <c r="A3281">
        <v>5352</v>
      </c>
      <c r="B3281" t="s">
        <v>2625</v>
      </c>
      <c r="C3281">
        <v>5697</v>
      </c>
      <c r="D3281" t="s">
        <v>2344</v>
      </c>
      <c r="E3281" t="s">
        <v>2036</v>
      </c>
      <c r="F3281">
        <v>202206</v>
      </c>
      <c r="G3281" t="s">
        <v>2170</v>
      </c>
      <c r="H3281">
        <v>1818.16</v>
      </c>
    </row>
    <row r="3282" spans="1:8">
      <c r="A3282">
        <v>5352</v>
      </c>
      <c r="B3282" t="s">
        <v>2625</v>
      </c>
      <c r="C3282">
        <v>5697</v>
      </c>
      <c r="D3282" t="s">
        <v>2344</v>
      </c>
      <c r="E3282" t="s">
        <v>2036</v>
      </c>
      <c r="F3282">
        <v>202206</v>
      </c>
      <c r="G3282" t="s">
        <v>186</v>
      </c>
      <c r="H3282">
        <v>0</v>
      </c>
    </row>
    <row r="3283" spans="1:8">
      <c r="A3283">
        <v>5352</v>
      </c>
      <c r="B3283" t="s">
        <v>2625</v>
      </c>
      <c r="C3283">
        <v>5697</v>
      </c>
      <c r="D3283" t="s">
        <v>2344</v>
      </c>
      <c r="E3283" t="s">
        <v>2036</v>
      </c>
      <c r="F3283">
        <v>202206</v>
      </c>
      <c r="G3283" t="s">
        <v>2169</v>
      </c>
      <c r="H3283">
        <v>182.65</v>
      </c>
    </row>
    <row r="3284" spans="1:8">
      <c r="A3284">
        <v>5352</v>
      </c>
      <c r="B3284" t="s">
        <v>2625</v>
      </c>
      <c r="C3284">
        <v>5697</v>
      </c>
      <c r="D3284" t="s">
        <v>2344</v>
      </c>
      <c r="E3284" t="s">
        <v>2036</v>
      </c>
      <c r="F3284">
        <v>202206</v>
      </c>
      <c r="G3284" t="s">
        <v>2166</v>
      </c>
      <c r="H3284">
        <v>11.83</v>
      </c>
    </row>
    <row r="3285" spans="1:8">
      <c r="A3285">
        <v>5352</v>
      </c>
      <c r="B3285" t="s">
        <v>2625</v>
      </c>
      <c r="C3285">
        <v>5697</v>
      </c>
      <c r="D3285" t="s">
        <v>2344</v>
      </c>
      <c r="E3285" t="s">
        <v>2036</v>
      </c>
      <c r="F3285">
        <v>202206</v>
      </c>
      <c r="G3285" t="s">
        <v>2167</v>
      </c>
      <c r="H3285">
        <v>21.22</v>
      </c>
    </row>
    <row r="3286" spans="1:8">
      <c r="A3286">
        <v>5352</v>
      </c>
      <c r="B3286" t="s">
        <v>2625</v>
      </c>
      <c r="C3286">
        <v>5697</v>
      </c>
      <c r="D3286" t="s">
        <v>2344</v>
      </c>
      <c r="E3286" t="s">
        <v>2036</v>
      </c>
      <c r="F3286">
        <v>202206</v>
      </c>
      <c r="G3286" t="s">
        <v>2168</v>
      </c>
      <c r="H3286">
        <v>14.37</v>
      </c>
    </row>
    <row r="3287" spans="1:8">
      <c r="A3287">
        <v>5352</v>
      </c>
      <c r="B3287" t="s">
        <v>2625</v>
      </c>
      <c r="C3287">
        <v>5697</v>
      </c>
      <c r="D3287" t="s">
        <v>2344</v>
      </c>
      <c r="E3287" t="s">
        <v>2036</v>
      </c>
      <c r="F3287">
        <v>202206</v>
      </c>
      <c r="G3287" t="s">
        <v>2171</v>
      </c>
      <c r="H3287">
        <v>50732.99</v>
      </c>
    </row>
    <row r="3288" spans="1:8">
      <c r="A3288">
        <v>5352</v>
      </c>
      <c r="B3288" t="s">
        <v>2625</v>
      </c>
      <c r="C3288">
        <v>5697</v>
      </c>
      <c r="D3288" t="s">
        <v>2344</v>
      </c>
      <c r="E3288" t="s">
        <v>2036</v>
      </c>
      <c r="F3288">
        <v>202206</v>
      </c>
      <c r="G3288" t="s">
        <v>190</v>
      </c>
      <c r="H3288">
        <v>172114</v>
      </c>
    </row>
    <row r="3289" spans="1:8">
      <c r="A3289">
        <v>5352</v>
      </c>
      <c r="B3289" t="s">
        <v>2625</v>
      </c>
      <c r="C3289">
        <v>5697</v>
      </c>
      <c r="D3289" t="s">
        <v>2344</v>
      </c>
      <c r="E3289" t="s">
        <v>2036</v>
      </c>
      <c r="F3289">
        <v>202206</v>
      </c>
      <c r="G3289" t="s">
        <v>191</v>
      </c>
      <c r="H3289">
        <v>22865</v>
      </c>
    </row>
    <row r="3290" spans="1:8">
      <c r="A3290">
        <v>5352</v>
      </c>
      <c r="B3290" t="s">
        <v>2625</v>
      </c>
      <c r="C3290">
        <v>5697</v>
      </c>
      <c r="D3290" t="s">
        <v>2344</v>
      </c>
      <c r="E3290" t="s">
        <v>2036</v>
      </c>
      <c r="F3290">
        <v>202206</v>
      </c>
      <c r="G3290" t="s">
        <v>176</v>
      </c>
      <c r="H3290">
        <v>-4318.82</v>
      </c>
    </row>
    <row r="3291" spans="1:8">
      <c r="A3291">
        <v>5352</v>
      </c>
      <c r="B3291" t="s">
        <v>2625</v>
      </c>
      <c r="C3291">
        <v>5697</v>
      </c>
      <c r="D3291" t="s">
        <v>2344</v>
      </c>
      <c r="E3291" t="s">
        <v>2036</v>
      </c>
      <c r="F3291">
        <v>202206</v>
      </c>
      <c r="G3291" t="s">
        <v>178</v>
      </c>
      <c r="H3291">
        <v>679</v>
      </c>
    </row>
    <row r="3292" spans="1:8">
      <c r="A3292">
        <v>5352</v>
      </c>
      <c r="B3292" t="s">
        <v>2625</v>
      </c>
      <c r="C3292">
        <v>5697</v>
      </c>
      <c r="D3292" t="s">
        <v>2344</v>
      </c>
      <c r="E3292" t="s">
        <v>2036</v>
      </c>
      <c r="F3292">
        <v>202206</v>
      </c>
      <c r="G3292" t="s">
        <v>180</v>
      </c>
      <c r="H3292">
        <v>600</v>
      </c>
    </row>
    <row r="3293" spans="1:8">
      <c r="A3293">
        <v>5352</v>
      </c>
      <c r="B3293" t="s">
        <v>2625</v>
      </c>
      <c r="C3293">
        <v>5697</v>
      </c>
      <c r="D3293" t="s">
        <v>2344</v>
      </c>
      <c r="E3293" t="s">
        <v>2036</v>
      </c>
      <c r="F3293">
        <v>202206</v>
      </c>
      <c r="G3293" t="s">
        <v>182</v>
      </c>
      <c r="H3293">
        <v>172114</v>
      </c>
    </row>
    <row r="3294" spans="1:8">
      <c r="A3294">
        <v>5352</v>
      </c>
      <c r="B3294" t="s">
        <v>2625</v>
      </c>
      <c r="C3294">
        <v>5697</v>
      </c>
      <c r="D3294" t="s">
        <v>2344</v>
      </c>
      <c r="E3294" t="s">
        <v>2036</v>
      </c>
      <c r="F3294">
        <v>202206</v>
      </c>
      <c r="G3294" t="s">
        <v>184</v>
      </c>
      <c r="H3294">
        <v>22865</v>
      </c>
    </row>
    <row r="3295" spans="1:8">
      <c r="A3295">
        <v>5352</v>
      </c>
      <c r="B3295" t="s">
        <v>2625</v>
      </c>
      <c r="C3295">
        <v>5697</v>
      </c>
      <c r="D3295" t="s">
        <v>2344</v>
      </c>
      <c r="E3295" t="s">
        <v>2036</v>
      </c>
      <c r="F3295">
        <v>202206</v>
      </c>
      <c r="G3295" t="s">
        <v>192</v>
      </c>
      <c r="H3295">
        <v>0</v>
      </c>
    </row>
    <row r="3296" spans="1:8">
      <c r="A3296">
        <v>5352</v>
      </c>
      <c r="B3296" t="s">
        <v>2625</v>
      </c>
      <c r="C3296">
        <v>5697</v>
      </c>
      <c r="D3296" t="s">
        <v>2344</v>
      </c>
      <c r="E3296" t="s">
        <v>2036</v>
      </c>
      <c r="F3296">
        <v>202206</v>
      </c>
      <c r="G3296" t="s">
        <v>2170</v>
      </c>
      <c r="H3296">
        <v>1985.01</v>
      </c>
    </row>
    <row r="3297" spans="1:8">
      <c r="A3297">
        <v>5352</v>
      </c>
      <c r="B3297" t="s">
        <v>2625</v>
      </c>
      <c r="C3297">
        <v>5697</v>
      </c>
      <c r="D3297" t="s">
        <v>2344</v>
      </c>
      <c r="E3297" t="s">
        <v>2036</v>
      </c>
      <c r="F3297">
        <v>202206</v>
      </c>
      <c r="G3297" t="s">
        <v>186</v>
      </c>
      <c r="H3297">
        <v>0</v>
      </c>
    </row>
    <row r="3298" spans="1:8">
      <c r="A3298">
        <v>5352</v>
      </c>
      <c r="B3298" t="s">
        <v>2625</v>
      </c>
      <c r="C3298">
        <v>5697</v>
      </c>
      <c r="D3298" t="s">
        <v>2344</v>
      </c>
      <c r="E3298" t="s">
        <v>2036</v>
      </c>
      <c r="F3298">
        <v>202206</v>
      </c>
      <c r="G3298" t="s">
        <v>2169</v>
      </c>
      <c r="H3298">
        <v>182.65</v>
      </c>
    </row>
    <row r="3299" spans="1:8">
      <c r="A3299">
        <v>5352</v>
      </c>
      <c r="B3299" t="s">
        <v>2625</v>
      </c>
      <c r="C3299">
        <v>5697</v>
      </c>
      <c r="D3299" t="s">
        <v>2344</v>
      </c>
      <c r="E3299" t="s">
        <v>2036</v>
      </c>
      <c r="F3299">
        <v>202206</v>
      </c>
      <c r="G3299" t="s">
        <v>2166</v>
      </c>
      <c r="H3299">
        <v>11.83</v>
      </c>
    </row>
    <row r="3300" spans="1:8">
      <c r="A3300">
        <v>5352</v>
      </c>
      <c r="B3300" t="s">
        <v>2625</v>
      </c>
      <c r="C3300">
        <v>5697</v>
      </c>
      <c r="D3300" t="s">
        <v>2344</v>
      </c>
      <c r="E3300" t="s">
        <v>2036</v>
      </c>
      <c r="F3300">
        <v>202206</v>
      </c>
      <c r="G3300" t="s">
        <v>2167</v>
      </c>
      <c r="H3300">
        <v>21.22</v>
      </c>
    </row>
    <row r="3301" spans="1:8">
      <c r="A3301">
        <v>5352</v>
      </c>
      <c r="B3301" t="s">
        <v>2625</v>
      </c>
      <c r="C3301">
        <v>5697</v>
      </c>
      <c r="D3301" t="s">
        <v>2344</v>
      </c>
      <c r="E3301" t="s">
        <v>2036</v>
      </c>
      <c r="F3301">
        <v>202206</v>
      </c>
      <c r="G3301" t="s">
        <v>2168</v>
      </c>
      <c r="H3301">
        <v>14.37</v>
      </c>
    </row>
    <row r="3302" spans="1:8">
      <c r="A3302">
        <v>5352</v>
      </c>
      <c r="B3302" t="s">
        <v>2625</v>
      </c>
      <c r="C3302">
        <v>5697</v>
      </c>
      <c r="D3302" t="s">
        <v>2344</v>
      </c>
      <c r="E3302" t="s">
        <v>2036</v>
      </c>
      <c r="F3302">
        <v>202206</v>
      </c>
      <c r="G3302" t="s">
        <v>2171</v>
      </c>
      <c r="H3302">
        <v>58697.61</v>
      </c>
    </row>
    <row r="3303" spans="1:8">
      <c r="A3303">
        <v>5352</v>
      </c>
      <c r="B3303" t="s">
        <v>2625</v>
      </c>
      <c r="C3303">
        <v>5697</v>
      </c>
      <c r="D3303" t="s">
        <v>2344</v>
      </c>
      <c r="E3303" t="s">
        <v>2036</v>
      </c>
      <c r="F3303">
        <v>202207</v>
      </c>
      <c r="G3303" t="s">
        <v>190</v>
      </c>
      <c r="H3303">
        <v>81346</v>
      </c>
    </row>
    <row r="3304" spans="1:8">
      <c r="A3304">
        <v>5352</v>
      </c>
      <c r="B3304" t="s">
        <v>2625</v>
      </c>
      <c r="C3304">
        <v>5697</v>
      </c>
      <c r="D3304" t="s">
        <v>2344</v>
      </c>
      <c r="E3304" t="s">
        <v>2036</v>
      </c>
      <c r="F3304">
        <v>202207</v>
      </c>
      <c r="G3304" t="s">
        <v>191</v>
      </c>
      <c r="H3304">
        <v>12744</v>
      </c>
    </row>
    <row r="3305" spans="1:8">
      <c r="A3305">
        <v>5352</v>
      </c>
      <c r="B3305" t="s">
        <v>2625</v>
      </c>
      <c r="C3305">
        <v>5697</v>
      </c>
      <c r="D3305" t="s">
        <v>2344</v>
      </c>
      <c r="E3305" t="s">
        <v>2036</v>
      </c>
      <c r="F3305">
        <v>202207</v>
      </c>
      <c r="G3305" t="s">
        <v>176</v>
      </c>
      <c r="H3305">
        <v>0</v>
      </c>
    </row>
    <row r="3306" spans="1:8">
      <c r="A3306">
        <v>5352</v>
      </c>
      <c r="B3306" t="s">
        <v>2625</v>
      </c>
      <c r="C3306">
        <v>5697</v>
      </c>
      <c r="D3306" t="s">
        <v>2344</v>
      </c>
      <c r="E3306" t="s">
        <v>2036</v>
      </c>
      <c r="F3306">
        <v>202207</v>
      </c>
      <c r="G3306" t="s">
        <v>178</v>
      </c>
      <c r="H3306">
        <v>510</v>
      </c>
    </row>
    <row r="3307" spans="1:8">
      <c r="A3307">
        <v>5352</v>
      </c>
      <c r="B3307" t="s">
        <v>2625</v>
      </c>
      <c r="C3307">
        <v>5697</v>
      </c>
      <c r="D3307" t="s">
        <v>2344</v>
      </c>
      <c r="E3307" t="s">
        <v>2036</v>
      </c>
      <c r="F3307">
        <v>202207</v>
      </c>
      <c r="G3307" t="s">
        <v>180</v>
      </c>
      <c r="H3307">
        <v>570</v>
      </c>
    </row>
    <row r="3308" spans="1:8">
      <c r="A3308">
        <v>5352</v>
      </c>
      <c r="B3308" t="s">
        <v>2625</v>
      </c>
      <c r="C3308">
        <v>5697</v>
      </c>
      <c r="D3308" t="s">
        <v>2344</v>
      </c>
      <c r="E3308" t="s">
        <v>2036</v>
      </c>
      <c r="F3308">
        <v>202207</v>
      </c>
      <c r="G3308" t="s">
        <v>182</v>
      </c>
      <c r="H3308">
        <v>81346</v>
      </c>
    </row>
    <row r="3309" spans="1:8">
      <c r="A3309">
        <v>5352</v>
      </c>
      <c r="B3309" t="s">
        <v>2625</v>
      </c>
      <c r="C3309">
        <v>5697</v>
      </c>
      <c r="D3309" t="s">
        <v>2344</v>
      </c>
      <c r="E3309" t="s">
        <v>2036</v>
      </c>
      <c r="F3309">
        <v>202207</v>
      </c>
      <c r="G3309" t="s">
        <v>184</v>
      </c>
      <c r="H3309">
        <v>12744</v>
      </c>
    </row>
    <row r="3310" spans="1:8">
      <c r="A3310">
        <v>5352</v>
      </c>
      <c r="B3310" t="s">
        <v>2625</v>
      </c>
      <c r="C3310">
        <v>5697</v>
      </c>
      <c r="D3310" t="s">
        <v>2344</v>
      </c>
      <c r="E3310" t="s">
        <v>2036</v>
      </c>
      <c r="F3310">
        <v>202207</v>
      </c>
      <c r="G3310" t="s">
        <v>192</v>
      </c>
      <c r="H3310">
        <v>0</v>
      </c>
    </row>
    <row r="3311" spans="1:8">
      <c r="A3311">
        <v>5352</v>
      </c>
      <c r="B3311" t="s">
        <v>2625</v>
      </c>
      <c r="C3311">
        <v>5697</v>
      </c>
      <c r="D3311" t="s">
        <v>2344</v>
      </c>
      <c r="E3311" t="s">
        <v>2036</v>
      </c>
      <c r="F3311">
        <v>202207</v>
      </c>
      <c r="G3311" t="s">
        <v>2170</v>
      </c>
      <c r="H3311">
        <v>1507.88</v>
      </c>
    </row>
    <row r="3312" spans="1:8">
      <c r="A3312">
        <v>5352</v>
      </c>
      <c r="B3312" t="s">
        <v>2625</v>
      </c>
      <c r="C3312">
        <v>5697</v>
      </c>
      <c r="D3312" t="s">
        <v>2344</v>
      </c>
      <c r="E3312" t="s">
        <v>2036</v>
      </c>
      <c r="F3312">
        <v>202207</v>
      </c>
      <c r="G3312" t="s">
        <v>186</v>
      </c>
      <c r="H3312">
        <v>0</v>
      </c>
    </row>
    <row r="3313" spans="1:8">
      <c r="A3313">
        <v>5352</v>
      </c>
      <c r="B3313" t="s">
        <v>2625</v>
      </c>
      <c r="C3313">
        <v>5697</v>
      </c>
      <c r="D3313" t="s">
        <v>2344</v>
      </c>
      <c r="E3313" t="s">
        <v>2036</v>
      </c>
      <c r="F3313">
        <v>202207</v>
      </c>
      <c r="G3313" t="s">
        <v>2169</v>
      </c>
      <c r="H3313">
        <v>182.65</v>
      </c>
    </row>
    <row r="3314" spans="1:8">
      <c r="A3314">
        <v>5352</v>
      </c>
      <c r="B3314" t="s">
        <v>2625</v>
      </c>
      <c r="C3314">
        <v>5697</v>
      </c>
      <c r="D3314" t="s">
        <v>2344</v>
      </c>
      <c r="E3314" t="s">
        <v>2036</v>
      </c>
      <c r="F3314">
        <v>202207</v>
      </c>
      <c r="G3314" t="s">
        <v>2166</v>
      </c>
      <c r="H3314">
        <v>11.83</v>
      </c>
    </row>
    <row r="3315" spans="1:8">
      <c r="A3315">
        <v>5352</v>
      </c>
      <c r="B3315" t="s">
        <v>2625</v>
      </c>
      <c r="C3315">
        <v>5697</v>
      </c>
      <c r="D3315" t="s">
        <v>2344</v>
      </c>
      <c r="E3315" t="s">
        <v>2036</v>
      </c>
      <c r="F3315">
        <v>202207</v>
      </c>
      <c r="G3315" t="s">
        <v>2167</v>
      </c>
      <c r="H3315">
        <v>21.22</v>
      </c>
    </row>
    <row r="3316" spans="1:8">
      <c r="A3316">
        <v>5352</v>
      </c>
      <c r="B3316" t="s">
        <v>2625</v>
      </c>
      <c r="C3316">
        <v>5697</v>
      </c>
      <c r="D3316" t="s">
        <v>2344</v>
      </c>
      <c r="E3316" t="s">
        <v>2036</v>
      </c>
      <c r="F3316">
        <v>202207</v>
      </c>
      <c r="G3316" t="s">
        <v>2168</v>
      </c>
      <c r="H3316">
        <v>14.37</v>
      </c>
    </row>
    <row r="3317" spans="1:8">
      <c r="A3317">
        <v>5352</v>
      </c>
      <c r="B3317" t="s">
        <v>2625</v>
      </c>
      <c r="C3317">
        <v>5697</v>
      </c>
      <c r="D3317" t="s">
        <v>2344</v>
      </c>
      <c r="E3317" t="s">
        <v>2036</v>
      </c>
      <c r="F3317">
        <v>202207</v>
      </c>
      <c r="G3317" t="s">
        <v>2171</v>
      </c>
      <c r="H3317">
        <v>38174.18</v>
      </c>
    </row>
    <row r="3318" spans="1:8">
      <c r="A3318">
        <v>5352</v>
      </c>
      <c r="B3318" t="s">
        <v>2625</v>
      </c>
      <c r="C3318">
        <v>5697</v>
      </c>
      <c r="D3318" t="s">
        <v>2344</v>
      </c>
      <c r="E3318" t="s">
        <v>2036</v>
      </c>
      <c r="F3318">
        <v>202207</v>
      </c>
      <c r="G3318" t="s">
        <v>190</v>
      </c>
      <c r="H3318">
        <v>193316</v>
      </c>
    </row>
    <row r="3319" spans="1:8">
      <c r="A3319">
        <v>5352</v>
      </c>
      <c r="B3319" t="s">
        <v>2625</v>
      </c>
      <c r="C3319">
        <v>5697</v>
      </c>
      <c r="D3319" t="s">
        <v>2344</v>
      </c>
      <c r="E3319" t="s">
        <v>2036</v>
      </c>
      <c r="F3319">
        <v>202207</v>
      </c>
      <c r="G3319" t="s">
        <v>191</v>
      </c>
      <c r="H3319">
        <v>29547</v>
      </c>
    </row>
    <row r="3320" spans="1:8">
      <c r="A3320">
        <v>5352</v>
      </c>
      <c r="B3320" t="s">
        <v>2625</v>
      </c>
      <c r="C3320">
        <v>5697</v>
      </c>
      <c r="D3320" t="s">
        <v>2344</v>
      </c>
      <c r="E3320" t="s">
        <v>2036</v>
      </c>
      <c r="F3320">
        <v>202207</v>
      </c>
      <c r="G3320" t="s">
        <v>176</v>
      </c>
      <c r="H3320">
        <v>-1178.51</v>
      </c>
    </row>
    <row r="3321" spans="1:8">
      <c r="A3321">
        <v>5352</v>
      </c>
      <c r="B3321" t="s">
        <v>2625</v>
      </c>
      <c r="C3321">
        <v>5697</v>
      </c>
      <c r="D3321" t="s">
        <v>2344</v>
      </c>
      <c r="E3321" t="s">
        <v>2036</v>
      </c>
      <c r="F3321">
        <v>202207</v>
      </c>
      <c r="G3321" t="s">
        <v>178</v>
      </c>
      <c r="H3321">
        <v>700</v>
      </c>
    </row>
    <row r="3322" spans="1:8">
      <c r="A3322">
        <v>5352</v>
      </c>
      <c r="B3322" t="s">
        <v>2625</v>
      </c>
      <c r="C3322">
        <v>5697</v>
      </c>
      <c r="D3322" t="s">
        <v>2344</v>
      </c>
      <c r="E3322" t="s">
        <v>2036</v>
      </c>
      <c r="F3322">
        <v>202207</v>
      </c>
      <c r="G3322" t="s">
        <v>180</v>
      </c>
      <c r="H3322">
        <v>600</v>
      </c>
    </row>
    <row r="3323" spans="1:8">
      <c r="A3323">
        <v>5352</v>
      </c>
      <c r="B3323" t="s">
        <v>2625</v>
      </c>
      <c r="C3323">
        <v>5697</v>
      </c>
      <c r="D3323" t="s">
        <v>2344</v>
      </c>
      <c r="E3323" t="s">
        <v>2036</v>
      </c>
      <c r="F3323">
        <v>202207</v>
      </c>
      <c r="G3323" t="s">
        <v>182</v>
      </c>
      <c r="H3323">
        <v>193316</v>
      </c>
    </row>
    <row r="3324" spans="1:8">
      <c r="A3324">
        <v>5352</v>
      </c>
      <c r="B3324" t="s">
        <v>2625</v>
      </c>
      <c r="C3324">
        <v>5697</v>
      </c>
      <c r="D3324" t="s">
        <v>2344</v>
      </c>
      <c r="E3324" t="s">
        <v>2036</v>
      </c>
      <c r="F3324">
        <v>202207</v>
      </c>
      <c r="G3324" t="s">
        <v>184</v>
      </c>
      <c r="H3324">
        <v>29547</v>
      </c>
    </row>
    <row r="3325" spans="1:8">
      <c r="A3325">
        <v>5352</v>
      </c>
      <c r="B3325" t="s">
        <v>2625</v>
      </c>
      <c r="C3325">
        <v>5697</v>
      </c>
      <c r="D3325" t="s">
        <v>2344</v>
      </c>
      <c r="E3325" t="s">
        <v>2036</v>
      </c>
      <c r="F3325">
        <v>202207</v>
      </c>
      <c r="G3325" t="s">
        <v>192</v>
      </c>
      <c r="H3325">
        <v>0</v>
      </c>
    </row>
    <row r="3326" spans="1:8">
      <c r="A3326">
        <v>5352</v>
      </c>
      <c r="B3326" t="s">
        <v>2625</v>
      </c>
      <c r="C3326">
        <v>5697</v>
      </c>
      <c r="D3326" t="s">
        <v>2344</v>
      </c>
      <c r="E3326" t="s">
        <v>2036</v>
      </c>
      <c r="F3326">
        <v>202207</v>
      </c>
      <c r="G3326" t="s">
        <v>2170</v>
      </c>
      <c r="H3326">
        <v>2669.87</v>
      </c>
    </row>
    <row r="3327" spans="1:8">
      <c r="A3327">
        <v>5352</v>
      </c>
      <c r="B3327" t="s">
        <v>2625</v>
      </c>
      <c r="C3327">
        <v>5697</v>
      </c>
      <c r="D3327" t="s">
        <v>2344</v>
      </c>
      <c r="E3327" t="s">
        <v>2036</v>
      </c>
      <c r="F3327">
        <v>202207</v>
      </c>
      <c r="G3327" t="s">
        <v>186</v>
      </c>
      <c r="H3327">
        <v>0</v>
      </c>
    </row>
    <row r="3328" spans="1:8">
      <c r="A3328">
        <v>5352</v>
      </c>
      <c r="B3328" t="s">
        <v>2625</v>
      </c>
      <c r="C3328">
        <v>5697</v>
      </c>
      <c r="D3328" t="s">
        <v>2344</v>
      </c>
      <c r="E3328" t="s">
        <v>2036</v>
      </c>
      <c r="F3328">
        <v>202207</v>
      </c>
      <c r="G3328" t="s">
        <v>2169</v>
      </c>
      <c r="H3328">
        <v>182.65</v>
      </c>
    </row>
    <row r="3329" spans="1:8">
      <c r="A3329">
        <v>5352</v>
      </c>
      <c r="B3329" t="s">
        <v>2625</v>
      </c>
      <c r="C3329">
        <v>5697</v>
      </c>
      <c r="D3329" t="s">
        <v>2344</v>
      </c>
      <c r="E3329" t="s">
        <v>2036</v>
      </c>
      <c r="F3329">
        <v>202207</v>
      </c>
      <c r="G3329" t="s">
        <v>2166</v>
      </c>
      <c r="H3329">
        <v>11.83</v>
      </c>
    </row>
    <row r="3330" spans="1:8">
      <c r="A3330">
        <v>5352</v>
      </c>
      <c r="B3330" t="s">
        <v>2625</v>
      </c>
      <c r="C3330">
        <v>5697</v>
      </c>
      <c r="D3330" t="s">
        <v>2344</v>
      </c>
      <c r="E3330" t="s">
        <v>2036</v>
      </c>
      <c r="F3330">
        <v>202207</v>
      </c>
      <c r="G3330" t="s">
        <v>2167</v>
      </c>
      <c r="H3330">
        <v>21.22</v>
      </c>
    </row>
    <row r="3331" spans="1:8">
      <c r="A3331">
        <v>5352</v>
      </c>
      <c r="B3331" t="s">
        <v>2625</v>
      </c>
      <c r="C3331">
        <v>5697</v>
      </c>
      <c r="D3331" t="s">
        <v>2344</v>
      </c>
      <c r="E3331" t="s">
        <v>2036</v>
      </c>
      <c r="F3331">
        <v>202207</v>
      </c>
      <c r="G3331" t="s">
        <v>2168</v>
      </c>
      <c r="H3331">
        <v>14.37</v>
      </c>
    </row>
    <row r="3332" spans="1:8">
      <c r="A3332">
        <v>5352</v>
      </c>
      <c r="B3332" t="s">
        <v>2625</v>
      </c>
      <c r="C3332">
        <v>5697</v>
      </c>
      <c r="D3332" t="s">
        <v>2344</v>
      </c>
      <c r="E3332" t="s">
        <v>2036</v>
      </c>
      <c r="F3332">
        <v>202207</v>
      </c>
      <c r="G3332" t="s">
        <v>2171</v>
      </c>
      <c r="H3332">
        <v>66412.81</v>
      </c>
    </row>
    <row r="3333" spans="1:8">
      <c r="A3333">
        <v>5352</v>
      </c>
      <c r="B3333" t="s">
        <v>2625</v>
      </c>
      <c r="C3333">
        <v>5697</v>
      </c>
      <c r="D3333" t="s">
        <v>2344</v>
      </c>
      <c r="E3333" t="s">
        <v>2036</v>
      </c>
      <c r="F3333">
        <v>202207</v>
      </c>
      <c r="G3333" t="s">
        <v>190</v>
      </c>
      <c r="H3333">
        <v>11138</v>
      </c>
    </row>
    <row r="3334" spans="1:8">
      <c r="A3334">
        <v>5352</v>
      </c>
      <c r="B3334" t="s">
        <v>2625</v>
      </c>
      <c r="C3334">
        <v>5697</v>
      </c>
      <c r="D3334" t="s">
        <v>2344</v>
      </c>
      <c r="E3334" t="s">
        <v>2036</v>
      </c>
      <c r="F3334">
        <v>202207</v>
      </c>
      <c r="G3334" t="s">
        <v>191</v>
      </c>
      <c r="H3334">
        <v>1733</v>
      </c>
    </row>
    <row r="3335" spans="1:8">
      <c r="A3335">
        <v>5352</v>
      </c>
      <c r="B3335" t="s">
        <v>2625</v>
      </c>
      <c r="C3335">
        <v>5697</v>
      </c>
      <c r="D3335" t="s">
        <v>2344</v>
      </c>
      <c r="E3335" t="s">
        <v>2036</v>
      </c>
      <c r="F3335">
        <v>202207</v>
      </c>
      <c r="G3335" t="s">
        <v>176</v>
      </c>
      <c r="H3335">
        <v>0</v>
      </c>
    </row>
    <row r="3336" spans="1:8">
      <c r="A3336">
        <v>5352</v>
      </c>
      <c r="B3336" t="s">
        <v>2625</v>
      </c>
      <c r="C3336">
        <v>5697</v>
      </c>
      <c r="D3336" t="s">
        <v>2344</v>
      </c>
      <c r="E3336" t="s">
        <v>2036</v>
      </c>
      <c r="F3336">
        <v>202207</v>
      </c>
      <c r="G3336" t="s">
        <v>178</v>
      </c>
      <c r="H3336">
        <v>120</v>
      </c>
    </row>
    <row r="3337" spans="1:8">
      <c r="A3337">
        <v>5352</v>
      </c>
      <c r="B3337" t="s">
        <v>2625</v>
      </c>
      <c r="C3337">
        <v>5697</v>
      </c>
      <c r="D3337" t="s">
        <v>2344</v>
      </c>
      <c r="E3337" t="s">
        <v>2036</v>
      </c>
      <c r="F3337">
        <v>202207</v>
      </c>
      <c r="G3337" t="s">
        <v>180</v>
      </c>
      <c r="H3337">
        <v>120</v>
      </c>
    </row>
    <row r="3338" spans="1:8">
      <c r="A3338">
        <v>5352</v>
      </c>
      <c r="B3338" t="s">
        <v>2625</v>
      </c>
      <c r="C3338">
        <v>5697</v>
      </c>
      <c r="D3338" t="s">
        <v>2344</v>
      </c>
      <c r="E3338" t="s">
        <v>2036</v>
      </c>
      <c r="F3338">
        <v>202207</v>
      </c>
      <c r="G3338" t="s">
        <v>182</v>
      </c>
      <c r="H3338">
        <v>11138</v>
      </c>
    </row>
    <row r="3339" spans="1:8">
      <c r="A3339">
        <v>5352</v>
      </c>
      <c r="B3339" t="s">
        <v>2625</v>
      </c>
      <c r="C3339">
        <v>5697</v>
      </c>
      <c r="D3339" t="s">
        <v>2344</v>
      </c>
      <c r="E3339" t="s">
        <v>2036</v>
      </c>
      <c r="F3339">
        <v>202207</v>
      </c>
      <c r="G3339" t="s">
        <v>184</v>
      </c>
      <c r="H3339">
        <v>1733</v>
      </c>
    </row>
    <row r="3340" spans="1:8">
      <c r="A3340">
        <v>5352</v>
      </c>
      <c r="B3340" t="s">
        <v>2625</v>
      </c>
      <c r="C3340">
        <v>5697</v>
      </c>
      <c r="D3340" t="s">
        <v>2344</v>
      </c>
      <c r="E3340" t="s">
        <v>2036</v>
      </c>
      <c r="F3340">
        <v>202207</v>
      </c>
      <c r="G3340" t="s">
        <v>192</v>
      </c>
      <c r="H3340">
        <v>0</v>
      </c>
    </row>
    <row r="3341" spans="1:8">
      <c r="A3341">
        <v>5352</v>
      </c>
      <c r="B3341" t="s">
        <v>2625</v>
      </c>
      <c r="C3341">
        <v>5697</v>
      </c>
      <c r="D3341" t="s">
        <v>2344</v>
      </c>
      <c r="E3341" t="s">
        <v>2036</v>
      </c>
      <c r="F3341">
        <v>202207</v>
      </c>
      <c r="G3341" t="s">
        <v>2170</v>
      </c>
      <c r="H3341">
        <v>267.39999999999998</v>
      </c>
    </row>
    <row r="3342" spans="1:8">
      <c r="A3342">
        <v>5352</v>
      </c>
      <c r="B3342" t="s">
        <v>2625</v>
      </c>
      <c r="C3342">
        <v>5697</v>
      </c>
      <c r="D3342" t="s">
        <v>2344</v>
      </c>
      <c r="E3342" t="s">
        <v>2036</v>
      </c>
      <c r="F3342">
        <v>202207</v>
      </c>
      <c r="G3342" t="s">
        <v>186</v>
      </c>
      <c r="H3342">
        <v>0</v>
      </c>
    </row>
    <row r="3343" spans="1:8">
      <c r="A3343">
        <v>5352</v>
      </c>
      <c r="B3343" t="s">
        <v>2625</v>
      </c>
      <c r="C3343">
        <v>5697</v>
      </c>
      <c r="D3343" t="s">
        <v>2344</v>
      </c>
      <c r="E3343" t="s">
        <v>2036</v>
      </c>
      <c r="F3343">
        <v>202207</v>
      </c>
      <c r="G3343" t="s">
        <v>2169</v>
      </c>
      <c r="H3343">
        <v>182.67</v>
      </c>
    </row>
    <row r="3344" spans="1:8">
      <c r="A3344">
        <v>5352</v>
      </c>
      <c r="B3344" t="s">
        <v>2625</v>
      </c>
      <c r="C3344">
        <v>5697</v>
      </c>
      <c r="D3344" t="s">
        <v>2344</v>
      </c>
      <c r="E3344" t="s">
        <v>2036</v>
      </c>
      <c r="F3344">
        <v>202207</v>
      </c>
      <c r="G3344" t="s">
        <v>2166</v>
      </c>
      <c r="H3344">
        <v>11.83</v>
      </c>
    </row>
    <row r="3345" spans="1:8">
      <c r="A3345">
        <v>5352</v>
      </c>
      <c r="B3345" t="s">
        <v>2625</v>
      </c>
      <c r="C3345">
        <v>5697</v>
      </c>
      <c r="D3345" t="s">
        <v>2344</v>
      </c>
      <c r="E3345" t="s">
        <v>2036</v>
      </c>
      <c r="F3345">
        <v>202207</v>
      </c>
      <c r="G3345" t="s">
        <v>2167</v>
      </c>
      <c r="H3345">
        <v>21.22</v>
      </c>
    </row>
    <row r="3346" spans="1:8">
      <c r="A3346">
        <v>5352</v>
      </c>
      <c r="B3346" t="s">
        <v>2625</v>
      </c>
      <c r="C3346">
        <v>5697</v>
      </c>
      <c r="D3346" t="s">
        <v>2344</v>
      </c>
      <c r="E3346" t="s">
        <v>2036</v>
      </c>
      <c r="F3346">
        <v>202207</v>
      </c>
      <c r="G3346" t="s">
        <v>2168</v>
      </c>
      <c r="H3346">
        <v>14.37</v>
      </c>
    </row>
    <row r="3347" spans="1:8">
      <c r="A3347">
        <v>5352</v>
      </c>
      <c r="B3347" t="s">
        <v>2625</v>
      </c>
      <c r="C3347">
        <v>5697</v>
      </c>
      <c r="D3347" t="s">
        <v>2344</v>
      </c>
      <c r="E3347" t="s">
        <v>2036</v>
      </c>
      <c r="F3347">
        <v>202207</v>
      </c>
      <c r="G3347" t="s">
        <v>2171</v>
      </c>
      <c r="H3347">
        <v>6769.23</v>
      </c>
    </row>
    <row r="3348" spans="1:8">
      <c r="A3348">
        <v>5352</v>
      </c>
      <c r="B3348" t="s">
        <v>2625</v>
      </c>
      <c r="C3348">
        <v>5697</v>
      </c>
      <c r="D3348" t="s">
        <v>2344</v>
      </c>
      <c r="E3348" t="s">
        <v>2036</v>
      </c>
      <c r="F3348">
        <v>202207</v>
      </c>
      <c r="G3348" t="s">
        <v>190</v>
      </c>
      <c r="H3348">
        <v>142920</v>
      </c>
    </row>
    <row r="3349" spans="1:8">
      <c r="A3349">
        <v>5352</v>
      </c>
      <c r="B3349" t="s">
        <v>2625</v>
      </c>
      <c r="C3349">
        <v>5697</v>
      </c>
      <c r="D3349" t="s">
        <v>2344</v>
      </c>
      <c r="E3349" t="s">
        <v>2036</v>
      </c>
      <c r="F3349">
        <v>202207</v>
      </c>
      <c r="G3349" t="s">
        <v>191</v>
      </c>
      <c r="H3349">
        <v>21538</v>
      </c>
    </row>
    <row r="3350" spans="1:8">
      <c r="A3350">
        <v>5352</v>
      </c>
      <c r="B3350" t="s">
        <v>2625</v>
      </c>
      <c r="C3350">
        <v>5697</v>
      </c>
      <c r="D3350" t="s">
        <v>2344</v>
      </c>
      <c r="E3350" t="s">
        <v>2036</v>
      </c>
      <c r="F3350">
        <v>202207</v>
      </c>
      <c r="G3350" t="s">
        <v>176</v>
      </c>
      <c r="H3350">
        <v>0</v>
      </c>
    </row>
    <row r="3351" spans="1:8">
      <c r="A3351">
        <v>5352</v>
      </c>
      <c r="B3351" t="s">
        <v>2625</v>
      </c>
      <c r="C3351">
        <v>5697</v>
      </c>
      <c r="D3351" t="s">
        <v>2344</v>
      </c>
      <c r="E3351" t="s">
        <v>2036</v>
      </c>
      <c r="F3351">
        <v>202207</v>
      </c>
      <c r="G3351" t="s">
        <v>178</v>
      </c>
      <c r="H3351">
        <v>480</v>
      </c>
    </row>
    <row r="3352" spans="1:8">
      <c r="A3352">
        <v>5352</v>
      </c>
      <c r="B3352" t="s">
        <v>2625</v>
      </c>
      <c r="C3352">
        <v>5697</v>
      </c>
      <c r="D3352" t="s">
        <v>2344</v>
      </c>
      <c r="E3352" t="s">
        <v>2036</v>
      </c>
      <c r="F3352">
        <v>202207</v>
      </c>
      <c r="G3352" t="s">
        <v>180</v>
      </c>
      <c r="H3352">
        <v>550</v>
      </c>
    </row>
    <row r="3353" spans="1:8">
      <c r="A3353">
        <v>5352</v>
      </c>
      <c r="B3353" t="s">
        <v>2625</v>
      </c>
      <c r="C3353">
        <v>5697</v>
      </c>
      <c r="D3353" t="s">
        <v>2344</v>
      </c>
      <c r="E3353" t="s">
        <v>2036</v>
      </c>
      <c r="F3353">
        <v>202207</v>
      </c>
      <c r="G3353" t="s">
        <v>182</v>
      </c>
      <c r="H3353">
        <v>142920</v>
      </c>
    </row>
    <row r="3354" spans="1:8">
      <c r="A3354">
        <v>5352</v>
      </c>
      <c r="B3354" t="s">
        <v>2625</v>
      </c>
      <c r="C3354">
        <v>5697</v>
      </c>
      <c r="D3354" t="s">
        <v>2344</v>
      </c>
      <c r="E3354" t="s">
        <v>2036</v>
      </c>
      <c r="F3354">
        <v>202207</v>
      </c>
      <c r="G3354" t="s">
        <v>184</v>
      </c>
      <c r="H3354">
        <v>21538</v>
      </c>
    </row>
    <row r="3355" spans="1:8">
      <c r="A3355">
        <v>5352</v>
      </c>
      <c r="B3355" t="s">
        <v>2625</v>
      </c>
      <c r="C3355">
        <v>5697</v>
      </c>
      <c r="D3355" t="s">
        <v>2344</v>
      </c>
      <c r="E3355" t="s">
        <v>2036</v>
      </c>
      <c r="F3355">
        <v>202207</v>
      </c>
      <c r="G3355" t="s">
        <v>192</v>
      </c>
      <c r="H3355">
        <v>0</v>
      </c>
    </row>
    <row r="3356" spans="1:8">
      <c r="A3356">
        <v>5352</v>
      </c>
      <c r="B3356" t="s">
        <v>2625</v>
      </c>
      <c r="C3356">
        <v>5697</v>
      </c>
      <c r="D3356" t="s">
        <v>2344</v>
      </c>
      <c r="E3356" t="s">
        <v>2036</v>
      </c>
      <c r="F3356">
        <v>202207</v>
      </c>
      <c r="G3356" t="s">
        <v>2170</v>
      </c>
      <c r="H3356">
        <v>2045.98</v>
      </c>
    </row>
    <row r="3357" spans="1:8">
      <c r="A3357">
        <v>5352</v>
      </c>
      <c r="B3357" t="s">
        <v>2625</v>
      </c>
      <c r="C3357">
        <v>5697</v>
      </c>
      <c r="D3357" t="s">
        <v>2344</v>
      </c>
      <c r="E3357" t="s">
        <v>2036</v>
      </c>
      <c r="F3357">
        <v>202207</v>
      </c>
      <c r="G3357" t="s">
        <v>186</v>
      </c>
      <c r="H3357">
        <v>0</v>
      </c>
    </row>
    <row r="3358" spans="1:8">
      <c r="A3358">
        <v>5352</v>
      </c>
      <c r="B3358" t="s">
        <v>2625</v>
      </c>
      <c r="C3358">
        <v>5697</v>
      </c>
      <c r="D3358" t="s">
        <v>2344</v>
      </c>
      <c r="E3358" t="s">
        <v>2036</v>
      </c>
      <c r="F3358">
        <v>202207</v>
      </c>
      <c r="G3358" t="s">
        <v>2169</v>
      </c>
      <c r="H3358">
        <v>182.65</v>
      </c>
    </row>
    <row r="3359" spans="1:8">
      <c r="A3359">
        <v>5352</v>
      </c>
      <c r="B3359" t="s">
        <v>2625</v>
      </c>
      <c r="C3359">
        <v>5697</v>
      </c>
      <c r="D3359" t="s">
        <v>2344</v>
      </c>
      <c r="E3359" t="s">
        <v>2036</v>
      </c>
      <c r="F3359">
        <v>202207</v>
      </c>
      <c r="G3359" t="s">
        <v>2166</v>
      </c>
      <c r="H3359">
        <v>11.83</v>
      </c>
    </row>
    <row r="3360" spans="1:8">
      <c r="A3360">
        <v>5352</v>
      </c>
      <c r="B3360" t="s">
        <v>2625</v>
      </c>
      <c r="C3360">
        <v>5697</v>
      </c>
      <c r="D3360" t="s">
        <v>2344</v>
      </c>
      <c r="E3360" t="s">
        <v>2036</v>
      </c>
      <c r="F3360">
        <v>202207</v>
      </c>
      <c r="G3360" t="s">
        <v>2167</v>
      </c>
      <c r="H3360">
        <v>21.22</v>
      </c>
    </row>
    <row r="3361" spans="1:8">
      <c r="A3361">
        <v>5352</v>
      </c>
      <c r="B3361" t="s">
        <v>2625</v>
      </c>
      <c r="C3361">
        <v>5697</v>
      </c>
      <c r="D3361" t="s">
        <v>2344</v>
      </c>
      <c r="E3361" t="s">
        <v>2036</v>
      </c>
      <c r="F3361">
        <v>202207</v>
      </c>
      <c r="G3361" t="s">
        <v>2168</v>
      </c>
      <c r="H3361">
        <v>14.37</v>
      </c>
    </row>
    <row r="3362" spans="1:8">
      <c r="A3362">
        <v>5352</v>
      </c>
      <c r="B3362" t="s">
        <v>2625</v>
      </c>
      <c r="C3362">
        <v>5697</v>
      </c>
      <c r="D3362" t="s">
        <v>2344</v>
      </c>
      <c r="E3362" t="s">
        <v>2036</v>
      </c>
      <c r="F3362">
        <v>202207</v>
      </c>
      <c r="G3362" t="s">
        <v>2171</v>
      </c>
      <c r="H3362">
        <v>51796.88</v>
      </c>
    </row>
    <row r="3363" spans="1:8">
      <c r="A3363">
        <v>5352</v>
      </c>
      <c r="B3363" t="s">
        <v>2625</v>
      </c>
      <c r="C3363">
        <v>5697</v>
      </c>
      <c r="D3363" t="s">
        <v>2344</v>
      </c>
      <c r="E3363" t="s">
        <v>2036</v>
      </c>
      <c r="F3363">
        <v>202207</v>
      </c>
      <c r="G3363" t="s">
        <v>190</v>
      </c>
      <c r="H3363">
        <v>169373</v>
      </c>
    </row>
    <row r="3364" spans="1:8">
      <c r="A3364">
        <v>5352</v>
      </c>
      <c r="B3364" t="s">
        <v>2625</v>
      </c>
      <c r="C3364">
        <v>5697</v>
      </c>
      <c r="D3364" t="s">
        <v>2344</v>
      </c>
      <c r="E3364" t="s">
        <v>2036</v>
      </c>
      <c r="F3364">
        <v>202207</v>
      </c>
      <c r="G3364" t="s">
        <v>191</v>
      </c>
      <c r="H3364">
        <v>21743</v>
      </c>
    </row>
    <row r="3365" spans="1:8">
      <c r="A3365">
        <v>5352</v>
      </c>
      <c r="B3365" t="s">
        <v>2625</v>
      </c>
      <c r="C3365">
        <v>5697</v>
      </c>
      <c r="D3365" t="s">
        <v>2344</v>
      </c>
      <c r="E3365" t="s">
        <v>2036</v>
      </c>
      <c r="F3365">
        <v>202207</v>
      </c>
      <c r="G3365" t="s">
        <v>176</v>
      </c>
      <c r="H3365">
        <v>0</v>
      </c>
    </row>
    <row r="3366" spans="1:8">
      <c r="A3366">
        <v>5352</v>
      </c>
      <c r="B3366" t="s">
        <v>2625</v>
      </c>
      <c r="C3366">
        <v>5697</v>
      </c>
      <c r="D3366" t="s">
        <v>2344</v>
      </c>
      <c r="E3366" t="s">
        <v>2036</v>
      </c>
      <c r="F3366">
        <v>202207</v>
      </c>
      <c r="G3366" t="s">
        <v>178</v>
      </c>
      <c r="H3366">
        <v>600</v>
      </c>
    </row>
    <row r="3367" spans="1:8">
      <c r="A3367">
        <v>5352</v>
      </c>
      <c r="B3367" t="s">
        <v>2625</v>
      </c>
      <c r="C3367">
        <v>5697</v>
      </c>
      <c r="D3367" t="s">
        <v>2344</v>
      </c>
      <c r="E3367" t="s">
        <v>2036</v>
      </c>
      <c r="F3367">
        <v>202207</v>
      </c>
      <c r="G3367" t="s">
        <v>180</v>
      </c>
      <c r="H3367">
        <v>600</v>
      </c>
    </row>
    <row r="3368" spans="1:8">
      <c r="A3368">
        <v>5352</v>
      </c>
      <c r="B3368" t="s">
        <v>2625</v>
      </c>
      <c r="C3368">
        <v>5697</v>
      </c>
      <c r="D3368" t="s">
        <v>2344</v>
      </c>
      <c r="E3368" t="s">
        <v>2036</v>
      </c>
      <c r="F3368">
        <v>202207</v>
      </c>
      <c r="G3368" t="s">
        <v>182</v>
      </c>
      <c r="H3368">
        <v>169373</v>
      </c>
    </row>
    <row r="3369" spans="1:8">
      <c r="A3369">
        <v>5352</v>
      </c>
      <c r="B3369" t="s">
        <v>2625</v>
      </c>
      <c r="C3369">
        <v>5697</v>
      </c>
      <c r="D3369" t="s">
        <v>2344</v>
      </c>
      <c r="E3369" t="s">
        <v>2036</v>
      </c>
      <c r="F3369">
        <v>202207</v>
      </c>
      <c r="G3369" t="s">
        <v>184</v>
      </c>
      <c r="H3369">
        <v>21743</v>
      </c>
    </row>
    <row r="3370" spans="1:8">
      <c r="A3370">
        <v>5352</v>
      </c>
      <c r="B3370" t="s">
        <v>2625</v>
      </c>
      <c r="C3370">
        <v>5697</v>
      </c>
      <c r="D3370" t="s">
        <v>2344</v>
      </c>
      <c r="E3370" t="s">
        <v>2036</v>
      </c>
      <c r="F3370">
        <v>202207</v>
      </c>
      <c r="G3370" t="s">
        <v>192</v>
      </c>
      <c r="H3370">
        <v>0</v>
      </c>
    </row>
    <row r="3371" spans="1:8">
      <c r="A3371">
        <v>5352</v>
      </c>
      <c r="B3371" t="s">
        <v>2625</v>
      </c>
      <c r="C3371">
        <v>5697</v>
      </c>
      <c r="D3371" t="s">
        <v>2344</v>
      </c>
      <c r="E3371" t="s">
        <v>2036</v>
      </c>
      <c r="F3371">
        <v>202207</v>
      </c>
      <c r="G3371" t="s">
        <v>2170</v>
      </c>
      <c r="H3371">
        <v>2363.9899999999998</v>
      </c>
    </row>
    <row r="3372" spans="1:8">
      <c r="A3372">
        <v>5352</v>
      </c>
      <c r="B3372" t="s">
        <v>2625</v>
      </c>
      <c r="C3372">
        <v>5697</v>
      </c>
      <c r="D3372" t="s">
        <v>2344</v>
      </c>
      <c r="E3372" t="s">
        <v>2036</v>
      </c>
      <c r="F3372">
        <v>202207</v>
      </c>
      <c r="G3372" t="s">
        <v>186</v>
      </c>
      <c r="H3372">
        <v>0</v>
      </c>
    </row>
    <row r="3373" spans="1:8">
      <c r="A3373">
        <v>5352</v>
      </c>
      <c r="B3373" t="s">
        <v>2625</v>
      </c>
      <c r="C3373">
        <v>5697</v>
      </c>
      <c r="D3373" t="s">
        <v>2344</v>
      </c>
      <c r="E3373" t="s">
        <v>2036</v>
      </c>
      <c r="F3373">
        <v>202207</v>
      </c>
      <c r="G3373" t="s">
        <v>2169</v>
      </c>
      <c r="H3373">
        <v>182.65</v>
      </c>
    </row>
    <row r="3374" spans="1:8">
      <c r="A3374">
        <v>5352</v>
      </c>
      <c r="B3374" t="s">
        <v>2625</v>
      </c>
      <c r="C3374">
        <v>5697</v>
      </c>
      <c r="D3374" t="s">
        <v>2344</v>
      </c>
      <c r="E3374" t="s">
        <v>2036</v>
      </c>
      <c r="F3374">
        <v>202207</v>
      </c>
      <c r="G3374" t="s">
        <v>2166</v>
      </c>
      <c r="H3374">
        <v>11.83</v>
      </c>
    </row>
    <row r="3375" spans="1:8">
      <c r="A3375">
        <v>5352</v>
      </c>
      <c r="B3375" t="s">
        <v>2625</v>
      </c>
      <c r="C3375">
        <v>5697</v>
      </c>
      <c r="D3375" t="s">
        <v>2344</v>
      </c>
      <c r="E3375" t="s">
        <v>2036</v>
      </c>
      <c r="F3375">
        <v>202207</v>
      </c>
      <c r="G3375" t="s">
        <v>2167</v>
      </c>
      <c r="H3375">
        <v>21.22</v>
      </c>
    </row>
    <row r="3376" spans="1:8">
      <c r="A3376">
        <v>5352</v>
      </c>
      <c r="B3376" t="s">
        <v>2625</v>
      </c>
      <c r="C3376">
        <v>5697</v>
      </c>
      <c r="D3376" t="s">
        <v>2344</v>
      </c>
      <c r="E3376" t="s">
        <v>2036</v>
      </c>
      <c r="F3376">
        <v>202207</v>
      </c>
      <c r="G3376" t="s">
        <v>2168</v>
      </c>
      <c r="H3376">
        <v>14.37</v>
      </c>
    </row>
    <row r="3377" spans="1:8">
      <c r="A3377">
        <v>5352</v>
      </c>
      <c r="B3377" t="s">
        <v>2625</v>
      </c>
      <c r="C3377">
        <v>5697</v>
      </c>
      <c r="D3377" t="s">
        <v>2344</v>
      </c>
      <c r="E3377" t="s">
        <v>2036</v>
      </c>
      <c r="F3377">
        <v>202207</v>
      </c>
      <c r="G3377" t="s">
        <v>2171</v>
      </c>
      <c r="H3377">
        <v>59847.64</v>
      </c>
    </row>
    <row r="3378" spans="1:8">
      <c r="A3378">
        <v>5352</v>
      </c>
      <c r="B3378" t="s">
        <v>2625</v>
      </c>
      <c r="C3378">
        <v>5697</v>
      </c>
      <c r="D3378" t="s">
        <v>2344</v>
      </c>
      <c r="E3378" t="s">
        <v>2036</v>
      </c>
      <c r="F3378">
        <v>202207</v>
      </c>
      <c r="G3378" t="s">
        <v>190</v>
      </c>
      <c r="H3378">
        <v>178866</v>
      </c>
    </row>
    <row r="3379" spans="1:8">
      <c r="A3379">
        <v>5352</v>
      </c>
      <c r="B3379" t="s">
        <v>2625</v>
      </c>
      <c r="C3379">
        <v>5697</v>
      </c>
      <c r="D3379" t="s">
        <v>2344</v>
      </c>
      <c r="E3379" t="s">
        <v>2036</v>
      </c>
      <c r="F3379">
        <v>202207</v>
      </c>
      <c r="G3379" t="s">
        <v>191</v>
      </c>
      <c r="H3379">
        <v>27894</v>
      </c>
    </row>
    <row r="3380" spans="1:8">
      <c r="A3380">
        <v>5352</v>
      </c>
      <c r="B3380" t="s">
        <v>2625</v>
      </c>
      <c r="C3380">
        <v>5697</v>
      </c>
      <c r="D3380" t="s">
        <v>2344</v>
      </c>
      <c r="E3380" t="s">
        <v>2036</v>
      </c>
      <c r="F3380">
        <v>202207</v>
      </c>
      <c r="G3380" t="s">
        <v>176</v>
      </c>
      <c r="H3380">
        <v>0</v>
      </c>
    </row>
    <row r="3381" spans="1:8">
      <c r="A3381">
        <v>5352</v>
      </c>
      <c r="B3381" t="s">
        <v>2625</v>
      </c>
      <c r="C3381">
        <v>5697</v>
      </c>
      <c r="D3381" t="s">
        <v>2344</v>
      </c>
      <c r="E3381" t="s">
        <v>2036</v>
      </c>
      <c r="F3381">
        <v>202207</v>
      </c>
      <c r="G3381" t="s">
        <v>178</v>
      </c>
      <c r="H3381">
        <v>1300</v>
      </c>
    </row>
    <row r="3382" spans="1:8">
      <c r="A3382">
        <v>5352</v>
      </c>
      <c r="B3382" t="s">
        <v>2625</v>
      </c>
      <c r="C3382">
        <v>5697</v>
      </c>
      <c r="D3382" t="s">
        <v>2344</v>
      </c>
      <c r="E3382" t="s">
        <v>2036</v>
      </c>
      <c r="F3382">
        <v>202207</v>
      </c>
      <c r="G3382" t="s">
        <v>180</v>
      </c>
      <c r="H3382">
        <v>1350</v>
      </c>
    </row>
    <row r="3383" spans="1:8">
      <c r="A3383">
        <v>5352</v>
      </c>
      <c r="B3383" t="s">
        <v>2625</v>
      </c>
      <c r="C3383">
        <v>5697</v>
      </c>
      <c r="D3383" t="s">
        <v>2344</v>
      </c>
      <c r="E3383" t="s">
        <v>2036</v>
      </c>
      <c r="F3383">
        <v>202207</v>
      </c>
      <c r="G3383" t="s">
        <v>182</v>
      </c>
      <c r="H3383">
        <v>178866</v>
      </c>
    </row>
    <row r="3384" spans="1:8">
      <c r="A3384">
        <v>5352</v>
      </c>
      <c r="B3384" t="s">
        <v>2625</v>
      </c>
      <c r="C3384">
        <v>5697</v>
      </c>
      <c r="D3384" t="s">
        <v>2344</v>
      </c>
      <c r="E3384" t="s">
        <v>2036</v>
      </c>
      <c r="F3384">
        <v>202207</v>
      </c>
      <c r="G3384" t="s">
        <v>184</v>
      </c>
      <c r="H3384">
        <v>27894</v>
      </c>
    </row>
    <row r="3385" spans="1:8">
      <c r="A3385">
        <v>5352</v>
      </c>
      <c r="B3385" t="s">
        <v>2625</v>
      </c>
      <c r="C3385">
        <v>5697</v>
      </c>
      <c r="D3385" t="s">
        <v>2344</v>
      </c>
      <c r="E3385" t="s">
        <v>2036</v>
      </c>
      <c r="F3385">
        <v>202207</v>
      </c>
      <c r="G3385" t="s">
        <v>192</v>
      </c>
      <c r="H3385">
        <v>0</v>
      </c>
    </row>
    <row r="3386" spans="1:8">
      <c r="A3386">
        <v>5352</v>
      </c>
      <c r="B3386" t="s">
        <v>2625</v>
      </c>
      <c r="C3386">
        <v>5697</v>
      </c>
      <c r="D3386" t="s">
        <v>2344</v>
      </c>
      <c r="E3386" t="s">
        <v>2036</v>
      </c>
      <c r="F3386">
        <v>202207</v>
      </c>
      <c r="G3386" t="s">
        <v>2170</v>
      </c>
      <c r="H3386">
        <v>3485.35</v>
      </c>
    </row>
    <row r="3387" spans="1:8">
      <c r="A3387">
        <v>5352</v>
      </c>
      <c r="B3387" t="s">
        <v>2625</v>
      </c>
      <c r="C3387">
        <v>5697</v>
      </c>
      <c r="D3387" t="s">
        <v>2344</v>
      </c>
      <c r="E3387" t="s">
        <v>2036</v>
      </c>
      <c r="F3387">
        <v>202207</v>
      </c>
      <c r="G3387" t="s">
        <v>186</v>
      </c>
      <c r="H3387">
        <v>0</v>
      </c>
    </row>
    <row r="3388" spans="1:8">
      <c r="A3388">
        <v>5352</v>
      </c>
      <c r="B3388" t="s">
        <v>2625</v>
      </c>
      <c r="C3388">
        <v>5697</v>
      </c>
      <c r="D3388" t="s">
        <v>2344</v>
      </c>
      <c r="E3388" t="s">
        <v>2036</v>
      </c>
      <c r="F3388">
        <v>202207</v>
      </c>
      <c r="G3388" t="s">
        <v>2169</v>
      </c>
      <c r="H3388">
        <v>182.65</v>
      </c>
    </row>
    <row r="3389" spans="1:8">
      <c r="A3389">
        <v>5352</v>
      </c>
      <c r="B3389" t="s">
        <v>2625</v>
      </c>
      <c r="C3389">
        <v>5697</v>
      </c>
      <c r="D3389" t="s">
        <v>2344</v>
      </c>
      <c r="E3389" t="s">
        <v>2036</v>
      </c>
      <c r="F3389">
        <v>202207</v>
      </c>
      <c r="G3389" t="s">
        <v>2166</v>
      </c>
      <c r="H3389">
        <v>11.83</v>
      </c>
    </row>
    <row r="3390" spans="1:8">
      <c r="A3390">
        <v>5352</v>
      </c>
      <c r="B3390" t="s">
        <v>2625</v>
      </c>
      <c r="C3390">
        <v>5697</v>
      </c>
      <c r="D3390" t="s">
        <v>2344</v>
      </c>
      <c r="E3390" t="s">
        <v>2036</v>
      </c>
      <c r="F3390">
        <v>202207</v>
      </c>
      <c r="G3390" t="s">
        <v>2167</v>
      </c>
      <c r="H3390">
        <v>21.22</v>
      </c>
    </row>
    <row r="3391" spans="1:8">
      <c r="A3391">
        <v>5352</v>
      </c>
      <c r="B3391" t="s">
        <v>2625</v>
      </c>
      <c r="C3391">
        <v>5697</v>
      </c>
      <c r="D3391" t="s">
        <v>2344</v>
      </c>
      <c r="E3391" t="s">
        <v>2036</v>
      </c>
      <c r="F3391">
        <v>202207</v>
      </c>
      <c r="G3391" t="s">
        <v>2168</v>
      </c>
      <c r="H3391">
        <v>14.37</v>
      </c>
    </row>
    <row r="3392" spans="1:8">
      <c r="A3392">
        <v>5352</v>
      </c>
      <c r="B3392" t="s">
        <v>2625</v>
      </c>
      <c r="C3392">
        <v>5697</v>
      </c>
      <c r="D3392" t="s">
        <v>2344</v>
      </c>
      <c r="E3392" t="s">
        <v>2036</v>
      </c>
      <c r="F3392">
        <v>202207</v>
      </c>
      <c r="G3392" t="s">
        <v>2171</v>
      </c>
      <c r="H3392">
        <v>88247.61</v>
      </c>
    </row>
    <row r="3393" spans="1:8">
      <c r="A3393">
        <v>5352</v>
      </c>
      <c r="B3393" t="s">
        <v>2625</v>
      </c>
      <c r="C3393">
        <v>5697</v>
      </c>
      <c r="D3393" t="s">
        <v>2344</v>
      </c>
      <c r="E3393" t="s">
        <v>2036</v>
      </c>
      <c r="F3393">
        <v>202207</v>
      </c>
      <c r="G3393" t="s">
        <v>190</v>
      </c>
      <c r="H3393">
        <v>176401</v>
      </c>
    </row>
    <row r="3394" spans="1:8">
      <c r="A3394">
        <v>5352</v>
      </c>
      <c r="B3394" t="s">
        <v>2625</v>
      </c>
      <c r="C3394">
        <v>5697</v>
      </c>
      <c r="D3394" t="s">
        <v>2344</v>
      </c>
      <c r="E3394" t="s">
        <v>2036</v>
      </c>
      <c r="F3394">
        <v>202207</v>
      </c>
      <c r="G3394" t="s">
        <v>191</v>
      </c>
      <c r="H3394">
        <v>26861</v>
      </c>
    </row>
    <row r="3395" spans="1:8">
      <c r="A3395">
        <v>5352</v>
      </c>
      <c r="B3395" t="s">
        <v>2625</v>
      </c>
      <c r="C3395">
        <v>5697</v>
      </c>
      <c r="D3395" t="s">
        <v>2344</v>
      </c>
      <c r="E3395" t="s">
        <v>2036</v>
      </c>
      <c r="F3395">
        <v>202207</v>
      </c>
      <c r="G3395" t="s">
        <v>176</v>
      </c>
      <c r="H3395">
        <v>0</v>
      </c>
    </row>
    <row r="3396" spans="1:8">
      <c r="A3396">
        <v>5352</v>
      </c>
      <c r="B3396" t="s">
        <v>2625</v>
      </c>
      <c r="C3396">
        <v>5697</v>
      </c>
      <c r="D3396" t="s">
        <v>2344</v>
      </c>
      <c r="E3396" t="s">
        <v>2036</v>
      </c>
      <c r="F3396">
        <v>202207</v>
      </c>
      <c r="G3396" t="s">
        <v>178</v>
      </c>
      <c r="H3396">
        <v>810</v>
      </c>
    </row>
    <row r="3397" spans="1:8">
      <c r="A3397">
        <v>5352</v>
      </c>
      <c r="B3397" t="s">
        <v>2625</v>
      </c>
      <c r="C3397">
        <v>5697</v>
      </c>
      <c r="D3397" t="s">
        <v>2344</v>
      </c>
      <c r="E3397" t="s">
        <v>2036</v>
      </c>
      <c r="F3397">
        <v>202207</v>
      </c>
      <c r="G3397" t="s">
        <v>180</v>
      </c>
      <c r="H3397">
        <v>930</v>
      </c>
    </row>
    <row r="3398" spans="1:8">
      <c r="A3398">
        <v>5352</v>
      </c>
      <c r="B3398" t="s">
        <v>2625</v>
      </c>
      <c r="C3398">
        <v>5697</v>
      </c>
      <c r="D3398" t="s">
        <v>2344</v>
      </c>
      <c r="E3398" t="s">
        <v>2036</v>
      </c>
      <c r="F3398">
        <v>202207</v>
      </c>
      <c r="G3398" t="s">
        <v>182</v>
      </c>
      <c r="H3398">
        <v>176401</v>
      </c>
    </row>
    <row r="3399" spans="1:8">
      <c r="A3399">
        <v>5352</v>
      </c>
      <c r="B3399" t="s">
        <v>2625</v>
      </c>
      <c r="C3399">
        <v>5697</v>
      </c>
      <c r="D3399" t="s">
        <v>2344</v>
      </c>
      <c r="E3399" t="s">
        <v>2036</v>
      </c>
      <c r="F3399">
        <v>202207</v>
      </c>
      <c r="G3399" t="s">
        <v>184</v>
      </c>
      <c r="H3399">
        <v>26861</v>
      </c>
    </row>
    <row r="3400" spans="1:8">
      <c r="A3400">
        <v>5352</v>
      </c>
      <c r="B3400" t="s">
        <v>2625</v>
      </c>
      <c r="C3400">
        <v>5697</v>
      </c>
      <c r="D3400" t="s">
        <v>2344</v>
      </c>
      <c r="E3400" t="s">
        <v>2036</v>
      </c>
      <c r="F3400">
        <v>202207</v>
      </c>
      <c r="G3400" t="s">
        <v>192</v>
      </c>
      <c r="H3400">
        <v>0</v>
      </c>
    </row>
    <row r="3401" spans="1:8">
      <c r="A3401">
        <v>5352</v>
      </c>
      <c r="B3401" t="s">
        <v>2625</v>
      </c>
      <c r="C3401">
        <v>5697</v>
      </c>
      <c r="D3401" t="s">
        <v>2344</v>
      </c>
      <c r="E3401" t="s">
        <v>2036</v>
      </c>
      <c r="F3401">
        <v>202207</v>
      </c>
      <c r="G3401" t="s">
        <v>2170</v>
      </c>
      <c r="H3401">
        <v>2852.52</v>
      </c>
    </row>
    <row r="3402" spans="1:8">
      <c r="A3402">
        <v>5352</v>
      </c>
      <c r="B3402" t="s">
        <v>2625</v>
      </c>
      <c r="C3402">
        <v>5697</v>
      </c>
      <c r="D3402" t="s">
        <v>2344</v>
      </c>
      <c r="E3402" t="s">
        <v>2036</v>
      </c>
      <c r="F3402">
        <v>202207</v>
      </c>
      <c r="G3402" t="s">
        <v>186</v>
      </c>
      <c r="H3402">
        <v>0</v>
      </c>
    </row>
    <row r="3403" spans="1:8">
      <c r="A3403">
        <v>5352</v>
      </c>
      <c r="B3403" t="s">
        <v>2625</v>
      </c>
      <c r="C3403">
        <v>5697</v>
      </c>
      <c r="D3403" t="s">
        <v>2344</v>
      </c>
      <c r="E3403" t="s">
        <v>2036</v>
      </c>
      <c r="F3403">
        <v>202207</v>
      </c>
      <c r="G3403" t="s">
        <v>2169</v>
      </c>
      <c r="H3403">
        <v>182.65</v>
      </c>
    </row>
    <row r="3404" spans="1:8">
      <c r="A3404">
        <v>5352</v>
      </c>
      <c r="B3404" t="s">
        <v>2625</v>
      </c>
      <c r="C3404">
        <v>5697</v>
      </c>
      <c r="D3404" t="s">
        <v>2344</v>
      </c>
      <c r="E3404" t="s">
        <v>2036</v>
      </c>
      <c r="F3404">
        <v>202207</v>
      </c>
      <c r="G3404" t="s">
        <v>2166</v>
      </c>
      <c r="H3404">
        <v>11.83</v>
      </c>
    </row>
    <row r="3405" spans="1:8">
      <c r="A3405">
        <v>5352</v>
      </c>
      <c r="B3405" t="s">
        <v>2625</v>
      </c>
      <c r="C3405">
        <v>5697</v>
      </c>
      <c r="D3405" t="s">
        <v>2344</v>
      </c>
      <c r="E3405" t="s">
        <v>2036</v>
      </c>
      <c r="F3405">
        <v>202207</v>
      </c>
      <c r="G3405" t="s">
        <v>2167</v>
      </c>
      <c r="H3405">
        <v>21.22</v>
      </c>
    </row>
    <row r="3406" spans="1:8">
      <c r="A3406">
        <v>5352</v>
      </c>
      <c r="B3406" t="s">
        <v>2625</v>
      </c>
      <c r="C3406">
        <v>5697</v>
      </c>
      <c r="D3406" t="s">
        <v>2344</v>
      </c>
      <c r="E3406" t="s">
        <v>2036</v>
      </c>
      <c r="F3406">
        <v>202207</v>
      </c>
      <c r="G3406" t="s">
        <v>2168</v>
      </c>
      <c r="H3406">
        <v>14.37</v>
      </c>
    </row>
    <row r="3407" spans="1:8">
      <c r="A3407">
        <v>5352</v>
      </c>
      <c r="B3407" t="s">
        <v>2625</v>
      </c>
      <c r="C3407">
        <v>5697</v>
      </c>
      <c r="D3407" t="s">
        <v>2344</v>
      </c>
      <c r="E3407" t="s">
        <v>2036</v>
      </c>
      <c r="F3407">
        <v>202207</v>
      </c>
      <c r="G3407" t="s">
        <v>2171</v>
      </c>
      <c r="H3407">
        <v>72216.09</v>
      </c>
    </row>
    <row r="3408" spans="1:8">
      <c r="A3408">
        <v>5352</v>
      </c>
      <c r="B3408" t="s">
        <v>2625</v>
      </c>
      <c r="C3408">
        <v>5697</v>
      </c>
      <c r="D3408" t="s">
        <v>2344</v>
      </c>
      <c r="E3408" t="s">
        <v>2036</v>
      </c>
      <c r="F3408">
        <v>202207</v>
      </c>
      <c r="G3408" t="s">
        <v>190</v>
      </c>
      <c r="H3408">
        <v>55686</v>
      </c>
    </row>
    <row r="3409" spans="1:8">
      <c r="A3409">
        <v>5352</v>
      </c>
      <c r="B3409" t="s">
        <v>2625</v>
      </c>
      <c r="C3409">
        <v>5697</v>
      </c>
      <c r="D3409" t="s">
        <v>2344</v>
      </c>
      <c r="E3409" t="s">
        <v>2036</v>
      </c>
      <c r="F3409">
        <v>202207</v>
      </c>
      <c r="G3409" t="s">
        <v>191</v>
      </c>
      <c r="H3409">
        <v>8262</v>
      </c>
    </row>
    <row r="3410" spans="1:8">
      <c r="A3410">
        <v>5352</v>
      </c>
      <c r="B3410" t="s">
        <v>2625</v>
      </c>
      <c r="C3410">
        <v>5697</v>
      </c>
      <c r="D3410" t="s">
        <v>2344</v>
      </c>
      <c r="E3410" t="s">
        <v>2036</v>
      </c>
      <c r="F3410">
        <v>202207</v>
      </c>
      <c r="G3410" t="s">
        <v>176</v>
      </c>
      <c r="H3410">
        <v>0</v>
      </c>
    </row>
    <row r="3411" spans="1:8">
      <c r="A3411">
        <v>5352</v>
      </c>
      <c r="B3411" t="s">
        <v>2625</v>
      </c>
      <c r="C3411">
        <v>5697</v>
      </c>
      <c r="D3411" t="s">
        <v>2344</v>
      </c>
      <c r="E3411" t="s">
        <v>2036</v>
      </c>
      <c r="F3411">
        <v>202207</v>
      </c>
      <c r="G3411" t="s">
        <v>178</v>
      </c>
      <c r="H3411">
        <v>317</v>
      </c>
    </row>
    <row r="3412" spans="1:8">
      <c r="A3412">
        <v>5352</v>
      </c>
      <c r="B3412" t="s">
        <v>2625</v>
      </c>
      <c r="C3412">
        <v>5697</v>
      </c>
      <c r="D3412" t="s">
        <v>2344</v>
      </c>
      <c r="E3412" t="s">
        <v>2036</v>
      </c>
      <c r="F3412">
        <v>202207</v>
      </c>
      <c r="G3412" t="s">
        <v>180</v>
      </c>
      <c r="H3412">
        <v>315</v>
      </c>
    </row>
    <row r="3413" spans="1:8">
      <c r="A3413">
        <v>5352</v>
      </c>
      <c r="B3413" t="s">
        <v>2625</v>
      </c>
      <c r="C3413">
        <v>5697</v>
      </c>
      <c r="D3413" t="s">
        <v>2344</v>
      </c>
      <c r="E3413" t="s">
        <v>2036</v>
      </c>
      <c r="F3413">
        <v>202207</v>
      </c>
      <c r="G3413" t="s">
        <v>182</v>
      </c>
      <c r="H3413">
        <v>55686</v>
      </c>
    </row>
    <row r="3414" spans="1:8">
      <c r="A3414">
        <v>5352</v>
      </c>
      <c r="B3414" t="s">
        <v>2625</v>
      </c>
      <c r="C3414">
        <v>5697</v>
      </c>
      <c r="D3414" t="s">
        <v>2344</v>
      </c>
      <c r="E3414" t="s">
        <v>2036</v>
      </c>
      <c r="F3414">
        <v>202207</v>
      </c>
      <c r="G3414" t="s">
        <v>184</v>
      </c>
      <c r="H3414">
        <v>8262</v>
      </c>
    </row>
    <row r="3415" spans="1:8">
      <c r="A3415">
        <v>5352</v>
      </c>
      <c r="B3415" t="s">
        <v>2625</v>
      </c>
      <c r="C3415">
        <v>5697</v>
      </c>
      <c r="D3415" t="s">
        <v>2344</v>
      </c>
      <c r="E3415" t="s">
        <v>2036</v>
      </c>
      <c r="F3415">
        <v>202207</v>
      </c>
      <c r="G3415" t="s">
        <v>192</v>
      </c>
      <c r="H3415">
        <v>0</v>
      </c>
    </row>
    <row r="3416" spans="1:8">
      <c r="A3416">
        <v>5352</v>
      </c>
      <c r="B3416" t="s">
        <v>2625</v>
      </c>
      <c r="C3416">
        <v>5697</v>
      </c>
      <c r="D3416" t="s">
        <v>2344</v>
      </c>
      <c r="E3416" t="s">
        <v>2036</v>
      </c>
      <c r="F3416">
        <v>202207</v>
      </c>
      <c r="G3416" t="s">
        <v>2170</v>
      </c>
      <c r="H3416">
        <v>1125.29</v>
      </c>
    </row>
    <row r="3417" spans="1:8">
      <c r="A3417">
        <v>5352</v>
      </c>
      <c r="B3417" t="s">
        <v>2625</v>
      </c>
      <c r="C3417">
        <v>5697</v>
      </c>
      <c r="D3417" t="s">
        <v>2344</v>
      </c>
      <c r="E3417" t="s">
        <v>2036</v>
      </c>
      <c r="F3417">
        <v>202207</v>
      </c>
      <c r="G3417" t="s">
        <v>186</v>
      </c>
      <c r="H3417">
        <v>0</v>
      </c>
    </row>
    <row r="3418" spans="1:8">
      <c r="A3418">
        <v>5352</v>
      </c>
      <c r="B3418" t="s">
        <v>2625</v>
      </c>
      <c r="C3418">
        <v>5697</v>
      </c>
      <c r="D3418" t="s">
        <v>2344</v>
      </c>
      <c r="E3418" t="s">
        <v>2036</v>
      </c>
      <c r="F3418">
        <v>202207</v>
      </c>
      <c r="G3418" t="s">
        <v>2169</v>
      </c>
      <c r="H3418">
        <v>182.65</v>
      </c>
    </row>
    <row r="3419" spans="1:8">
      <c r="A3419">
        <v>5352</v>
      </c>
      <c r="B3419" t="s">
        <v>2625</v>
      </c>
      <c r="C3419">
        <v>5697</v>
      </c>
      <c r="D3419" t="s">
        <v>2344</v>
      </c>
      <c r="E3419" t="s">
        <v>2036</v>
      </c>
      <c r="F3419">
        <v>202207</v>
      </c>
      <c r="G3419" t="s">
        <v>2166</v>
      </c>
      <c r="H3419">
        <v>11.83</v>
      </c>
    </row>
    <row r="3420" spans="1:8">
      <c r="A3420">
        <v>5352</v>
      </c>
      <c r="B3420" t="s">
        <v>2625</v>
      </c>
      <c r="C3420">
        <v>5697</v>
      </c>
      <c r="D3420" t="s">
        <v>2344</v>
      </c>
      <c r="E3420" t="s">
        <v>2036</v>
      </c>
      <c r="F3420">
        <v>202207</v>
      </c>
      <c r="G3420" t="s">
        <v>2167</v>
      </c>
      <c r="H3420">
        <v>21.22</v>
      </c>
    </row>
    <row r="3421" spans="1:8">
      <c r="A3421">
        <v>5352</v>
      </c>
      <c r="B3421" t="s">
        <v>2625</v>
      </c>
      <c r="C3421">
        <v>5697</v>
      </c>
      <c r="D3421" t="s">
        <v>2344</v>
      </c>
      <c r="E3421" t="s">
        <v>2036</v>
      </c>
      <c r="F3421">
        <v>202207</v>
      </c>
      <c r="G3421" t="s">
        <v>2168</v>
      </c>
      <c r="H3421">
        <v>14.37</v>
      </c>
    </row>
    <row r="3422" spans="1:8">
      <c r="A3422">
        <v>5352</v>
      </c>
      <c r="B3422" t="s">
        <v>2625</v>
      </c>
      <c r="C3422">
        <v>5697</v>
      </c>
      <c r="D3422" t="s">
        <v>2344</v>
      </c>
      <c r="E3422" t="s">
        <v>2036</v>
      </c>
      <c r="F3422">
        <v>202207</v>
      </c>
      <c r="G3422" t="s">
        <v>2171</v>
      </c>
      <c r="H3422">
        <v>32353.26</v>
      </c>
    </row>
    <row r="3423" spans="1:8">
      <c r="A3423">
        <v>5352</v>
      </c>
      <c r="B3423" t="s">
        <v>2625</v>
      </c>
      <c r="C3423">
        <v>5697</v>
      </c>
      <c r="D3423" t="s">
        <v>2344</v>
      </c>
      <c r="E3423" t="s">
        <v>2036</v>
      </c>
      <c r="F3423">
        <v>202207</v>
      </c>
      <c r="G3423" t="s">
        <v>190</v>
      </c>
      <c r="H3423">
        <v>180554</v>
      </c>
    </row>
    <row r="3424" spans="1:8">
      <c r="A3424">
        <v>5352</v>
      </c>
      <c r="B3424" t="s">
        <v>2625</v>
      </c>
      <c r="C3424">
        <v>5697</v>
      </c>
      <c r="D3424" t="s">
        <v>2344</v>
      </c>
      <c r="E3424" t="s">
        <v>2036</v>
      </c>
      <c r="F3424">
        <v>202207</v>
      </c>
      <c r="G3424" t="s">
        <v>191</v>
      </c>
      <c r="H3424">
        <v>26717</v>
      </c>
    </row>
    <row r="3425" spans="1:8">
      <c r="A3425">
        <v>5352</v>
      </c>
      <c r="B3425" t="s">
        <v>2625</v>
      </c>
      <c r="C3425">
        <v>5697</v>
      </c>
      <c r="D3425" t="s">
        <v>2344</v>
      </c>
      <c r="E3425" t="s">
        <v>2036</v>
      </c>
      <c r="F3425">
        <v>202207</v>
      </c>
      <c r="G3425" t="s">
        <v>176</v>
      </c>
      <c r="H3425">
        <v>0</v>
      </c>
    </row>
    <row r="3426" spans="1:8">
      <c r="A3426">
        <v>5352</v>
      </c>
      <c r="B3426" t="s">
        <v>2625</v>
      </c>
      <c r="C3426">
        <v>5697</v>
      </c>
      <c r="D3426" t="s">
        <v>2344</v>
      </c>
      <c r="E3426" t="s">
        <v>2036</v>
      </c>
      <c r="F3426">
        <v>202207</v>
      </c>
      <c r="G3426" t="s">
        <v>178</v>
      </c>
      <c r="H3426">
        <v>900</v>
      </c>
    </row>
    <row r="3427" spans="1:8">
      <c r="A3427">
        <v>5352</v>
      </c>
      <c r="B3427" t="s">
        <v>2625</v>
      </c>
      <c r="C3427">
        <v>5697</v>
      </c>
      <c r="D3427" t="s">
        <v>2344</v>
      </c>
      <c r="E3427" t="s">
        <v>2036</v>
      </c>
      <c r="F3427">
        <v>202207</v>
      </c>
      <c r="G3427" t="s">
        <v>180</v>
      </c>
      <c r="H3427">
        <v>850</v>
      </c>
    </row>
    <row r="3428" spans="1:8">
      <c r="A3428">
        <v>5352</v>
      </c>
      <c r="B3428" t="s">
        <v>2625</v>
      </c>
      <c r="C3428">
        <v>5697</v>
      </c>
      <c r="D3428" t="s">
        <v>2344</v>
      </c>
      <c r="E3428" t="s">
        <v>2036</v>
      </c>
      <c r="F3428">
        <v>202207</v>
      </c>
      <c r="G3428" t="s">
        <v>182</v>
      </c>
      <c r="H3428">
        <v>180554</v>
      </c>
    </row>
    <row r="3429" spans="1:8">
      <c r="A3429">
        <v>5352</v>
      </c>
      <c r="B3429" t="s">
        <v>2625</v>
      </c>
      <c r="C3429">
        <v>5697</v>
      </c>
      <c r="D3429" t="s">
        <v>2344</v>
      </c>
      <c r="E3429" t="s">
        <v>2036</v>
      </c>
      <c r="F3429">
        <v>202207</v>
      </c>
      <c r="G3429" t="s">
        <v>184</v>
      </c>
      <c r="H3429">
        <v>26717</v>
      </c>
    </row>
    <row r="3430" spans="1:8">
      <c r="A3430">
        <v>5352</v>
      </c>
      <c r="B3430" t="s">
        <v>2625</v>
      </c>
      <c r="C3430">
        <v>5697</v>
      </c>
      <c r="D3430" t="s">
        <v>2344</v>
      </c>
      <c r="E3430" t="s">
        <v>2036</v>
      </c>
      <c r="F3430">
        <v>202207</v>
      </c>
      <c r="G3430" t="s">
        <v>192</v>
      </c>
      <c r="H3430">
        <v>0</v>
      </c>
    </row>
    <row r="3431" spans="1:8">
      <c r="A3431">
        <v>5352</v>
      </c>
      <c r="B3431" t="s">
        <v>2625</v>
      </c>
      <c r="C3431">
        <v>5697</v>
      </c>
      <c r="D3431" t="s">
        <v>2344</v>
      </c>
      <c r="E3431" t="s">
        <v>2036</v>
      </c>
      <c r="F3431">
        <v>202207</v>
      </c>
      <c r="G3431" t="s">
        <v>2170</v>
      </c>
      <c r="H3431">
        <v>2858.99</v>
      </c>
    </row>
    <row r="3432" spans="1:8">
      <c r="A3432">
        <v>5352</v>
      </c>
      <c r="B3432" t="s">
        <v>2625</v>
      </c>
      <c r="C3432">
        <v>5697</v>
      </c>
      <c r="D3432" t="s">
        <v>2344</v>
      </c>
      <c r="E3432" t="s">
        <v>2036</v>
      </c>
      <c r="F3432">
        <v>202207</v>
      </c>
      <c r="G3432" t="s">
        <v>186</v>
      </c>
      <c r="H3432">
        <v>0</v>
      </c>
    </row>
    <row r="3433" spans="1:8">
      <c r="A3433">
        <v>5352</v>
      </c>
      <c r="B3433" t="s">
        <v>2625</v>
      </c>
      <c r="C3433">
        <v>5697</v>
      </c>
      <c r="D3433" t="s">
        <v>2344</v>
      </c>
      <c r="E3433" t="s">
        <v>2036</v>
      </c>
      <c r="F3433">
        <v>202207</v>
      </c>
      <c r="G3433" t="s">
        <v>2169</v>
      </c>
      <c r="H3433">
        <v>182.65</v>
      </c>
    </row>
    <row r="3434" spans="1:8">
      <c r="A3434">
        <v>5352</v>
      </c>
      <c r="B3434" t="s">
        <v>2625</v>
      </c>
      <c r="C3434">
        <v>5697</v>
      </c>
      <c r="D3434" t="s">
        <v>2344</v>
      </c>
      <c r="E3434" t="s">
        <v>2036</v>
      </c>
      <c r="F3434">
        <v>202207</v>
      </c>
      <c r="G3434" t="s">
        <v>2166</v>
      </c>
      <c r="H3434">
        <v>11.83</v>
      </c>
    </row>
    <row r="3435" spans="1:8">
      <c r="A3435">
        <v>5352</v>
      </c>
      <c r="B3435" t="s">
        <v>2625</v>
      </c>
      <c r="C3435">
        <v>5697</v>
      </c>
      <c r="D3435" t="s">
        <v>2344</v>
      </c>
      <c r="E3435" t="s">
        <v>2036</v>
      </c>
      <c r="F3435">
        <v>202207</v>
      </c>
      <c r="G3435" t="s">
        <v>2167</v>
      </c>
      <c r="H3435">
        <v>21.22</v>
      </c>
    </row>
    <row r="3436" spans="1:8">
      <c r="A3436">
        <v>5352</v>
      </c>
      <c r="B3436" t="s">
        <v>2625</v>
      </c>
      <c r="C3436">
        <v>5697</v>
      </c>
      <c r="D3436" t="s">
        <v>2344</v>
      </c>
      <c r="E3436" t="s">
        <v>2036</v>
      </c>
      <c r="F3436">
        <v>202207</v>
      </c>
      <c r="G3436" t="s">
        <v>2168</v>
      </c>
      <c r="H3436">
        <v>14.37</v>
      </c>
    </row>
    <row r="3437" spans="1:8">
      <c r="A3437">
        <v>5352</v>
      </c>
      <c r="B3437" t="s">
        <v>2625</v>
      </c>
      <c r="C3437">
        <v>5697</v>
      </c>
      <c r="D3437" t="s">
        <v>2344</v>
      </c>
      <c r="E3437" t="s">
        <v>2036</v>
      </c>
      <c r="F3437">
        <v>202207</v>
      </c>
      <c r="G3437" t="s">
        <v>2171</v>
      </c>
      <c r="H3437">
        <v>72379.509999999995</v>
      </c>
    </row>
    <row r="3438" spans="1:8">
      <c r="A3438">
        <v>5352</v>
      </c>
      <c r="B3438" t="s">
        <v>2625</v>
      </c>
      <c r="C3438">
        <v>5697</v>
      </c>
      <c r="D3438" t="s">
        <v>2344</v>
      </c>
      <c r="E3438" t="s">
        <v>2036</v>
      </c>
      <c r="F3438">
        <v>202207</v>
      </c>
      <c r="G3438" t="s">
        <v>190</v>
      </c>
      <c r="H3438">
        <v>259857</v>
      </c>
    </row>
    <row r="3439" spans="1:8">
      <c r="A3439">
        <v>5352</v>
      </c>
      <c r="B3439" t="s">
        <v>2625</v>
      </c>
      <c r="C3439">
        <v>5697</v>
      </c>
      <c r="D3439" t="s">
        <v>2344</v>
      </c>
      <c r="E3439" t="s">
        <v>2036</v>
      </c>
      <c r="F3439">
        <v>202207</v>
      </c>
      <c r="G3439" t="s">
        <v>191</v>
      </c>
      <c r="H3439">
        <v>37271</v>
      </c>
    </row>
    <row r="3440" spans="1:8">
      <c r="A3440">
        <v>5352</v>
      </c>
      <c r="B3440" t="s">
        <v>2625</v>
      </c>
      <c r="C3440">
        <v>5697</v>
      </c>
      <c r="D3440" t="s">
        <v>2344</v>
      </c>
      <c r="E3440" t="s">
        <v>2036</v>
      </c>
      <c r="F3440">
        <v>202207</v>
      </c>
      <c r="G3440" t="s">
        <v>176</v>
      </c>
      <c r="H3440">
        <v>0</v>
      </c>
    </row>
    <row r="3441" spans="1:8">
      <c r="A3441">
        <v>5352</v>
      </c>
      <c r="B3441" t="s">
        <v>2625</v>
      </c>
      <c r="C3441">
        <v>5697</v>
      </c>
      <c r="D3441" t="s">
        <v>2344</v>
      </c>
      <c r="E3441" t="s">
        <v>2036</v>
      </c>
      <c r="F3441">
        <v>202207</v>
      </c>
      <c r="G3441" t="s">
        <v>178</v>
      </c>
      <c r="H3441">
        <v>970</v>
      </c>
    </row>
    <row r="3442" spans="1:8">
      <c r="A3442">
        <v>5352</v>
      </c>
      <c r="B3442" t="s">
        <v>2625</v>
      </c>
      <c r="C3442">
        <v>5697</v>
      </c>
      <c r="D3442" t="s">
        <v>2344</v>
      </c>
      <c r="E3442" t="s">
        <v>2036</v>
      </c>
      <c r="F3442">
        <v>202207</v>
      </c>
      <c r="G3442" t="s">
        <v>180</v>
      </c>
      <c r="H3442">
        <v>970</v>
      </c>
    </row>
    <row r="3443" spans="1:8">
      <c r="A3443">
        <v>5352</v>
      </c>
      <c r="B3443" t="s">
        <v>2625</v>
      </c>
      <c r="C3443">
        <v>5697</v>
      </c>
      <c r="D3443" t="s">
        <v>2344</v>
      </c>
      <c r="E3443" t="s">
        <v>2036</v>
      </c>
      <c r="F3443">
        <v>202207</v>
      </c>
      <c r="G3443" t="s">
        <v>182</v>
      </c>
      <c r="H3443">
        <v>259857</v>
      </c>
    </row>
    <row r="3444" spans="1:8">
      <c r="A3444">
        <v>5352</v>
      </c>
      <c r="B3444" t="s">
        <v>2625</v>
      </c>
      <c r="C3444">
        <v>5697</v>
      </c>
      <c r="D3444" t="s">
        <v>2344</v>
      </c>
      <c r="E3444" t="s">
        <v>2036</v>
      </c>
      <c r="F3444">
        <v>202207</v>
      </c>
      <c r="G3444" t="s">
        <v>184</v>
      </c>
      <c r="H3444">
        <v>37271</v>
      </c>
    </row>
    <row r="3445" spans="1:8">
      <c r="A3445">
        <v>5352</v>
      </c>
      <c r="B3445" t="s">
        <v>2625</v>
      </c>
      <c r="C3445">
        <v>5697</v>
      </c>
      <c r="D3445" t="s">
        <v>2344</v>
      </c>
      <c r="E3445" t="s">
        <v>2036</v>
      </c>
      <c r="F3445">
        <v>202207</v>
      </c>
      <c r="G3445" t="s">
        <v>192</v>
      </c>
      <c r="H3445">
        <v>0</v>
      </c>
    </row>
    <row r="3446" spans="1:8">
      <c r="A3446">
        <v>5352</v>
      </c>
      <c r="B3446" t="s">
        <v>2625</v>
      </c>
      <c r="C3446">
        <v>5697</v>
      </c>
      <c r="D3446" t="s">
        <v>2344</v>
      </c>
      <c r="E3446" t="s">
        <v>2036</v>
      </c>
      <c r="F3446">
        <v>202207</v>
      </c>
      <c r="G3446" t="s">
        <v>2170</v>
      </c>
      <c r="H3446">
        <v>3725.8</v>
      </c>
    </row>
    <row r="3447" spans="1:8">
      <c r="A3447">
        <v>5352</v>
      </c>
      <c r="B3447" t="s">
        <v>2625</v>
      </c>
      <c r="C3447">
        <v>5697</v>
      </c>
      <c r="D3447" t="s">
        <v>2344</v>
      </c>
      <c r="E3447" t="s">
        <v>2036</v>
      </c>
      <c r="F3447">
        <v>202207</v>
      </c>
      <c r="G3447" t="s">
        <v>186</v>
      </c>
      <c r="H3447">
        <v>0</v>
      </c>
    </row>
    <row r="3448" spans="1:8">
      <c r="A3448">
        <v>5352</v>
      </c>
      <c r="B3448" t="s">
        <v>2625</v>
      </c>
      <c r="C3448">
        <v>5697</v>
      </c>
      <c r="D3448" t="s">
        <v>2344</v>
      </c>
      <c r="E3448" t="s">
        <v>2036</v>
      </c>
      <c r="F3448">
        <v>202207</v>
      </c>
      <c r="G3448" t="s">
        <v>2169</v>
      </c>
      <c r="H3448">
        <v>182.65</v>
      </c>
    </row>
    <row r="3449" spans="1:8">
      <c r="A3449">
        <v>5352</v>
      </c>
      <c r="B3449" t="s">
        <v>2625</v>
      </c>
      <c r="C3449">
        <v>5697</v>
      </c>
      <c r="D3449" t="s">
        <v>2344</v>
      </c>
      <c r="E3449" t="s">
        <v>2036</v>
      </c>
      <c r="F3449">
        <v>202207</v>
      </c>
      <c r="G3449" t="s">
        <v>2166</v>
      </c>
      <c r="H3449">
        <v>11.83</v>
      </c>
    </row>
    <row r="3450" spans="1:8">
      <c r="A3450">
        <v>5352</v>
      </c>
      <c r="B3450" t="s">
        <v>2625</v>
      </c>
      <c r="C3450">
        <v>5697</v>
      </c>
      <c r="D3450" t="s">
        <v>2344</v>
      </c>
      <c r="E3450" t="s">
        <v>2036</v>
      </c>
      <c r="F3450">
        <v>202207</v>
      </c>
      <c r="G3450" t="s">
        <v>2167</v>
      </c>
      <c r="H3450">
        <v>21.22</v>
      </c>
    </row>
    <row r="3451" spans="1:8">
      <c r="A3451">
        <v>5352</v>
      </c>
      <c r="B3451" t="s">
        <v>2625</v>
      </c>
      <c r="C3451">
        <v>5697</v>
      </c>
      <c r="D3451" t="s">
        <v>2344</v>
      </c>
      <c r="E3451" t="s">
        <v>2036</v>
      </c>
      <c r="F3451">
        <v>202207</v>
      </c>
      <c r="G3451" t="s">
        <v>2168</v>
      </c>
      <c r="H3451">
        <v>14.37</v>
      </c>
    </row>
    <row r="3452" spans="1:8">
      <c r="A3452">
        <v>5352</v>
      </c>
      <c r="B3452" t="s">
        <v>2625</v>
      </c>
      <c r="C3452">
        <v>5697</v>
      </c>
      <c r="D3452" t="s">
        <v>2344</v>
      </c>
      <c r="E3452" t="s">
        <v>2036</v>
      </c>
      <c r="F3452">
        <v>202207</v>
      </c>
      <c r="G3452" t="s">
        <v>2171</v>
      </c>
      <c r="H3452">
        <v>94324.44</v>
      </c>
    </row>
    <row r="3453" spans="1:8">
      <c r="A3453">
        <v>5352</v>
      </c>
      <c r="B3453" t="s">
        <v>2625</v>
      </c>
      <c r="C3453">
        <v>5697</v>
      </c>
      <c r="D3453" t="s">
        <v>2344</v>
      </c>
      <c r="E3453" t="s">
        <v>2036</v>
      </c>
      <c r="F3453">
        <v>202207</v>
      </c>
      <c r="G3453" t="s">
        <v>190</v>
      </c>
      <c r="H3453">
        <v>97279</v>
      </c>
    </row>
    <row r="3454" spans="1:8">
      <c r="A3454">
        <v>5352</v>
      </c>
      <c r="B3454" t="s">
        <v>2625</v>
      </c>
      <c r="C3454">
        <v>5697</v>
      </c>
      <c r="D3454" t="s">
        <v>2344</v>
      </c>
      <c r="E3454" t="s">
        <v>2036</v>
      </c>
      <c r="F3454">
        <v>202207</v>
      </c>
      <c r="G3454" t="s">
        <v>191</v>
      </c>
      <c r="H3454">
        <v>13219</v>
      </c>
    </row>
    <row r="3455" spans="1:8">
      <c r="A3455">
        <v>5352</v>
      </c>
      <c r="B3455" t="s">
        <v>2625</v>
      </c>
      <c r="C3455">
        <v>5697</v>
      </c>
      <c r="D3455" t="s">
        <v>2344</v>
      </c>
      <c r="E3455" t="s">
        <v>2036</v>
      </c>
      <c r="F3455">
        <v>202207</v>
      </c>
      <c r="G3455" t="s">
        <v>176</v>
      </c>
      <c r="H3455">
        <v>0</v>
      </c>
    </row>
    <row r="3456" spans="1:8">
      <c r="A3456">
        <v>5352</v>
      </c>
      <c r="B3456" t="s">
        <v>2625</v>
      </c>
      <c r="C3456">
        <v>5697</v>
      </c>
      <c r="D3456" t="s">
        <v>2344</v>
      </c>
      <c r="E3456" t="s">
        <v>2036</v>
      </c>
      <c r="F3456">
        <v>202207</v>
      </c>
      <c r="G3456" t="s">
        <v>178</v>
      </c>
      <c r="H3456">
        <v>320</v>
      </c>
    </row>
    <row r="3457" spans="1:8">
      <c r="A3457">
        <v>5352</v>
      </c>
      <c r="B3457" t="s">
        <v>2625</v>
      </c>
      <c r="C3457">
        <v>5697</v>
      </c>
      <c r="D3457" t="s">
        <v>2344</v>
      </c>
      <c r="E3457" t="s">
        <v>2036</v>
      </c>
      <c r="F3457">
        <v>202207</v>
      </c>
      <c r="G3457" t="s">
        <v>180</v>
      </c>
      <c r="H3457">
        <v>320</v>
      </c>
    </row>
    <row r="3458" spans="1:8">
      <c r="A3458">
        <v>5352</v>
      </c>
      <c r="B3458" t="s">
        <v>2625</v>
      </c>
      <c r="C3458">
        <v>5697</v>
      </c>
      <c r="D3458" t="s">
        <v>2344</v>
      </c>
      <c r="E3458" t="s">
        <v>2036</v>
      </c>
      <c r="F3458">
        <v>202207</v>
      </c>
      <c r="G3458" t="s">
        <v>182</v>
      </c>
      <c r="H3458">
        <v>97279</v>
      </c>
    </row>
    <row r="3459" spans="1:8">
      <c r="A3459">
        <v>5352</v>
      </c>
      <c r="B3459" t="s">
        <v>2625</v>
      </c>
      <c r="C3459">
        <v>5697</v>
      </c>
      <c r="D3459" t="s">
        <v>2344</v>
      </c>
      <c r="E3459" t="s">
        <v>2036</v>
      </c>
      <c r="F3459">
        <v>202207</v>
      </c>
      <c r="G3459" t="s">
        <v>184</v>
      </c>
      <c r="H3459">
        <v>13219</v>
      </c>
    </row>
    <row r="3460" spans="1:8">
      <c r="A3460">
        <v>5352</v>
      </c>
      <c r="B3460" t="s">
        <v>2625</v>
      </c>
      <c r="C3460">
        <v>5697</v>
      </c>
      <c r="D3460" t="s">
        <v>2344</v>
      </c>
      <c r="E3460" t="s">
        <v>2036</v>
      </c>
      <c r="F3460">
        <v>202207</v>
      </c>
      <c r="G3460" t="s">
        <v>192</v>
      </c>
      <c r="H3460">
        <v>0</v>
      </c>
    </row>
    <row r="3461" spans="1:8">
      <c r="A3461">
        <v>5352</v>
      </c>
      <c r="B3461" t="s">
        <v>2625</v>
      </c>
      <c r="C3461">
        <v>5697</v>
      </c>
      <c r="D3461" t="s">
        <v>2344</v>
      </c>
      <c r="E3461" t="s">
        <v>2036</v>
      </c>
      <c r="F3461">
        <v>202207</v>
      </c>
      <c r="G3461" t="s">
        <v>2170</v>
      </c>
      <c r="H3461">
        <v>1330.23</v>
      </c>
    </row>
    <row r="3462" spans="1:8">
      <c r="A3462">
        <v>5352</v>
      </c>
      <c r="B3462" t="s">
        <v>2625</v>
      </c>
      <c r="C3462">
        <v>5697</v>
      </c>
      <c r="D3462" t="s">
        <v>2344</v>
      </c>
      <c r="E3462" t="s">
        <v>2036</v>
      </c>
      <c r="F3462">
        <v>202207</v>
      </c>
      <c r="G3462" t="s">
        <v>186</v>
      </c>
      <c r="H3462">
        <v>0</v>
      </c>
    </row>
    <row r="3463" spans="1:8">
      <c r="A3463">
        <v>5352</v>
      </c>
      <c r="B3463" t="s">
        <v>2625</v>
      </c>
      <c r="C3463">
        <v>5697</v>
      </c>
      <c r="D3463" t="s">
        <v>2344</v>
      </c>
      <c r="E3463" t="s">
        <v>2036</v>
      </c>
      <c r="F3463">
        <v>202207</v>
      </c>
      <c r="G3463" t="s">
        <v>2169</v>
      </c>
      <c r="H3463">
        <v>182.65</v>
      </c>
    </row>
    <row r="3464" spans="1:8">
      <c r="A3464">
        <v>5352</v>
      </c>
      <c r="B3464" t="s">
        <v>2625</v>
      </c>
      <c r="C3464">
        <v>5697</v>
      </c>
      <c r="D3464" t="s">
        <v>2344</v>
      </c>
      <c r="E3464" t="s">
        <v>2036</v>
      </c>
      <c r="F3464">
        <v>202207</v>
      </c>
      <c r="G3464" t="s">
        <v>2166</v>
      </c>
      <c r="H3464">
        <v>11.83</v>
      </c>
    </row>
    <row r="3465" spans="1:8">
      <c r="A3465">
        <v>5352</v>
      </c>
      <c r="B3465" t="s">
        <v>2625</v>
      </c>
      <c r="C3465">
        <v>5697</v>
      </c>
      <c r="D3465" t="s">
        <v>2344</v>
      </c>
      <c r="E3465" t="s">
        <v>2036</v>
      </c>
      <c r="F3465">
        <v>202207</v>
      </c>
      <c r="G3465" t="s">
        <v>2167</v>
      </c>
      <c r="H3465">
        <v>21.22</v>
      </c>
    </row>
    <row r="3466" spans="1:8">
      <c r="A3466">
        <v>5352</v>
      </c>
      <c r="B3466" t="s">
        <v>2625</v>
      </c>
      <c r="C3466">
        <v>5697</v>
      </c>
      <c r="D3466" t="s">
        <v>2344</v>
      </c>
      <c r="E3466" t="s">
        <v>2036</v>
      </c>
      <c r="F3466">
        <v>202207</v>
      </c>
      <c r="G3466" t="s">
        <v>2168</v>
      </c>
      <c r="H3466">
        <v>14.37</v>
      </c>
    </row>
    <row r="3467" spans="1:8">
      <c r="A3467">
        <v>5352</v>
      </c>
      <c r="B3467" t="s">
        <v>2625</v>
      </c>
      <c r="C3467">
        <v>5697</v>
      </c>
      <c r="D3467" t="s">
        <v>2344</v>
      </c>
      <c r="E3467" t="s">
        <v>2036</v>
      </c>
      <c r="F3467">
        <v>202207</v>
      </c>
      <c r="G3467" t="s">
        <v>2171</v>
      </c>
      <c r="H3467">
        <v>33676.519999999997</v>
      </c>
    </row>
    <row r="3468" spans="1:8">
      <c r="A3468">
        <v>5352</v>
      </c>
      <c r="B3468" t="s">
        <v>2625</v>
      </c>
      <c r="C3468">
        <v>5697</v>
      </c>
      <c r="D3468" t="s">
        <v>2344</v>
      </c>
      <c r="E3468" t="s">
        <v>2036</v>
      </c>
      <c r="F3468">
        <v>202207</v>
      </c>
      <c r="G3468" t="s">
        <v>190</v>
      </c>
      <c r="H3468">
        <v>182896</v>
      </c>
    </row>
    <row r="3469" spans="1:8">
      <c r="A3469">
        <v>5352</v>
      </c>
      <c r="B3469" t="s">
        <v>2625</v>
      </c>
      <c r="C3469">
        <v>5697</v>
      </c>
      <c r="D3469" t="s">
        <v>2344</v>
      </c>
      <c r="E3469" t="s">
        <v>2036</v>
      </c>
      <c r="F3469">
        <v>202207</v>
      </c>
      <c r="G3469" t="s">
        <v>191</v>
      </c>
      <c r="H3469">
        <v>24068</v>
      </c>
    </row>
    <row r="3470" spans="1:8">
      <c r="A3470">
        <v>5352</v>
      </c>
      <c r="B3470" t="s">
        <v>2625</v>
      </c>
      <c r="C3470">
        <v>5697</v>
      </c>
      <c r="D3470" t="s">
        <v>2344</v>
      </c>
      <c r="E3470" t="s">
        <v>2036</v>
      </c>
      <c r="F3470">
        <v>202207</v>
      </c>
      <c r="G3470" t="s">
        <v>176</v>
      </c>
      <c r="H3470">
        <v>0</v>
      </c>
    </row>
    <row r="3471" spans="1:8">
      <c r="A3471">
        <v>5352</v>
      </c>
      <c r="B3471" t="s">
        <v>2625</v>
      </c>
      <c r="C3471">
        <v>5697</v>
      </c>
      <c r="D3471" t="s">
        <v>2344</v>
      </c>
      <c r="E3471" t="s">
        <v>2036</v>
      </c>
      <c r="F3471">
        <v>202207</v>
      </c>
      <c r="G3471" t="s">
        <v>178</v>
      </c>
      <c r="H3471">
        <v>600</v>
      </c>
    </row>
    <row r="3472" spans="1:8">
      <c r="A3472">
        <v>5352</v>
      </c>
      <c r="B3472" t="s">
        <v>2625</v>
      </c>
      <c r="C3472">
        <v>5697</v>
      </c>
      <c r="D3472" t="s">
        <v>2344</v>
      </c>
      <c r="E3472" t="s">
        <v>2036</v>
      </c>
      <c r="F3472">
        <v>202207</v>
      </c>
      <c r="G3472" t="s">
        <v>180</v>
      </c>
      <c r="H3472">
        <v>600</v>
      </c>
    </row>
    <row r="3473" spans="1:8">
      <c r="A3473">
        <v>5352</v>
      </c>
      <c r="B3473" t="s">
        <v>2625</v>
      </c>
      <c r="C3473">
        <v>5697</v>
      </c>
      <c r="D3473" t="s">
        <v>2344</v>
      </c>
      <c r="E3473" t="s">
        <v>2036</v>
      </c>
      <c r="F3473">
        <v>202207</v>
      </c>
      <c r="G3473" t="s">
        <v>182</v>
      </c>
      <c r="H3473">
        <v>182896</v>
      </c>
    </row>
    <row r="3474" spans="1:8">
      <c r="A3474">
        <v>5352</v>
      </c>
      <c r="B3474" t="s">
        <v>2625</v>
      </c>
      <c r="C3474">
        <v>5697</v>
      </c>
      <c r="D3474" t="s">
        <v>2344</v>
      </c>
      <c r="E3474" t="s">
        <v>2036</v>
      </c>
      <c r="F3474">
        <v>202207</v>
      </c>
      <c r="G3474" t="s">
        <v>184</v>
      </c>
      <c r="H3474">
        <v>24068</v>
      </c>
    </row>
    <row r="3475" spans="1:8">
      <c r="A3475">
        <v>5352</v>
      </c>
      <c r="B3475" t="s">
        <v>2625</v>
      </c>
      <c r="C3475">
        <v>5697</v>
      </c>
      <c r="D3475" t="s">
        <v>2344</v>
      </c>
      <c r="E3475" t="s">
        <v>2036</v>
      </c>
      <c r="F3475">
        <v>202207</v>
      </c>
      <c r="G3475" t="s">
        <v>192</v>
      </c>
      <c r="H3475">
        <v>0</v>
      </c>
    </row>
    <row r="3476" spans="1:8">
      <c r="A3476">
        <v>5352</v>
      </c>
      <c r="B3476" t="s">
        <v>2625</v>
      </c>
      <c r="C3476">
        <v>5697</v>
      </c>
      <c r="D3476" t="s">
        <v>2344</v>
      </c>
      <c r="E3476" t="s">
        <v>2036</v>
      </c>
      <c r="F3476">
        <v>202207</v>
      </c>
      <c r="G3476" t="s">
        <v>2170</v>
      </c>
      <c r="H3476">
        <v>2492.39</v>
      </c>
    </row>
    <row r="3477" spans="1:8">
      <c r="A3477">
        <v>5352</v>
      </c>
      <c r="B3477" t="s">
        <v>2625</v>
      </c>
      <c r="C3477">
        <v>5697</v>
      </c>
      <c r="D3477" t="s">
        <v>2344</v>
      </c>
      <c r="E3477" t="s">
        <v>2036</v>
      </c>
      <c r="F3477">
        <v>202207</v>
      </c>
      <c r="G3477" t="s">
        <v>186</v>
      </c>
      <c r="H3477">
        <v>0</v>
      </c>
    </row>
    <row r="3478" spans="1:8">
      <c r="A3478">
        <v>5352</v>
      </c>
      <c r="B3478" t="s">
        <v>2625</v>
      </c>
      <c r="C3478">
        <v>5697</v>
      </c>
      <c r="D3478" t="s">
        <v>2344</v>
      </c>
      <c r="E3478" t="s">
        <v>2036</v>
      </c>
      <c r="F3478">
        <v>202207</v>
      </c>
      <c r="G3478" t="s">
        <v>2169</v>
      </c>
      <c r="H3478">
        <v>182.65</v>
      </c>
    </row>
    <row r="3479" spans="1:8">
      <c r="A3479">
        <v>5352</v>
      </c>
      <c r="B3479" t="s">
        <v>2625</v>
      </c>
      <c r="C3479">
        <v>5697</v>
      </c>
      <c r="D3479" t="s">
        <v>2344</v>
      </c>
      <c r="E3479" t="s">
        <v>2036</v>
      </c>
      <c r="F3479">
        <v>202207</v>
      </c>
      <c r="G3479" t="s">
        <v>2166</v>
      </c>
      <c r="H3479">
        <v>11.83</v>
      </c>
    </row>
    <row r="3480" spans="1:8">
      <c r="A3480">
        <v>5352</v>
      </c>
      <c r="B3480" t="s">
        <v>2625</v>
      </c>
      <c r="C3480">
        <v>5697</v>
      </c>
      <c r="D3480" t="s">
        <v>2344</v>
      </c>
      <c r="E3480" t="s">
        <v>2036</v>
      </c>
      <c r="F3480">
        <v>202207</v>
      </c>
      <c r="G3480" t="s">
        <v>2167</v>
      </c>
      <c r="H3480">
        <v>21.22</v>
      </c>
    </row>
    <row r="3481" spans="1:8">
      <c r="A3481">
        <v>5352</v>
      </c>
      <c r="B3481" t="s">
        <v>2625</v>
      </c>
      <c r="C3481">
        <v>5697</v>
      </c>
      <c r="D3481" t="s">
        <v>2344</v>
      </c>
      <c r="E3481" t="s">
        <v>2036</v>
      </c>
      <c r="F3481">
        <v>202207</v>
      </c>
      <c r="G3481" t="s">
        <v>2168</v>
      </c>
      <c r="H3481">
        <v>14.37</v>
      </c>
    </row>
    <row r="3482" spans="1:8">
      <c r="A3482">
        <v>5352</v>
      </c>
      <c r="B3482" t="s">
        <v>2625</v>
      </c>
      <c r="C3482">
        <v>5697</v>
      </c>
      <c r="D3482" t="s">
        <v>2344</v>
      </c>
      <c r="E3482" t="s">
        <v>2036</v>
      </c>
      <c r="F3482">
        <v>202207</v>
      </c>
      <c r="G3482" t="s">
        <v>2171</v>
      </c>
      <c r="H3482">
        <v>63098.42</v>
      </c>
    </row>
    <row r="3483" spans="1:8">
      <c r="A3483">
        <v>5352</v>
      </c>
      <c r="B3483" t="s">
        <v>2625</v>
      </c>
      <c r="C3483">
        <v>5697</v>
      </c>
      <c r="D3483" t="s">
        <v>2344</v>
      </c>
      <c r="E3483" t="s">
        <v>2036</v>
      </c>
      <c r="F3483">
        <v>202207</v>
      </c>
      <c r="G3483" t="s">
        <v>190</v>
      </c>
      <c r="H3483">
        <v>125798</v>
      </c>
    </row>
    <row r="3484" spans="1:8">
      <c r="A3484">
        <v>5352</v>
      </c>
      <c r="B3484" t="s">
        <v>2625</v>
      </c>
      <c r="C3484">
        <v>5697</v>
      </c>
      <c r="D3484" t="s">
        <v>2344</v>
      </c>
      <c r="E3484" t="s">
        <v>2036</v>
      </c>
      <c r="F3484">
        <v>202207</v>
      </c>
      <c r="G3484" t="s">
        <v>191</v>
      </c>
      <c r="H3484">
        <v>17444</v>
      </c>
    </row>
    <row r="3485" spans="1:8">
      <c r="A3485">
        <v>5352</v>
      </c>
      <c r="B3485" t="s">
        <v>2625</v>
      </c>
      <c r="C3485">
        <v>5697</v>
      </c>
      <c r="D3485" t="s">
        <v>2344</v>
      </c>
      <c r="E3485" t="s">
        <v>2036</v>
      </c>
      <c r="F3485">
        <v>202207</v>
      </c>
      <c r="G3485" t="s">
        <v>176</v>
      </c>
      <c r="H3485">
        <v>0</v>
      </c>
    </row>
    <row r="3486" spans="1:8">
      <c r="A3486">
        <v>5352</v>
      </c>
      <c r="B3486" t="s">
        <v>2625</v>
      </c>
      <c r="C3486">
        <v>5697</v>
      </c>
      <c r="D3486" t="s">
        <v>2344</v>
      </c>
      <c r="E3486" t="s">
        <v>2036</v>
      </c>
      <c r="F3486">
        <v>202207</v>
      </c>
      <c r="G3486" t="s">
        <v>178</v>
      </c>
      <c r="H3486">
        <v>450</v>
      </c>
    </row>
    <row r="3487" spans="1:8">
      <c r="A3487">
        <v>5352</v>
      </c>
      <c r="B3487" t="s">
        <v>2625</v>
      </c>
      <c r="C3487">
        <v>5697</v>
      </c>
      <c r="D3487" t="s">
        <v>2344</v>
      </c>
      <c r="E3487" t="s">
        <v>2036</v>
      </c>
      <c r="F3487">
        <v>202207</v>
      </c>
      <c r="G3487" t="s">
        <v>180</v>
      </c>
      <c r="H3487">
        <v>450</v>
      </c>
    </row>
    <row r="3488" spans="1:8">
      <c r="A3488">
        <v>5352</v>
      </c>
      <c r="B3488" t="s">
        <v>2625</v>
      </c>
      <c r="C3488">
        <v>5697</v>
      </c>
      <c r="D3488" t="s">
        <v>2344</v>
      </c>
      <c r="E3488" t="s">
        <v>2036</v>
      </c>
      <c r="F3488">
        <v>202207</v>
      </c>
      <c r="G3488" t="s">
        <v>182</v>
      </c>
      <c r="H3488">
        <v>125798</v>
      </c>
    </row>
    <row r="3489" spans="1:8">
      <c r="A3489">
        <v>5352</v>
      </c>
      <c r="B3489" t="s">
        <v>2625</v>
      </c>
      <c r="C3489">
        <v>5697</v>
      </c>
      <c r="D3489" t="s">
        <v>2344</v>
      </c>
      <c r="E3489" t="s">
        <v>2036</v>
      </c>
      <c r="F3489">
        <v>202207</v>
      </c>
      <c r="G3489" t="s">
        <v>184</v>
      </c>
      <c r="H3489">
        <v>17444</v>
      </c>
    </row>
    <row r="3490" spans="1:8">
      <c r="A3490">
        <v>5352</v>
      </c>
      <c r="B3490" t="s">
        <v>2625</v>
      </c>
      <c r="C3490">
        <v>5697</v>
      </c>
      <c r="D3490" t="s">
        <v>2344</v>
      </c>
      <c r="E3490" t="s">
        <v>2036</v>
      </c>
      <c r="F3490">
        <v>202207</v>
      </c>
      <c r="G3490" t="s">
        <v>192</v>
      </c>
      <c r="H3490">
        <v>0</v>
      </c>
    </row>
    <row r="3491" spans="1:8">
      <c r="A3491">
        <v>5352</v>
      </c>
      <c r="B3491" t="s">
        <v>2625</v>
      </c>
      <c r="C3491">
        <v>5697</v>
      </c>
      <c r="D3491" t="s">
        <v>2344</v>
      </c>
      <c r="E3491" t="s">
        <v>2036</v>
      </c>
      <c r="F3491">
        <v>202207</v>
      </c>
      <c r="G3491" t="s">
        <v>2170</v>
      </c>
      <c r="H3491">
        <v>1772.21</v>
      </c>
    </row>
    <row r="3492" spans="1:8">
      <c r="A3492">
        <v>5352</v>
      </c>
      <c r="B3492" t="s">
        <v>2625</v>
      </c>
      <c r="C3492">
        <v>5697</v>
      </c>
      <c r="D3492" t="s">
        <v>2344</v>
      </c>
      <c r="E3492" t="s">
        <v>2036</v>
      </c>
      <c r="F3492">
        <v>202207</v>
      </c>
      <c r="G3492" t="s">
        <v>186</v>
      </c>
      <c r="H3492">
        <v>0</v>
      </c>
    </row>
    <row r="3493" spans="1:8">
      <c r="A3493">
        <v>5352</v>
      </c>
      <c r="B3493" t="s">
        <v>2625</v>
      </c>
      <c r="C3493">
        <v>5697</v>
      </c>
      <c r="D3493" t="s">
        <v>2344</v>
      </c>
      <c r="E3493" t="s">
        <v>2036</v>
      </c>
      <c r="F3493">
        <v>202207</v>
      </c>
      <c r="G3493" t="s">
        <v>2169</v>
      </c>
      <c r="H3493">
        <v>182.65</v>
      </c>
    </row>
    <row r="3494" spans="1:8">
      <c r="A3494">
        <v>5352</v>
      </c>
      <c r="B3494" t="s">
        <v>2625</v>
      </c>
      <c r="C3494">
        <v>5697</v>
      </c>
      <c r="D3494" t="s">
        <v>2344</v>
      </c>
      <c r="E3494" t="s">
        <v>2036</v>
      </c>
      <c r="F3494">
        <v>202207</v>
      </c>
      <c r="G3494" t="s">
        <v>2166</v>
      </c>
      <c r="H3494">
        <v>11.83</v>
      </c>
    </row>
    <row r="3495" spans="1:8">
      <c r="A3495">
        <v>5352</v>
      </c>
      <c r="B3495" t="s">
        <v>2625</v>
      </c>
      <c r="C3495">
        <v>5697</v>
      </c>
      <c r="D3495" t="s">
        <v>2344</v>
      </c>
      <c r="E3495" t="s">
        <v>2036</v>
      </c>
      <c r="F3495">
        <v>202207</v>
      </c>
      <c r="G3495" t="s">
        <v>2167</v>
      </c>
      <c r="H3495">
        <v>21.22</v>
      </c>
    </row>
    <row r="3496" spans="1:8">
      <c r="A3496">
        <v>5352</v>
      </c>
      <c r="B3496" t="s">
        <v>2625</v>
      </c>
      <c r="C3496">
        <v>5697</v>
      </c>
      <c r="D3496" t="s">
        <v>2344</v>
      </c>
      <c r="E3496" t="s">
        <v>2036</v>
      </c>
      <c r="F3496">
        <v>202207</v>
      </c>
      <c r="G3496" t="s">
        <v>2168</v>
      </c>
      <c r="H3496">
        <v>14.37</v>
      </c>
    </row>
    <row r="3497" spans="1:8">
      <c r="A3497">
        <v>5352</v>
      </c>
      <c r="B3497" t="s">
        <v>2625</v>
      </c>
      <c r="C3497">
        <v>5697</v>
      </c>
      <c r="D3497" t="s">
        <v>2344</v>
      </c>
      <c r="E3497" t="s">
        <v>2036</v>
      </c>
      <c r="F3497">
        <v>202207</v>
      </c>
      <c r="G3497" t="s">
        <v>2171</v>
      </c>
      <c r="H3497">
        <v>44866.23</v>
      </c>
    </row>
    <row r="3498" spans="1:8">
      <c r="A3498">
        <v>5352</v>
      </c>
      <c r="B3498" t="s">
        <v>2625</v>
      </c>
      <c r="C3498">
        <v>5697</v>
      </c>
      <c r="D3498" t="s">
        <v>2344</v>
      </c>
      <c r="E3498" t="s">
        <v>2036</v>
      </c>
      <c r="F3498">
        <v>202207</v>
      </c>
      <c r="G3498" t="s">
        <v>190</v>
      </c>
      <c r="H3498">
        <v>265894</v>
      </c>
    </row>
    <row r="3499" spans="1:8">
      <c r="A3499">
        <v>5352</v>
      </c>
      <c r="B3499" t="s">
        <v>2625</v>
      </c>
      <c r="C3499">
        <v>5697</v>
      </c>
      <c r="D3499" t="s">
        <v>2344</v>
      </c>
      <c r="E3499" t="s">
        <v>2036</v>
      </c>
      <c r="F3499">
        <v>202207</v>
      </c>
      <c r="G3499" t="s">
        <v>191</v>
      </c>
      <c r="H3499">
        <v>35939</v>
      </c>
    </row>
    <row r="3500" spans="1:8">
      <c r="A3500">
        <v>5352</v>
      </c>
      <c r="B3500" t="s">
        <v>2625</v>
      </c>
      <c r="C3500">
        <v>5697</v>
      </c>
      <c r="D3500" t="s">
        <v>2344</v>
      </c>
      <c r="E3500" t="s">
        <v>2036</v>
      </c>
      <c r="F3500">
        <v>202207</v>
      </c>
      <c r="G3500" t="s">
        <v>176</v>
      </c>
      <c r="H3500">
        <v>0</v>
      </c>
    </row>
    <row r="3501" spans="1:8">
      <c r="A3501">
        <v>5352</v>
      </c>
      <c r="B3501" t="s">
        <v>2625</v>
      </c>
      <c r="C3501">
        <v>5697</v>
      </c>
      <c r="D3501" t="s">
        <v>2344</v>
      </c>
      <c r="E3501" t="s">
        <v>2036</v>
      </c>
      <c r="F3501">
        <v>202207</v>
      </c>
      <c r="G3501" t="s">
        <v>178</v>
      </c>
      <c r="H3501">
        <v>831.26</v>
      </c>
    </row>
    <row r="3502" spans="1:8">
      <c r="A3502">
        <v>5352</v>
      </c>
      <c r="B3502" t="s">
        <v>2625</v>
      </c>
      <c r="C3502">
        <v>5697</v>
      </c>
      <c r="D3502" t="s">
        <v>2344</v>
      </c>
      <c r="E3502" t="s">
        <v>2036</v>
      </c>
      <c r="F3502">
        <v>202207</v>
      </c>
      <c r="G3502" t="s">
        <v>180</v>
      </c>
      <c r="H3502">
        <v>820</v>
      </c>
    </row>
    <row r="3503" spans="1:8">
      <c r="A3503">
        <v>5352</v>
      </c>
      <c r="B3503" t="s">
        <v>2625</v>
      </c>
      <c r="C3503">
        <v>5697</v>
      </c>
      <c r="D3503" t="s">
        <v>2344</v>
      </c>
      <c r="E3503" t="s">
        <v>2036</v>
      </c>
      <c r="F3503">
        <v>202207</v>
      </c>
      <c r="G3503" t="s">
        <v>182</v>
      </c>
      <c r="H3503">
        <v>265894</v>
      </c>
    </row>
    <row r="3504" spans="1:8">
      <c r="A3504">
        <v>5352</v>
      </c>
      <c r="B3504" t="s">
        <v>2625</v>
      </c>
      <c r="C3504">
        <v>5697</v>
      </c>
      <c r="D3504" t="s">
        <v>2344</v>
      </c>
      <c r="E3504" t="s">
        <v>2036</v>
      </c>
      <c r="F3504">
        <v>202207</v>
      </c>
      <c r="G3504" t="s">
        <v>184</v>
      </c>
      <c r="H3504">
        <v>35939</v>
      </c>
    </row>
    <row r="3505" spans="1:8">
      <c r="A3505">
        <v>5352</v>
      </c>
      <c r="B3505" t="s">
        <v>2625</v>
      </c>
      <c r="C3505">
        <v>5697</v>
      </c>
      <c r="D3505" t="s">
        <v>2344</v>
      </c>
      <c r="E3505" t="s">
        <v>2036</v>
      </c>
      <c r="F3505">
        <v>202207</v>
      </c>
      <c r="G3505" t="s">
        <v>192</v>
      </c>
      <c r="H3505">
        <v>0</v>
      </c>
    </row>
    <row r="3506" spans="1:8">
      <c r="A3506">
        <v>5352</v>
      </c>
      <c r="B3506" t="s">
        <v>2625</v>
      </c>
      <c r="C3506">
        <v>5697</v>
      </c>
      <c r="D3506" t="s">
        <v>2344</v>
      </c>
      <c r="E3506" t="s">
        <v>2036</v>
      </c>
      <c r="F3506">
        <v>202207</v>
      </c>
      <c r="G3506" t="s">
        <v>2170</v>
      </c>
      <c r="H3506">
        <v>3565.54</v>
      </c>
    </row>
    <row r="3507" spans="1:8">
      <c r="A3507">
        <v>5352</v>
      </c>
      <c r="B3507" t="s">
        <v>2625</v>
      </c>
      <c r="C3507">
        <v>5697</v>
      </c>
      <c r="D3507" t="s">
        <v>2344</v>
      </c>
      <c r="E3507" t="s">
        <v>2036</v>
      </c>
      <c r="F3507">
        <v>202207</v>
      </c>
      <c r="G3507" t="s">
        <v>186</v>
      </c>
      <c r="H3507">
        <v>0</v>
      </c>
    </row>
    <row r="3508" spans="1:8">
      <c r="A3508">
        <v>5352</v>
      </c>
      <c r="B3508" t="s">
        <v>2625</v>
      </c>
      <c r="C3508">
        <v>5697</v>
      </c>
      <c r="D3508" t="s">
        <v>2344</v>
      </c>
      <c r="E3508" t="s">
        <v>2036</v>
      </c>
      <c r="F3508">
        <v>202207</v>
      </c>
      <c r="G3508" t="s">
        <v>2169</v>
      </c>
      <c r="H3508">
        <v>182.65</v>
      </c>
    </row>
    <row r="3509" spans="1:8">
      <c r="A3509">
        <v>5352</v>
      </c>
      <c r="B3509" t="s">
        <v>2625</v>
      </c>
      <c r="C3509">
        <v>5697</v>
      </c>
      <c r="D3509" t="s">
        <v>2344</v>
      </c>
      <c r="E3509" t="s">
        <v>2036</v>
      </c>
      <c r="F3509">
        <v>202207</v>
      </c>
      <c r="G3509" t="s">
        <v>2166</v>
      </c>
      <c r="H3509">
        <v>11.83</v>
      </c>
    </row>
    <row r="3510" spans="1:8">
      <c r="A3510">
        <v>5352</v>
      </c>
      <c r="B3510" t="s">
        <v>2625</v>
      </c>
      <c r="C3510">
        <v>5697</v>
      </c>
      <c r="D3510" t="s">
        <v>2344</v>
      </c>
      <c r="E3510" t="s">
        <v>2036</v>
      </c>
      <c r="F3510">
        <v>202207</v>
      </c>
      <c r="G3510" t="s">
        <v>2167</v>
      </c>
      <c r="H3510">
        <v>21.22</v>
      </c>
    </row>
    <row r="3511" spans="1:8">
      <c r="A3511">
        <v>5352</v>
      </c>
      <c r="B3511" t="s">
        <v>2625</v>
      </c>
      <c r="C3511">
        <v>5697</v>
      </c>
      <c r="D3511" t="s">
        <v>2344</v>
      </c>
      <c r="E3511" t="s">
        <v>2036</v>
      </c>
      <c r="F3511">
        <v>202207</v>
      </c>
      <c r="G3511" t="s">
        <v>2168</v>
      </c>
      <c r="H3511">
        <v>14.37</v>
      </c>
    </row>
    <row r="3512" spans="1:8">
      <c r="A3512">
        <v>5352</v>
      </c>
      <c r="B3512" t="s">
        <v>2625</v>
      </c>
      <c r="C3512">
        <v>5697</v>
      </c>
      <c r="D3512" t="s">
        <v>2344</v>
      </c>
      <c r="E3512" t="s">
        <v>2036</v>
      </c>
      <c r="F3512">
        <v>202207</v>
      </c>
      <c r="G3512" t="s">
        <v>2171</v>
      </c>
      <c r="H3512">
        <v>90266.85</v>
      </c>
    </row>
    <row r="3513" spans="1:8">
      <c r="A3513">
        <v>5352</v>
      </c>
      <c r="B3513" t="s">
        <v>2625</v>
      </c>
      <c r="C3513">
        <v>5697</v>
      </c>
      <c r="D3513" t="s">
        <v>2344</v>
      </c>
      <c r="E3513" t="s">
        <v>2036</v>
      </c>
      <c r="F3513">
        <v>202207</v>
      </c>
      <c r="G3513" t="s">
        <v>190</v>
      </c>
      <c r="H3513">
        <v>682688</v>
      </c>
    </row>
    <row r="3514" spans="1:8">
      <c r="A3514">
        <v>5352</v>
      </c>
      <c r="B3514" t="s">
        <v>2625</v>
      </c>
      <c r="C3514">
        <v>5697</v>
      </c>
      <c r="D3514" t="s">
        <v>2344</v>
      </c>
      <c r="E3514" t="s">
        <v>2036</v>
      </c>
      <c r="F3514">
        <v>202207</v>
      </c>
      <c r="G3514" t="s">
        <v>191</v>
      </c>
      <c r="H3514">
        <v>39942</v>
      </c>
    </row>
    <row r="3515" spans="1:8">
      <c r="A3515">
        <v>5352</v>
      </c>
      <c r="B3515" t="s">
        <v>2625</v>
      </c>
      <c r="C3515">
        <v>5697</v>
      </c>
      <c r="D3515" t="s">
        <v>2344</v>
      </c>
      <c r="E3515" t="s">
        <v>2036</v>
      </c>
      <c r="F3515">
        <v>202207</v>
      </c>
      <c r="G3515" t="s">
        <v>176</v>
      </c>
      <c r="H3515">
        <v>0</v>
      </c>
    </row>
    <row r="3516" spans="1:8">
      <c r="A3516">
        <v>5352</v>
      </c>
      <c r="B3516" t="s">
        <v>2625</v>
      </c>
      <c r="C3516">
        <v>5697</v>
      </c>
      <c r="D3516" t="s">
        <v>2344</v>
      </c>
      <c r="E3516" t="s">
        <v>2036</v>
      </c>
      <c r="F3516">
        <v>202207</v>
      </c>
      <c r="G3516" t="s">
        <v>178</v>
      </c>
      <c r="H3516">
        <v>1450</v>
      </c>
    </row>
    <row r="3517" spans="1:8">
      <c r="A3517">
        <v>5352</v>
      </c>
      <c r="B3517" t="s">
        <v>2625</v>
      </c>
      <c r="C3517">
        <v>5697</v>
      </c>
      <c r="D3517" t="s">
        <v>2344</v>
      </c>
      <c r="E3517" t="s">
        <v>2036</v>
      </c>
      <c r="F3517">
        <v>202207</v>
      </c>
      <c r="G3517" t="s">
        <v>180</v>
      </c>
      <c r="H3517">
        <v>1450</v>
      </c>
    </row>
    <row r="3518" spans="1:8">
      <c r="A3518">
        <v>5352</v>
      </c>
      <c r="B3518" t="s">
        <v>2625</v>
      </c>
      <c r="C3518">
        <v>5697</v>
      </c>
      <c r="D3518" t="s">
        <v>2344</v>
      </c>
      <c r="E3518" t="s">
        <v>2036</v>
      </c>
      <c r="F3518">
        <v>202207</v>
      </c>
      <c r="G3518" t="s">
        <v>182</v>
      </c>
      <c r="H3518">
        <v>682688</v>
      </c>
    </row>
    <row r="3519" spans="1:8">
      <c r="A3519">
        <v>5352</v>
      </c>
      <c r="B3519" t="s">
        <v>2625</v>
      </c>
      <c r="C3519">
        <v>5697</v>
      </c>
      <c r="D3519" t="s">
        <v>2344</v>
      </c>
      <c r="E3519" t="s">
        <v>2036</v>
      </c>
      <c r="F3519">
        <v>202207</v>
      </c>
      <c r="G3519" t="s">
        <v>184</v>
      </c>
      <c r="H3519">
        <v>39942</v>
      </c>
    </row>
    <row r="3520" spans="1:8">
      <c r="A3520">
        <v>5352</v>
      </c>
      <c r="B3520" t="s">
        <v>2625</v>
      </c>
      <c r="C3520">
        <v>5697</v>
      </c>
      <c r="D3520" t="s">
        <v>2344</v>
      </c>
      <c r="E3520" t="s">
        <v>2036</v>
      </c>
      <c r="F3520">
        <v>202207</v>
      </c>
      <c r="G3520" t="s">
        <v>192</v>
      </c>
      <c r="H3520">
        <v>0</v>
      </c>
    </row>
    <row r="3521" spans="1:8">
      <c r="A3521">
        <v>5352</v>
      </c>
      <c r="B3521" t="s">
        <v>2625</v>
      </c>
      <c r="C3521">
        <v>5697</v>
      </c>
      <c r="D3521" t="s">
        <v>2344</v>
      </c>
      <c r="E3521" t="s">
        <v>2036</v>
      </c>
      <c r="F3521">
        <v>202207</v>
      </c>
      <c r="G3521" t="s">
        <v>2170</v>
      </c>
      <c r="H3521">
        <v>7825.77</v>
      </c>
    </row>
    <row r="3522" spans="1:8">
      <c r="A3522">
        <v>5352</v>
      </c>
      <c r="B3522" t="s">
        <v>2625</v>
      </c>
      <c r="C3522">
        <v>5697</v>
      </c>
      <c r="D3522" t="s">
        <v>2344</v>
      </c>
      <c r="E3522" t="s">
        <v>2036</v>
      </c>
      <c r="F3522">
        <v>202207</v>
      </c>
      <c r="G3522" t="s">
        <v>186</v>
      </c>
      <c r="H3522">
        <v>0</v>
      </c>
    </row>
    <row r="3523" spans="1:8">
      <c r="A3523">
        <v>5352</v>
      </c>
      <c r="B3523" t="s">
        <v>2625</v>
      </c>
      <c r="C3523">
        <v>5697</v>
      </c>
      <c r="D3523" t="s">
        <v>2344</v>
      </c>
      <c r="E3523" t="s">
        <v>2036</v>
      </c>
      <c r="F3523">
        <v>202207</v>
      </c>
      <c r="G3523" t="s">
        <v>2169</v>
      </c>
      <c r="H3523">
        <v>182.65</v>
      </c>
    </row>
    <row r="3524" spans="1:8">
      <c r="A3524">
        <v>5352</v>
      </c>
      <c r="B3524" t="s">
        <v>2625</v>
      </c>
      <c r="C3524">
        <v>5697</v>
      </c>
      <c r="D3524" t="s">
        <v>2344</v>
      </c>
      <c r="E3524" t="s">
        <v>2036</v>
      </c>
      <c r="F3524">
        <v>202207</v>
      </c>
      <c r="G3524" t="s">
        <v>2166</v>
      </c>
      <c r="H3524">
        <v>11.83</v>
      </c>
    </row>
    <row r="3525" spans="1:8">
      <c r="A3525">
        <v>5352</v>
      </c>
      <c r="B3525" t="s">
        <v>2625</v>
      </c>
      <c r="C3525">
        <v>5697</v>
      </c>
      <c r="D3525" t="s">
        <v>2344</v>
      </c>
      <c r="E3525" t="s">
        <v>2036</v>
      </c>
      <c r="F3525">
        <v>202207</v>
      </c>
      <c r="G3525" t="s">
        <v>2167</v>
      </c>
      <c r="H3525">
        <v>21.22</v>
      </c>
    </row>
    <row r="3526" spans="1:8">
      <c r="A3526">
        <v>5352</v>
      </c>
      <c r="B3526" t="s">
        <v>2625</v>
      </c>
      <c r="C3526">
        <v>5697</v>
      </c>
      <c r="D3526" t="s">
        <v>2344</v>
      </c>
      <c r="E3526" t="s">
        <v>2036</v>
      </c>
      <c r="F3526">
        <v>202207</v>
      </c>
      <c r="G3526" t="s">
        <v>2168</v>
      </c>
      <c r="H3526">
        <v>14.37</v>
      </c>
    </row>
    <row r="3527" spans="1:8">
      <c r="A3527">
        <v>5352</v>
      </c>
      <c r="B3527" t="s">
        <v>2625</v>
      </c>
      <c r="C3527">
        <v>5697</v>
      </c>
      <c r="D3527" t="s">
        <v>2344</v>
      </c>
      <c r="E3527" t="s">
        <v>2036</v>
      </c>
      <c r="F3527">
        <v>202207</v>
      </c>
      <c r="G3527" t="s">
        <v>2171</v>
      </c>
      <c r="H3527">
        <v>198120.81</v>
      </c>
    </row>
    <row r="3528" spans="1:8">
      <c r="A3528">
        <v>5352</v>
      </c>
      <c r="B3528" t="s">
        <v>2625</v>
      </c>
      <c r="C3528">
        <v>5697</v>
      </c>
      <c r="D3528" t="s">
        <v>2344</v>
      </c>
      <c r="E3528" t="s">
        <v>2036</v>
      </c>
      <c r="F3528">
        <v>202207</v>
      </c>
      <c r="G3528" t="s">
        <v>190</v>
      </c>
      <c r="H3528">
        <v>796061</v>
      </c>
    </row>
    <row r="3529" spans="1:8">
      <c r="A3529">
        <v>5352</v>
      </c>
      <c r="B3529" t="s">
        <v>2625</v>
      </c>
      <c r="C3529">
        <v>5697</v>
      </c>
      <c r="D3529" t="s">
        <v>2344</v>
      </c>
      <c r="E3529" t="s">
        <v>2036</v>
      </c>
      <c r="F3529">
        <v>202207</v>
      </c>
      <c r="G3529" t="s">
        <v>191</v>
      </c>
      <c r="H3529">
        <v>131141</v>
      </c>
    </row>
    <row r="3530" spans="1:8">
      <c r="A3530">
        <v>5352</v>
      </c>
      <c r="B3530" t="s">
        <v>2625</v>
      </c>
      <c r="C3530">
        <v>5697</v>
      </c>
      <c r="D3530" t="s">
        <v>2344</v>
      </c>
      <c r="E3530" t="s">
        <v>2036</v>
      </c>
      <c r="F3530">
        <v>202207</v>
      </c>
      <c r="G3530" t="s">
        <v>176</v>
      </c>
      <c r="H3530">
        <v>0</v>
      </c>
    </row>
    <row r="3531" spans="1:8">
      <c r="A3531">
        <v>5352</v>
      </c>
      <c r="B3531" t="s">
        <v>2625</v>
      </c>
      <c r="C3531">
        <v>5697</v>
      </c>
      <c r="D3531" t="s">
        <v>2344</v>
      </c>
      <c r="E3531" t="s">
        <v>2036</v>
      </c>
      <c r="F3531">
        <v>202207</v>
      </c>
      <c r="G3531" t="s">
        <v>178</v>
      </c>
      <c r="H3531">
        <v>2750</v>
      </c>
    </row>
    <row r="3532" spans="1:8">
      <c r="A3532">
        <v>5352</v>
      </c>
      <c r="B3532" t="s">
        <v>2625</v>
      </c>
      <c r="C3532">
        <v>5697</v>
      </c>
      <c r="D3532" t="s">
        <v>2344</v>
      </c>
      <c r="E3532" t="s">
        <v>2036</v>
      </c>
      <c r="F3532">
        <v>202207</v>
      </c>
      <c r="G3532" t="s">
        <v>180</v>
      </c>
      <c r="H3532">
        <v>2750</v>
      </c>
    </row>
    <row r="3533" spans="1:8">
      <c r="A3533">
        <v>5352</v>
      </c>
      <c r="B3533" t="s">
        <v>2625</v>
      </c>
      <c r="C3533">
        <v>5697</v>
      </c>
      <c r="D3533" t="s">
        <v>2344</v>
      </c>
      <c r="E3533" t="s">
        <v>2036</v>
      </c>
      <c r="F3533">
        <v>202207</v>
      </c>
      <c r="G3533" t="s">
        <v>182</v>
      </c>
      <c r="H3533">
        <v>868198</v>
      </c>
    </row>
    <row r="3534" spans="1:8">
      <c r="A3534">
        <v>5352</v>
      </c>
      <c r="B3534" t="s">
        <v>2625</v>
      </c>
      <c r="C3534">
        <v>5697</v>
      </c>
      <c r="D3534" t="s">
        <v>2344</v>
      </c>
      <c r="E3534" t="s">
        <v>2036</v>
      </c>
      <c r="F3534">
        <v>202207</v>
      </c>
      <c r="G3534" t="s">
        <v>184</v>
      </c>
      <c r="H3534">
        <v>131141</v>
      </c>
    </row>
    <row r="3535" spans="1:8">
      <c r="A3535">
        <v>5352</v>
      </c>
      <c r="B3535" t="s">
        <v>2625</v>
      </c>
      <c r="C3535">
        <v>5697</v>
      </c>
      <c r="D3535" t="s">
        <v>2344</v>
      </c>
      <c r="E3535" t="s">
        <v>2036</v>
      </c>
      <c r="F3535">
        <v>202207</v>
      </c>
      <c r="G3535" t="s">
        <v>192</v>
      </c>
      <c r="H3535">
        <v>0</v>
      </c>
    </row>
    <row r="3536" spans="1:8">
      <c r="A3536">
        <v>5352</v>
      </c>
      <c r="B3536" t="s">
        <v>2625</v>
      </c>
      <c r="C3536">
        <v>5697</v>
      </c>
      <c r="D3536" t="s">
        <v>2344</v>
      </c>
      <c r="E3536" t="s">
        <v>2036</v>
      </c>
      <c r="F3536">
        <v>202207</v>
      </c>
      <c r="G3536" t="s">
        <v>2170</v>
      </c>
      <c r="H3536">
        <v>11292.8</v>
      </c>
    </row>
    <row r="3537" spans="1:8">
      <c r="A3537">
        <v>5352</v>
      </c>
      <c r="B3537" t="s">
        <v>2625</v>
      </c>
      <c r="C3537">
        <v>5697</v>
      </c>
      <c r="D3537" t="s">
        <v>2344</v>
      </c>
      <c r="E3537" t="s">
        <v>2036</v>
      </c>
      <c r="F3537">
        <v>202207</v>
      </c>
      <c r="G3537" t="s">
        <v>186</v>
      </c>
      <c r="H3537">
        <v>72137</v>
      </c>
    </row>
    <row r="3538" spans="1:8">
      <c r="A3538">
        <v>5352</v>
      </c>
      <c r="B3538" t="s">
        <v>2625</v>
      </c>
      <c r="C3538">
        <v>5697</v>
      </c>
      <c r="D3538" t="s">
        <v>2344</v>
      </c>
      <c r="E3538" t="s">
        <v>2036</v>
      </c>
      <c r="F3538">
        <v>202207</v>
      </c>
      <c r="G3538" t="s">
        <v>2169</v>
      </c>
      <c r="H3538">
        <v>182.65</v>
      </c>
    </row>
    <row r="3539" spans="1:8">
      <c r="A3539">
        <v>5352</v>
      </c>
      <c r="B3539" t="s">
        <v>2625</v>
      </c>
      <c r="C3539">
        <v>5697</v>
      </c>
      <c r="D3539" t="s">
        <v>2344</v>
      </c>
      <c r="E3539" t="s">
        <v>2036</v>
      </c>
      <c r="F3539">
        <v>202207</v>
      </c>
      <c r="G3539" t="s">
        <v>2166</v>
      </c>
      <c r="H3539">
        <v>11.83</v>
      </c>
    </row>
    <row r="3540" spans="1:8">
      <c r="A3540">
        <v>5352</v>
      </c>
      <c r="B3540" t="s">
        <v>2625</v>
      </c>
      <c r="C3540">
        <v>5697</v>
      </c>
      <c r="D3540" t="s">
        <v>2344</v>
      </c>
      <c r="E3540" t="s">
        <v>2036</v>
      </c>
      <c r="F3540">
        <v>202207</v>
      </c>
      <c r="G3540" t="s">
        <v>2167</v>
      </c>
      <c r="H3540">
        <v>21.22</v>
      </c>
    </row>
    <row r="3541" spans="1:8">
      <c r="A3541">
        <v>5352</v>
      </c>
      <c r="B3541" t="s">
        <v>2625</v>
      </c>
      <c r="C3541">
        <v>5697</v>
      </c>
      <c r="D3541" t="s">
        <v>2344</v>
      </c>
      <c r="E3541" t="s">
        <v>2036</v>
      </c>
      <c r="F3541">
        <v>202207</v>
      </c>
      <c r="G3541" t="s">
        <v>2168</v>
      </c>
      <c r="H3541">
        <v>14.37</v>
      </c>
    </row>
    <row r="3542" spans="1:8">
      <c r="A3542">
        <v>5352</v>
      </c>
      <c r="B3542" t="s">
        <v>2625</v>
      </c>
      <c r="C3542">
        <v>5697</v>
      </c>
      <c r="D3542" t="s">
        <v>2344</v>
      </c>
      <c r="E3542" t="s">
        <v>2036</v>
      </c>
      <c r="F3542">
        <v>202207</v>
      </c>
      <c r="G3542" t="s">
        <v>2171</v>
      </c>
      <c r="H3542">
        <v>285894.23</v>
      </c>
    </row>
    <row r="3543" spans="1:8">
      <c r="A3543">
        <v>5352</v>
      </c>
      <c r="B3543" t="s">
        <v>2625</v>
      </c>
      <c r="C3543">
        <v>5697</v>
      </c>
      <c r="D3543" t="s">
        <v>2344</v>
      </c>
      <c r="E3543" t="s">
        <v>2036</v>
      </c>
      <c r="F3543">
        <v>202207</v>
      </c>
      <c r="G3543" t="s">
        <v>190</v>
      </c>
      <c r="H3543">
        <v>460716</v>
      </c>
    </row>
    <row r="3544" spans="1:8">
      <c r="A3544">
        <v>5352</v>
      </c>
      <c r="B3544" t="s">
        <v>2625</v>
      </c>
      <c r="C3544">
        <v>5697</v>
      </c>
      <c r="D3544" t="s">
        <v>2344</v>
      </c>
      <c r="E3544" t="s">
        <v>2036</v>
      </c>
      <c r="F3544">
        <v>202207</v>
      </c>
      <c r="G3544" t="s">
        <v>191</v>
      </c>
      <c r="H3544">
        <v>70616</v>
      </c>
    </row>
    <row r="3545" spans="1:8">
      <c r="A3545">
        <v>5352</v>
      </c>
      <c r="B3545" t="s">
        <v>2625</v>
      </c>
      <c r="C3545">
        <v>5697</v>
      </c>
      <c r="D3545" t="s">
        <v>2344</v>
      </c>
      <c r="E3545" t="s">
        <v>2036</v>
      </c>
      <c r="F3545">
        <v>202207</v>
      </c>
      <c r="G3545" t="s">
        <v>176</v>
      </c>
      <c r="H3545">
        <v>0</v>
      </c>
    </row>
    <row r="3546" spans="1:8">
      <c r="A3546">
        <v>5352</v>
      </c>
      <c r="B3546" t="s">
        <v>2625</v>
      </c>
      <c r="C3546">
        <v>5697</v>
      </c>
      <c r="D3546" t="s">
        <v>2344</v>
      </c>
      <c r="E3546" t="s">
        <v>2036</v>
      </c>
      <c r="F3546">
        <v>202207</v>
      </c>
      <c r="G3546" t="s">
        <v>178</v>
      </c>
      <c r="H3546">
        <v>1670</v>
      </c>
    </row>
    <row r="3547" spans="1:8">
      <c r="A3547">
        <v>5352</v>
      </c>
      <c r="B3547" t="s">
        <v>2625</v>
      </c>
      <c r="C3547">
        <v>5697</v>
      </c>
      <c r="D3547" t="s">
        <v>2344</v>
      </c>
      <c r="E3547" t="s">
        <v>2036</v>
      </c>
      <c r="F3547">
        <v>202207</v>
      </c>
      <c r="G3547" t="s">
        <v>180</v>
      </c>
      <c r="H3547">
        <v>1670</v>
      </c>
    </row>
    <row r="3548" spans="1:8">
      <c r="A3548">
        <v>5352</v>
      </c>
      <c r="B3548" t="s">
        <v>2625</v>
      </c>
      <c r="C3548">
        <v>5697</v>
      </c>
      <c r="D3548" t="s">
        <v>2344</v>
      </c>
      <c r="E3548" t="s">
        <v>2036</v>
      </c>
      <c r="F3548">
        <v>202207</v>
      </c>
      <c r="G3548" t="s">
        <v>182</v>
      </c>
      <c r="H3548">
        <v>460716</v>
      </c>
    </row>
    <row r="3549" spans="1:8">
      <c r="A3549">
        <v>5352</v>
      </c>
      <c r="B3549" t="s">
        <v>2625</v>
      </c>
      <c r="C3549">
        <v>5697</v>
      </c>
      <c r="D3549" t="s">
        <v>2344</v>
      </c>
      <c r="E3549" t="s">
        <v>2036</v>
      </c>
      <c r="F3549">
        <v>202207</v>
      </c>
      <c r="G3549" t="s">
        <v>184</v>
      </c>
      <c r="H3549">
        <v>70616</v>
      </c>
    </row>
    <row r="3550" spans="1:8">
      <c r="A3550">
        <v>5352</v>
      </c>
      <c r="B3550" t="s">
        <v>2625</v>
      </c>
      <c r="C3550">
        <v>5697</v>
      </c>
      <c r="D3550" t="s">
        <v>2344</v>
      </c>
      <c r="E3550" t="s">
        <v>2036</v>
      </c>
      <c r="F3550">
        <v>202207</v>
      </c>
      <c r="G3550" t="s">
        <v>192</v>
      </c>
      <c r="H3550">
        <v>0</v>
      </c>
    </row>
    <row r="3551" spans="1:8">
      <c r="A3551">
        <v>5352</v>
      </c>
      <c r="B3551" t="s">
        <v>2625</v>
      </c>
      <c r="C3551">
        <v>5697</v>
      </c>
      <c r="D3551" t="s">
        <v>2344</v>
      </c>
      <c r="E3551" t="s">
        <v>2036</v>
      </c>
      <c r="F3551">
        <v>202207</v>
      </c>
      <c r="G3551" t="s">
        <v>2170</v>
      </c>
      <c r="H3551">
        <v>6574.83</v>
      </c>
    </row>
    <row r="3552" spans="1:8">
      <c r="A3552">
        <v>5352</v>
      </c>
      <c r="B3552" t="s">
        <v>2625</v>
      </c>
      <c r="C3552">
        <v>5697</v>
      </c>
      <c r="D3552" t="s">
        <v>2344</v>
      </c>
      <c r="E3552" t="s">
        <v>2036</v>
      </c>
      <c r="F3552">
        <v>202207</v>
      </c>
      <c r="G3552" t="s">
        <v>186</v>
      </c>
      <c r="H3552">
        <v>0</v>
      </c>
    </row>
    <row r="3553" spans="1:8">
      <c r="A3553">
        <v>5352</v>
      </c>
      <c r="B3553" t="s">
        <v>2625</v>
      </c>
      <c r="C3553">
        <v>5697</v>
      </c>
      <c r="D3553" t="s">
        <v>2344</v>
      </c>
      <c r="E3553" t="s">
        <v>2036</v>
      </c>
      <c r="F3553">
        <v>202207</v>
      </c>
      <c r="G3553" t="s">
        <v>2169</v>
      </c>
      <c r="H3553">
        <v>182.65</v>
      </c>
    </row>
    <row r="3554" spans="1:8">
      <c r="A3554">
        <v>5352</v>
      </c>
      <c r="B3554" t="s">
        <v>2625</v>
      </c>
      <c r="C3554">
        <v>5697</v>
      </c>
      <c r="D3554" t="s">
        <v>2344</v>
      </c>
      <c r="E3554" t="s">
        <v>2036</v>
      </c>
      <c r="F3554">
        <v>202207</v>
      </c>
      <c r="G3554" t="s">
        <v>2166</v>
      </c>
      <c r="H3554">
        <v>11.83</v>
      </c>
    </row>
    <row r="3555" spans="1:8">
      <c r="A3555">
        <v>5352</v>
      </c>
      <c r="B3555" t="s">
        <v>2625</v>
      </c>
      <c r="C3555">
        <v>5697</v>
      </c>
      <c r="D3555" t="s">
        <v>2344</v>
      </c>
      <c r="E3555" t="s">
        <v>2036</v>
      </c>
      <c r="F3555">
        <v>202207</v>
      </c>
      <c r="G3555" t="s">
        <v>2167</v>
      </c>
      <c r="H3555">
        <v>21.22</v>
      </c>
    </row>
    <row r="3556" spans="1:8">
      <c r="A3556">
        <v>5352</v>
      </c>
      <c r="B3556" t="s">
        <v>2625</v>
      </c>
      <c r="C3556">
        <v>5697</v>
      </c>
      <c r="D3556" t="s">
        <v>2344</v>
      </c>
      <c r="E3556" t="s">
        <v>2036</v>
      </c>
      <c r="F3556">
        <v>202207</v>
      </c>
      <c r="G3556" t="s">
        <v>2168</v>
      </c>
      <c r="H3556">
        <v>14.37</v>
      </c>
    </row>
    <row r="3557" spans="1:8">
      <c r="A3557">
        <v>5352</v>
      </c>
      <c r="B3557" t="s">
        <v>2625</v>
      </c>
      <c r="C3557">
        <v>5697</v>
      </c>
      <c r="D3557" t="s">
        <v>2344</v>
      </c>
      <c r="E3557" t="s">
        <v>2036</v>
      </c>
      <c r="F3557">
        <v>202207</v>
      </c>
      <c r="G3557" t="s">
        <v>2171</v>
      </c>
      <c r="H3557">
        <v>166451.34</v>
      </c>
    </row>
    <row r="3558" spans="1:8">
      <c r="A3558">
        <v>5352</v>
      </c>
      <c r="B3558" t="s">
        <v>2625</v>
      </c>
      <c r="C3558">
        <v>5697</v>
      </c>
      <c r="D3558" t="s">
        <v>2344</v>
      </c>
      <c r="E3558" t="s">
        <v>2036</v>
      </c>
      <c r="F3558">
        <v>202208</v>
      </c>
      <c r="G3558" t="s">
        <v>190</v>
      </c>
      <c r="H3558">
        <v>493799</v>
      </c>
    </row>
    <row r="3559" spans="1:8">
      <c r="A3559">
        <v>5352</v>
      </c>
      <c r="B3559" t="s">
        <v>2625</v>
      </c>
      <c r="C3559">
        <v>5697</v>
      </c>
      <c r="D3559" t="s">
        <v>2344</v>
      </c>
      <c r="E3559" t="s">
        <v>2036</v>
      </c>
      <c r="F3559">
        <v>202208</v>
      </c>
      <c r="G3559" t="s">
        <v>191</v>
      </c>
      <c r="H3559">
        <v>72778</v>
      </c>
    </row>
    <row r="3560" spans="1:8">
      <c r="A3560">
        <v>5352</v>
      </c>
      <c r="B3560" t="s">
        <v>2625</v>
      </c>
      <c r="C3560">
        <v>5697</v>
      </c>
      <c r="D3560" t="s">
        <v>2344</v>
      </c>
      <c r="E3560" t="s">
        <v>2036</v>
      </c>
      <c r="F3560">
        <v>202208</v>
      </c>
      <c r="G3560" t="s">
        <v>176</v>
      </c>
      <c r="H3560">
        <v>0</v>
      </c>
    </row>
    <row r="3561" spans="1:8">
      <c r="A3561">
        <v>5352</v>
      </c>
      <c r="B3561" t="s">
        <v>2625</v>
      </c>
      <c r="C3561">
        <v>5697</v>
      </c>
      <c r="D3561" t="s">
        <v>2344</v>
      </c>
      <c r="E3561" t="s">
        <v>2036</v>
      </c>
      <c r="F3561">
        <v>202208</v>
      </c>
      <c r="G3561" t="s">
        <v>178</v>
      </c>
      <c r="H3561">
        <v>1670</v>
      </c>
    </row>
    <row r="3562" spans="1:8">
      <c r="A3562">
        <v>5352</v>
      </c>
      <c r="B3562" t="s">
        <v>2625</v>
      </c>
      <c r="C3562">
        <v>5697</v>
      </c>
      <c r="D3562" t="s">
        <v>2344</v>
      </c>
      <c r="E3562" t="s">
        <v>2036</v>
      </c>
      <c r="F3562">
        <v>202208</v>
      </c>
      <c r="G3562" t="s">
        <v>180</v>
      </c>
      <c r="H3562">
        <v>1670</v>
      </c>
    </row>
    <row r="3563" spans="1:8">
      <c r="A3563">
        <v>5352</v>
      </c>
      <c r="B3563" t="s">
        <v>2625</v>
      </c>
      <c r="C3563">
        <v>5697</v>
      </c>
      <c r="D3563" t="s">
        <v>2344</v>
      </c>
      <c r="E3563" t="s">
        <v>2036</v>
      </c>
      <c r="F3563">
        <v>202208</v>
      </c>
      <c r="G3563" t="s">
        <v>182</v>
      </c>
      <c r="H3563">
        <v>493799</v>
      </c>
    </row>
    <row r="3564" spans="1:8">
      <c r="A3564">
        <v>5352</v>
      </c>
      <c r="B3564" t="s">
        <v>2625</v>
      </c>
      <c r="C3564">
        <v>5697</v>
      </c>
      <c r="D3564" t="s">
        <v>2344</v>
      </c>
      <c r="E3564" t="s">
        <v>2036</v>
      </c>
      <c r="F3564">
        <v>202208</v>
      </c>
      <c r="G3564" t="s">
        <v>184</v>
      </c>
      <c r="H3564">
        <v>72778</v>
      </c>
    </row>
    <row r="3565" spans="1:8">
      <c r="A3565">
        <v>5352</v>
      </c>
      <c r="B3565" t="s">
        <v>2625</v>
      </c>
      <c r="C3565">
        <v>5697</v>
      </c>
      <c r="D3565" t="s">
        <v>2344</v>
      </c>
      <c r="E3565" t="s">
        <v>2036</v>
      </c>
      <c r="F3565">
        <v>202208</v>
      </c>
      <c r="G3565" t="s">
        <v>192</v>
      </c>
      <c r="H3565">
        <v>0</v>
      </c>
    </row>
    <row r="3566" spans="1:8">
      <c r="A3566">
        <v>5352</v>
      </c>
      <c r="B3566" t="s">
        <v>2625</v>
      </c>
      <c r="C3566">
        <v>5697</v>
      </c>
      <c r="D3566" t="s">
        <v>2344</v>
      </c>
      <c r="E3566" t="s">
        <v>2036</v>
      </c>
      <c r="F3566">
        <v>202208</v>
      </c>
      <c r="G3566" t="s">
        <v>2170</v>
      </c>
      <c r="H3566">
        <v>8798.51</v>
      </c>
    </row>
    <row r="3567" spans="1:8">
      <c r="A3567">
        <v>5352</v>
      </c>
      <c r="B3567" t="s">
        <v>2625</v>
      </c>
      <c r="C3567">
        <v>5697</v>
      </c>
      <c r="D3567" t="s">
        <v>2344</v>
      </c>
      <c r="E3567" t="s">
        <v>2036</v>
      </c>
      <c r="F3567">
        <v>202208</v>
      </c>
      <c r="G3567" t="s">
        <v>186</v>
      </c>
      <c r="H3567">
        <v>0</v>
      </c>
    </row>
    <row r="3568" spans="1:8">
      <c r="A3568">
        <v>5352</v>
      </c>
      <c r="B3568" t="s">
        <v>2625</v>
      </c>
      <c r="C3568">
        <v>5697</v>
      </c>
      <c r="D3568" t="s">
        <v>2344</v>
      </c>
      <c r="E3568" t="s">
        <v>2036</v>
      </c>
      <c r="F3568">
        <v>202208</v>
      </c>
      <c r="G3568" t="s">
        <v>2169</v>
      </c>
      <c r="H3568">
        <v>182.65</v>
      </c>
    </row>
    <row r="3569" spans="1:8">
      <c r="A3569">
        <v>5352</v>
      </c>
      <c r="B3569" t="s">
        <v>2625</v>
      </c>
      <c r="C3569">
        <v>5697</v>
      </c>
      <c r="D3569" t="s">
        <v>2344</v>
      </c>
      <c r="E3569" t="s">
        <v>2036</v>
      </c>
      <c r="F3569">
        <v>202208</v>
      </c>
      <c r="G3569" t="s">
        <v>2166</v>
      </c>
      <c r="H3569">
        <v>11.83</v>
      </c>
    </row>
    <row r="3570" spans="1:8">
      <c r="A3570">
        <v>5352</v>
      </c>
      <c r="B3570" t="s">
        <v>2625</v>
      </c>
      <c r="C3570">
        <v>5697</v>
      </c>
      <c r="D3570" t="s">
        <v>2344</v>
      </c>
      <c r="E3570" t="s">
        <v>2036</v>
      </c>
      <c r="F3570">
        <v>202208</v>
      </c>
      <c r="G3570" t="s">
        <v>2167</v>
      </c>
      <c r="H3570">
        <v>21.22</v>
      </c>
    </row>
    <row r="3571" spans="1:8">
      <c r="A3571">
        <v>5352</v>
      </c>
      <c r="B3571" t="s">
        <v>2625</v>
      </c>
      <c r="C3571">
        <v>5697</v>
      </c>
      <c r="D3571" t="s">
        <v>2344</v>
      </c>
      <c r="E3571" t="s">
        <v>2036</v>
      </c>
      <c r="F3571">
        <v>202208</v>
      </c>
      <c r="G3571" t="s">
        <v>2168</v>
      </c>
      <c r="H3571">
        <v>14.37</v>
      </c>
    </row>
    <row r="3572" spans="1:8">
      <c r="A3572">
        <v>5352</v>
      </c>
      <c r="B3572" t="s">
        <v>2625</v>
      </c>
      <c r="C3572">
        <v>5697</v>
      </c>
      <c r="D3572" t="s">
        <v>2344</v>
      </c>
      <c r="E3572" t="s">
        <v>2036</v>
      </c>
      <c r="F3572">
        <v>202208</v>
      </c>
      <c r="G3572" t="s">
        <v>2171</v>
      </c>
      <c r="H3572">
        <v>175618.99</v>
      </c>
    </row>
    <row r="3573" spans="1:8">
      <c r="A3573">
        <v>5352</v>
      </c>
      <c r="B3573" t="s">
        <v>2625</v>
      </c>
      <c r="C3573">
        <v>5697</v>
      </c>
      <c r="D3573" t="s">
        <v>2344</v>
      </c>
      <c r="E3573" t="s">
        <v>2036</v>
      </c>
      <c r="F3573">
        <v>202208</v>
      </c>
      <c r="G3573" t="s">
        <v>190</v>
      </c>
      <c r="H3573">
        <v>280609</v>
      </c>
    </row>
    <row r="3574" spans="1:8">
      <c r="A3574">
        <v>5352</v>
      </c>
      <c r="B3574" t="s">
        <v>2625</v>
      </c>
      <c r="C3574">
        <v>5697</v>
      </c>
      <c r="D3574" t="s">
        <v>2344</v>
      </c>
      <c r="E3574" t="s">
        <v>2036</v>
      </c>
      <c r="F3574">
        <v>202208</v>
      </c>
      <c r="G3574" t="s">
        <v>191</v>
      </c>
      <c r="H3574">
        <v>38678</v>
      </c>
    </row>
    <row r="3575" spans="1:8">
      <c r="A3575">
        <v>5352</v>
      </c>
      <c r="B3575" t="s">
        <v>2625</v>
      </c>
      <c r="C3575">
        <v>5697</v>
      </c>
      <c r="D3575" t="s">
        <v>2344</v>
      </c>
      <c r="E3575" t="s">
        <v>2036</v>
      </c>
      <c r="F3575">
        <v>202208</v>
      </c>
      <c r="G3575" t="s">
        <v>176</v>
      </c>
      <c r="H3575">
        <v>0</v>
      </c>
    </row>
    <row r="3576" spans="1:8">
      <c r="A3576">
        <v>5352</v>
      </c>
      <c r="B3576" t="s">
        <v>2625</v>
      </c>
      <c r="C3576">
        <v>5697</v>
      </c>
      <c r="D3576" t="s">
        <v>2344</v>
      </c>
      <c r="E3576" t="s">
        <v>2036</v>
      </c>
      <c r="F3576">
        <v>202208</v>
      </c>
      <c r="G3576" t="s">
        <v>178</v>
      </c>
      <c r="H3576">
        <v>970</v>
      </c>
    </row>
    <row r="3577" spans="1:8">
      <c r="A3577">
        <v>5352</v>
      </c>
      <c r="B3577" t="s">
        <v>2625</v>
      </c>
      <c r="C3577">
        <v>5697</v>
      </c>
      <c r="D3577" t="s">
        <v>2344</v>
      </c>
      <c r="E3577" t="s">
        <v>2036</v>
      </c>
      <c r="F3577">
        <v>202208</v>
      </c>
      <c r="G3577" t="s">
        <v>180</v>
      </c>
      <c r="H3577">
        <v>970</v>
      </c>
    </row>
    <row r="3578" spans="1:8">
      <c r="A3578">
        <v>5352</v>
      </c>
      <c r="B3578" t="s">
        <v>2625</v>
      </c>
      <c r="C3578">
        <v>5697</v>
      </c>
      <c r="D3578" t="s">
        <v>2344</v>
      </c>
      <c r="E3578" t="s">
        <v>2036</v>
      </c>
      <c r="F3578">
        <v>202208</v>
      </c>
      <c r="G3578" t="s">
        <v>182</v>
      </c>
      <c r="H3578">
        <v>280609</v>
      </c>
    </row>
    <row r="3579" spans="1:8">
      <c r="A3579">
        <v>5352</v>
      </c>
      <c r="B3579" t="s">
        <v>2625</v>
      </c>
      <c r="C3579">
        <v>5697</v>
      </c>
      <c r="D3579" t="s">
        <v>2344</v>
      </c>
      <c r="E3579" t="s">
        <v>2036</v>
      </c>
      <c r="F3579">
        <v>202208</v>
      </c>
      <c r="G3579" t="s">
        <v>184</v>
      </c>
      <c r="H3579">
        <v>38678</v>
      </c>
    </row>
    <row r="3580" spans="1:8">
      <c r="A3580">
        <v>5352</v>
      </c>
      <c r="B3580" t="s">
        <v>2625</v>
      </c>
      <c r="C3580">
        <v>5697</v>
      </c>
      <c r="D3580" t="s">
        <v>2344</v>
      </c>
      <c r="E3580" t="s">
        <v>2036</v>
      </c>
      <c r="F3580">
        <v>202208</v>
      </c>
      <c r="G3580" t="s">
        <v>192</v>
      </c>
      <c r="H3580">
        <v>0</v>
      </c>
    </row>
    <row r="3581" spans="1:8">
      <c r="A3581">
        <v>5352</v>
      </c>
      <c r="B3581" t="s">
        <v>2625</v>
      </c>
      <c r="C3581">
        <v>5697</v>
      </c>
      <c r="D3581" t="s">
        <v>2344</v>
      </c>
      <c r="E3581" t="s">
        <v>2036</v>
      </c>
      <c r="F3581">
        <v>202208</v>
      </c>
      <c r="G3581" t="s">
        <v>2170</v>
      </c>
      <c r="H3581">
        <v>5008.6400000000003</v>
      </c>
    </row>
    <row r="3582" spans="1:8">
      <c r="A3582">
        <v>5352</v>
      </c>
      <c r="B3582" t="s">
        <v>2625</v>
      </c>
      <c r="C3582">
        <v>5697</v>
      </c>
      <c r="D3582" t="s">
        <v>2344</v>
      </c>
      <c r="E3582" t="s">
        <v>2036</v>
      </c>
      <c r="F3582">
        <v>202208</v>
      </c>
      <c r="G3582" t="s">
        <v>186</v>
      </c>
      <c r="H3582">
        <v>0</v>
      </c>
    </row>
    <row r="3583" spans="1:8">
      <c r="A3583">
        <v>5352</v>
      </c>
      <c r="B3583" t="s">
        <v>2625</v>
      </c>
      <c r="C3583">
        <v>5697</v>
      </c>
      <c r="D3583" t="s">
        <v>2344</v>
      </c>
      <c r="E3583" t="s">
        <v>2036</v>
      </c>
      <c r="F3583">
        <v>202208</v>
      </c>
      <c r="G3583" t="s">
        <v>2169</v>
      </c>
      <c r="H3583">
        <v>182.65</v>
      </c>
    </row>
    <row r="3584" spans="1:8">
      <c r="A3584">
        <v>5352</v>
      </c>
      <c r="B3584" t="s">
        <v>2625</v>
      </c>
      <c r="C3584">
        <v>5697</v>
      </c>
      <c r="D3584" t="s">
        <v>2344</v>
      </c>
      <c r="E3584" t="s">
        <v>2036</v>
      </c>
      <c r="F3584">
        <v>202208</v>
      </c>
      <c r="G3584" t="s">
        <v>2166</v>
      </c>
      <c r="H3584">
        <v>11.83</v>
      </c>
    </row>
    <row r="3585" spans="1:8">
      <c r="A3585">
        <v>5352</v>
      </c>
      <c r="B3585" t="s">
        <v>2625</v>
      </c>
      <c r="C3585">
        <v>5697</v>
      </c>
      <c r="D3585" t="s">
        <v>2344</v>
      </c>
      <c r="E3585" t="s">
        <v>2036</v>
      </c>
      <c r="F3585">
        <v>202208</v>
      </c>
      <c r="G3585" t="s">
        <v>2167</v>
      </c>
      <c r="H3585">
        <v>21.22</v>
      </c>
    </row>
    <row r="3586" spans="1:8">
      <c r="A3586">
        <v>5352</v>
      </c>
      <c r="B3586" t="s">
        <v>2625</v>
      </c>
      <c r="C3586">
        <v>5697</v>
      </c>
      <c r="D3586" t="s">
        <v>2344</v>
      </c>
      <c r="E3586" t="s">
        <v>2036</v>
      </c>
      <c r="F3586">
        <v>202208</v>
      </c>
      <c r="G3586" t="s">
        <v>2168</v>
      </c>
      <c r="H3586">
        <v>14.37</v>
      </c>
    </row>
    <row r="3587" spans="1:8">
      <c r="A3587">
        <v>5352</v>
      </c>
      <c r="B3587" t="s">
        <v>2625</v>
      </c>
      <c r="C3587">
        <v>5697</v>
      </c>
      <c r="D3587" t="s">
        <v>2344</v>
      </c>
      <c r="E3587" t="s">
        <v>2036</v>
      </c>
      <c r="F3587">
        <v>202208</v>
      </c>
      <c r="G3587" t="s">
        <v>2171</v>
      </c>
      <c r="H3587">
        <v>99973.05</v>
      </c>
    </row>
    <row r="3588" spans="1:8">
      <c r="A3588">
        <v>5352</v>
      </c>
      <c r="B3588" t="s">
        <v>2625</v>
      </c>
      <c r="C3588">
        <v>5697</v>
      </c>
      <c r="D3588" t="s">
        <v>2344</v>
      </c>
      <c r="E3588" t="s">
        <v>2036</v>
      </c>
      <c r="F3588">
        <v>202208</v>
      </c>
      <c r="G3588" t="s">
        <v>190</v>
      </c>
      <c r="H3588">
        <v>11896</v>
      </c>
    </row>
    <row r="3589" spans="1:8">
      <c r="A3589">
        <v>5352</v>
      </c>
      <c r="B3589" t="s">
        <v>2625</v>
      </c>
      <c r="C3589">
        <v>5697</v>
      </c>
      <c r="D3589" t="s">
        <v>2344</v>
      </c>
      <c r="E3589" t="s">
        <v>2036</v>
      </c>
      <c r="F3589">
        <v>202208</v>
      </c>
      <c r="G3589" t="s">
        <v>191</v>
      </c>
      <c r="H3589">
        <v>1830</v>
      </c>
    </row>
    <row r="3590" spans="1:8">
      <c r="A3590">
        <v>5352</v>
      </c>
      <c r="B3590" t="s">
        <v>2625</v>
      </c>
      <c r="C3590">
        <v>5697</v>
      </c>
      <c r="D3590" t="s">
        <v>2344</v>
      </c>
      <c r="E3590" t="s">
        <v>2036</v>
      </c>
      <c r="F3590">
        <v>202208</v>
      </c>
      <c r="G3590" t="s">
        <v>176</v>
      </c>
      <c r="H3590">
        <v>-200.41</v>
      </c>
    </row>
    <row r="3591" spans="1:8">
      <c r="A3591">
        <v>5352</v>
      </c>
      <c r="B3591" t="s">
        <v>2625</v>
      </c>
      <c r="C3591">
        <v>5697</v>
      </c>
      <c r="D3591" t="s">
        <v>2344</v>
      </c>
      <c r="E3591" t="s">
        <v>2036</v>
      </c>
      <c r="F3591">
        <v>202208</v>
      </c>
      <c r="G3591" t="s">
        <v>178</v>
      </c>
      <c r="H3591">
        <v>120</v>
      </c>
    </row>
    <row r="3592" spans="1:8">
      <c r="A3592">
        <v>5352</v>
      </c>
      <c r="B3592" t="s">
        <v>2625</v>
      </c>
      <c r="C3592">
        <v>5697</v>
      </c>
      <c r="D3592" t="s">
        <v>2344</v>
      </c>
      <c r="E3592" t="s">
        <v>2036</v>
      </c>
      <c r="F3592">
        <v>202208</v>
      </c>
      <c r="G3592" t="s">
        <v>180</v>
      </c>
      <c r="H3592">
        <v>120</v>
      </c>
    </row>
    <row r="3593" spans="1:8">
      <c r="A3593">
        <v>5352</v>
      </c>
      <c r="B3593" t="s">
        <v>2625</v>
      </c>
      <c r="C3593">
        <v>5697</v>
      </c>
      <c r="D3593" t="s">
        <v>2344</v>
      </c>
      <c r="E3593" t="s">
        <v>2036</v>
      </c>
      <c r="F3593">
        <v>202208</v>
      </c>
      <c r="G3593" t="s">
        <v>182</v>
      </c>
      <c r="H3593">
        <v>11896</v>
      </c>
    </row>
    <row r="3594" spans="1:8">
      <c r="A3594">
        <v>5352</v>
      </c>
      <c r="B3594" t="s">
        <v>2625</v>
      </c>
      <c r="C3594">
        <v>5697</v>
      </c>
      <c r="D3594" t="s">
        <v>2344</v>
      </c>
      <c r="E3594" t="s">
        <v>2036</v>
      </c>
      <c r="F3594">
        <v>202208</v>
      </c>
      <c r="G3594" t="s">
        <v>184</v>
      </c>
      <c r="H3594">
        <v>1830</v>
      </c>
    </row>
    <row r="3595" spans="1:8">
      <c r="A3595">
        <v>5352</v>
      </c>
      <c r="B3595" t="s">
        <v>2625</v>
      </c>
      <c r="C3595">
        <v>5697</v>
      </c>
      <c r="D3595" t="s">
        <v>2344</v>
      </c>
      <c r="E3595" t="s">
        <v>2036</v>
      </c>
      <c r="F3595">
        <v>202208</v>
      </c>
      <c r="G3595" t="s">
        <v>192</v>
      </c>
      <c r="H3595">
        <v>0</v>
      </c>
    </row>
    <row r="3596" spans="1:8">
      <c r="A3596">
        <v>5352</v>
      </c>
      <c r="B3596" t="s">
        <v>2625</v>
      </c>
      <c r="C3596">
        <v>5697</v>
      </c>
      <c r="D3596" t="s">
        <v>2344</v>
      </c>
      <c r="E3596" t="s">
        <v>2036</v>
      </c>
      <c r="F3596">
        <v>202208</v>
      </c>
      <c r="G3596" t="s">
        <v>2170</v>
      </c>
      <c r="H3596">
        <v>351.8</v>
      </c>
    </row>
    <row r="3597" spans="1:8">
      <c r="A3597">
        <v>5352</v>
      </c>
      <c r="B3597" t="s">
        <v>2625</v>
      </c>
      <c r="C3597">
        <v>5697</v>
      </c>
      <c r="D3597" t="s">
        <v>2344</v>
      </c>
      <c r="E3597" t="s">
        <v>2036</v>
      </c>
      <c r="F3597">
        <v>202208</v>
      </c>
      <c r="G3597" t="s">
        <v>186</v>
      </c>
      <c r="H3597">
        <v>0</v>
      </c>
    </row>
    <row r="3598" spans="1:8">
      <c r="A3598">
        <v>5352</v>
      </c>
      <c r="B3598" t="s">
        <v>2625</v>
      </c>
      <c r="C3598">
        <v>5697</v>
      </c>
      <c r="D3598" t="s">
        <v>2344</v>
      </c>
      <c r="E3598" t="s">
        <v>2036</v>
      </c>
      <c r="F3598">
        <v>202208</v>
      </c>
      <c r="G3598" t="s">
        <v>2169</v>
      </c>
      <c r="H3598">
        <v>182.65</v>
      </c>
    </row>
    <row r="3599" spans="1:8">
      <c r="A3599">
        <v>5352</v>
      </c>
      <c r="B3599" t="s">
        <v>2625</v>
      </c>
      <c r="C3599">
        <v>5697</v>
      </c>
      <c r="D3599" t="s">
        <v>2344</v>
      </c>
      <c r="E3599" t="s">
        <v>2036</v>
      </c>
      <c r="F3599">
        <v>202208</v>
      </c>
      <c r="G3599" t="s">
        <v>2166</v>
      </c>
      <c r="H3599">
        <v>11.83</v>
      </c>
    </row>
    <row r="3600" spans="1:8">
      <c r="A3600">
        <v>5352</v>
      </c>
      <c r="B3600" t="s">
        <v>2625</v>
      </c>
      <c r="C3600">
        <v>5697</v>
      </c>
      <c r="D3600" t="s">
        <v>2344</v>
      </c>
      <c r="E3600" t="s">
        <v>2036</v>
      </c>
      <c r="F3600">
        <v>202208</v>
      </c>
      <c r="G3600" t="s">
        <v>2167</v>
      </c>
      <c r="H3600">
        <v>21.22</v>
      </c>
    </row>
    <row r="3601" spans="1:8">
      <c r="A3601">
        <v>5352</v>
      </c>
      <c r="B3601" t="s">
        <v>2625</v>
      </c>
      <c r="C3601">
        <v>5697</v>
      </c>
      <c r="D3601" t="s">
        <v>2344</v>
      </c>
      <c r="E3601" t="s">
        <v>2036</v>
      </c>
      <c r="F3601">
        <v>202208</v>
      </c>
      <c r="G3601" t="s">
        <v>2168</v>
      </c>
      <c r="H3601">
        <v>14.37</v>
      </c>
    </row>
    <row r="3602" spans="1:8">
      <c r="A3602">
        <v>5352</v>
      </c>
      <c r="B3602" t="s">
        <v>2625</v>
      </c>
      <c r="C3602">
        <v>5697</v>
      </c>
      <c r="D3602" t="s">
        <v>2344</v>
      </c>
      <c r="E3602" t="s">
        <v>2036</v>
      </c>
      <c r="F3602">
        <v>202208</v>
      </c>
      <c r="G3602" t="s">
        <v>2171</v>
      </c>
      <c r="H3602">
        <v>6821.66</v>
      </c>
    </row>
    <row r="3603" spans="1:8">
      <c r="A3603">
        <v>5352</v>
      </c>
      <c r="B3603" t="s">
        <v>2625</v>
      </c>
      <c r="C3603">
        <v>5697</v>
      </c>
      <c r="D3603" t="s">
        <v>2344</v>
      </c>
      <c r="E3603" t="s">
        <v>2036</v>
      </c>
      <c r="F3603">
        <v>202208</v>
      </c>
      <c r="G3603" t="s">
        <v>190</v>
      </c>
      <c r="H3603">
        <v>84749</v>
      </c>
    </row>
    <row r="3604" spans="1:8">
      <c r="A3604">
        <v>5352</v>
      </c>
      <c r="B3604" t="s">
        <v>2625</v>
      </c>
      <c r="C3604">
        <v>5697</v>
      </c>
      <c r="D3604" t="s">
        <v>2344</v>
      </c>
      <c r="E3604" t="s">
        <v>2036</v>
      </c>
      <c r="F3604">
        <v>202208</v>
      </c>
      <c r="G3604" t="s">
        <v>191</v>
      </c>
      <c r="H3604">
        <v>13033</v>
      </c>
    </row>
    <row r="3605" spans="1:8">
      <c r="A3605">
        <v>5352</v>
      </c>
      <c r="B3605" t="s">
        <v>2625</v>
      </c>
      <c r="C3605">
        <v>5697</v>
      </c>
      <c r="D3605" t="s">
        <v>2344</v>
      </c>
      <c r="E3605" t="s">
        <v>2036</v>
      </c>
      <c r="F3605">
        <v>202208</v>
      </c>
      <c r="G3605" t="s">
        <v>176</v>
      </c>
      <c r="H3605">
        <v>0</v>
      </c>
    </row>
    <row r="3606" spans="1:8">
      <c r="A3606">
        <v>5352</v>
      </c>
      <c r="B3606" t="s">
        <v>2625</v>
      </c>
      <c r="C3606">
        <v>5697</v>
      </c>
      <c r="D3606" t="s">
        <v>2344</v>
      </c>
      <c r="E3606" t="s">
        <v>2036</v>
      </c>
      <c r="F3606">
        <v>202208</v>
      </c>
      <c r="G3606" t="s">
        <v>178</v>
      </c>
      <c r="H3606">
        <v>510</v>
      </c>
    </row>
    <row r="3607" spans="1:8">
      <c r="A3607">
        <v>5352</v>
      </c>
      <c r="B3607" t="s">
        <v>2625</v>
      </c>
      <c r="C3607">
        <v>5697</v>
      </c>
      <c r="D3607" t="s">
        <v>2344</v>
      </c>
      <c r="E3607" t="s">
        <v>2036</v>
      </c>
      <c r="F3607">
        <v>202208</v>
      </c>
      <c r="G3607" t="s">
        <v>180</v>
      </c>
      <c r="H3607">
        <v>570</v>
      </c>
    </row>
    <row r="3608" spans="1:8">
      <c r="A3608">
        <v>5352</v>
      </c>
      <c r="B3608" t="s">
        <v>2625</v>
      </c>
      <c r="C3608">
        <v>5697</v>
      </c>
      <c r="D3608" t="s">
        <v>2344</v>
      </c>
      <c r="E3608" t="s">
        <v>2036</v>
      </c>
      <c r="F3608">
        <v>202208</v>
      </c>
      <c r="G3608" t="s">
        <v>182</v>
      </c>
      <c r="H3608">
        <v>84749</v>
      </c>
    </row>
    <row r="3609" spans="1:8">
      <c r="A3609">
        <v>5352</v>
      </c>
      <c r="B3609" t="s">
        <v>2625</v>
      </c>
      <c r="C3609">
        <v>5697</v>
      </c>
      <c r="D3609" t="s">
        <v>2344</v>
      </c>
      <c r="E3609" t="s">
        <v>2036</v>
      </c>
      <c r="F3609">
        <v>202208</v>
      </c>
      <c r="G3609" t="s">
        <v>184</v>
      </c>
      <c r="H3609">
        <v>13033</v>
      </c>
    </row>
    <row r="3610" spans="1:8">
      <c r="A3610">
        <v>5352</v>
      </c>
      <c r="B3610" t="s">
        <v>2625</v>
      </c>
      <c r="C3610">
        <v>5697</v>
      </c>
      <c r="D3610" t="s">
        <v>2344</v>
      </c>
      <c r="E3610" t="s">
        <v>2036</v>
      </c>
      <c r="F3610">
        <v>202208</v>
      </c>
      <c r="G3610" t="s">
        <v>192</v>
      </c>
      <c r="H3610">
        <v>0</v>
      </c>
    </row>
    <row r="3611" spans="1:8">
      <c r="A3611">
        <v>5352</v>
      </c>
      <c r="B3611" t="s">
        <v>2625</v>
      </c>
      <c r="C3611">
        <v>5697</v>
      </c>
      <c r="D3611" t="s">
        <v>2344</v>
      </c>
      <c r="E3611" t="s">
        <v>2036</v>
      </c>
      <c r="F3611">
        <v>202208</v>
      </c>
      <c r="G3611" t="s">
        <v>2170</v>
      </c>
      <c r="H3611">
        <v>1972.22</v>
      </c>
    </row>
    <row r="3612" spans="1:8">
      <c r="A3612">
        <v>5352</v>
      </c>
      <c r="B3612" t="s">
        <v>2625</v>
      </c>
      <c r="C3612">
        <v>5697</v>
      </c>
      <c r="D3612" t="s">
        <v>2344</v>
      </c>
      <c r="E3612" t="s">
        <v>2036</v>
      </c>
      <c r="F3612">
        <v>202208</v>
      </c>
      <c r="G3612" t="s">
        <v>186</v>
      </c>
      <c r="H3612">
        <v>0</v>
      </c>
    </row>
    <row r="3613" spans="1:8">
      <c r="A3613">
        <v>5352</v>
      </c>
      <c r="B3613" t="s">
        <v>2625</v>
      </c>
      <c r="C3613">
        <v>5697</v>
      </c>
      <c r="D3613" t="s">
        <v>2344</v>
      </c>
      <c r="E3613" t="s">
        <v>2036</v>
      </c>
      <c r="F3613">
        <v>202208</v>
      </c>
      <c r="G3613" t="s">
        <v>2169</v>
      </c>
      <c r="H3613">
        <v>182.65</v>
      </c>
    </row>
    <row r="3614" spans="1:8">
      <c r="A3614">
        <v>5352</v>
      </c>
      <c r="B3614" t="s">
        <v>2625</v>
      </c>
      <c r="C3614">
        <v>5697</v>
      </c>
      <c r="D3614" t="s">
        <v>2344</v>
      </c>
      <c r="E3614" t="s">
        <v>2036</v>
      </c>
      <c r="F3614">
        <v>202208</v>
      </c>
      <c r="G3614" t="s">
        <v>2166</v>
      </c>
      <c r="H3614">
        <v>11.83</v>
      </c>
    </row>
    <row r="3615" spans="1:8">
      <c r="A3615">
        <v>5352</v>
      </c>
      <c r="B3615" t="s">
        <v>2625</v>
      </c>
      <c r="C3615">
        <v>5697</v>
      </c>
      <c r="D3615" t="s">
        <v>2344</v>
      </c>
      <c r="E3615" t="s">
        <v>2036</v>
      </c>
      <c r="F3615">
        <v>202208</v>
      </c>
      <c r="G3615" t="s">
        <v>2167</v>
      </c>
      <c r="H3615">
        <v>21.22</v>
      </c>
    </row>
    <row r="3616" spans="1:8">
      <c r="A3616">
        <v>5352</v>
      </c>
      <c r="B3616" t="s">
        <v>2625</v>
      </c>
      <c r="C3616">
        <v>5697</v>
      </c>
      <c r="D3616" t="s">
        <v>2344</v>
      </c>
      <c r="E3616" t="s">
        <v>2036</v>
      </c>
      <c r="F3616">
        <v>202208</v>
      </c>
      <c r="G3616" t="s">
        <v>2168</v>
      </c>
      <c r="H3616">
        <v>14.37</v>
      </c>
    </row>
    <row r="3617" spans="1:8">
      <c r="A3617">
        <v>5352</v>
      </c>
      <c r="B3617" t="s">
        <v>2625</v>
      </c>
      <c r="C3617">
        <v>5697</v>
      </c>
      <c r="D3617" t="s">
        <v>2344</v>
      </c>
      <c r="E3617" t="s">
        <v>2036</v>
      </c>
      <c r="F3617">
        <v>202208</v>
      </c>
      <c r="G3617" t="s">
        <v>2171</v>
      </c>
      <c r="H3617">
        <v>39365.910000000003</v>
      </c>
    </row>
    <row r="3618" spans="1:8">
      <c r="A3618">
        <v>5352</v>
      </c>
      <c r="B3618" t="s">
        <v>2625</v>
      </c>
      <c r="C3618">
        <v>5697</v>
      </c>
      <c r="D3618" t="s">
        <v>2344</v>
      </c>
      <c r="E3618" t="s">
        <v>2036</v>
      </c>
      <c r="F3618">
        <v>202208</v>
      </c>
      <c r="G3618" t="s">
        <v>190</v>
      </c>
      <c r="H3618">
        <v>207176</v>
      </c>
    </row>
    <row r="3619" spans="1:8">
      <c r="A3619">
        <v>5352</v>
      </c>
      <c r="B3619" t="s">
        <v>2625</v>
      </c>
      <c r="C3619">
        <v>5697</v>
      </c>
      <c r="D3619" t="s">
        <v>2344</v>
      </c>
      <c r="E3619" t="s">
        <v>2036</v>
      </c>
      <c r="F3619">
        <v>202208</v>
      </c>
      <c r="G3619" t="s">
        <v>191</v>
      </c>
      <c r="H3619">
        <v>31197</v>
      </c>
    </row>
    <row r="3620" spans="1:8">
      <c r="A3620">
        <v>5352</v>
      </c>
      <c r="B3620" t="s">
        <v>2625</v>
      </c>
      <c r="C3620">
        <v>5697</v>
      </c>
      <c r="D3620" t="s">
        <v>2344</v>
      </c>
      <c r="E3620" t="s">
        <v>2036</v>
      </c>
      <c r="F3620">
        <v>202208</v>
      </c>
      <c r="G3620" t="s">
        <v>176</v>
      </c>
      <c r="H3620">
        <v>-2592.5</v>
      </c>
    </row>
    <row r="3621" spans="1:8">
      <c r="A3621">
        <v>5352</v>
      </c>
      <c r="B3621" t="s">
        <v>2625</v>
      </c>
      <c r="C3621">
        <v>5697</v>
      </c>
      <c r="D3621" t="s">
        <v>2344</v>
      </c>
      <c r="E3621" t="s">
        <v>2036</v>
      </c>
      <c r="F3621">
        <v>202208</v>
      </c>
      <c r="G3621" t="s">
        <v>178</v>
      </c>
      <c r="H3621">
        <v>700</v>
      </c>
    </row>
    <row r="3622" spans="1:8">
      <c r="A3622">
        <v>5352</v>
      </c>
      <c r="B3622" t="s">
        <v>2625</v>
      </c>
      <c r="C3622">
        <v>5697</v>
      </c>
      <c r="D3622" t="s">
        <v>2344</v>
      </c>
      <c r="E3622" t="s">
        <v>2036</v>
      </c>
      <c r="F3622">
        <v>202208</v>
      </c>
      <c r="G3622" t="s">
        <v>180</v>
      </c>
      <c r="H3622">
        <v>612.28</v>
      </c>
    </row>
    <row r="3623" spans="1:8">
      <c r="A3623">
        <v>5352</v>
      </c>
      <c r="B3623" t="s">
        <v>2625</v>
      </c>
      <c r="C3623">
        <v>5697</v>
      </c>
      <c r="D3623" t="s">
        <v>2344</v>
      </c>
      <c r="E3623" t="s">
        <v>2036</v>
      </c>
      <c r="F3623">
        <v>202208</v>
      </c>
      <c r="G3623" t="s">
        <v>182</v>
      </c>
      <c r="H3623">
        <v>207176</v>
      </c>
    </row>
    <row r="3624" spans="1:8">
      <c r="A3624">
        <v>5352</v>
      </c>
      <c r="B3624" t="s">
        <v>2625</v>
      </c>
      <c r="C3624">
        <v>5697</v>
      </c>
      <c r="D3624" t="s">
        <v>2344</v>
      </c>
      <c r="E3624" t="s">
        <v>2036</v>
      </c>
      <c r="F3624">
        <v>202208</v>
      </c>
      <c r="G3624" t="s">
        <v>184</v>
      </c>
      <c r="H3624">
        <v>31197</v>
      </c>
    </row>
    <row r="3625" spans="1:8">
      <c r="A3625">
        <v>5352</v>
      </c>
      <c r="B3625" t="s">
        <v>2625</v>
      </c>
      <c r="C3625">
        <v>5697</v>
      </c>
      <c r="D3625" t="s">
        <v>2344</v>
      </c>
      <c r="E3625" t="s">
        <v>2036</v>
      </c>
      <c r="F3625">
        <v>202208</v>
      </c>
      <c r="G3625" t="s">
        <v>192</v>
      </c>
      <c r="H3625">
        <v>0</v>
      </c>
    </row>
    <row r="3626" spans="1:8">
      <c r="A3626">
        <v>5352</v>
      </c>
      <c r="B3626" t="s">
        <v>2625</v>
      </c>
      <c r="C3626">
        <v>5697</v>
      </c>
      <c r="D3626" t="s">
        <v>2344</v>
      </c>
      <c r="E3626" t="s">
        <v>2036</v>
      </c>
      <c r="F3626">
        <v>202208</v>
      </c>
      <c r="G3626" t="s">
        <v>2170</v>
      </c>
      <c r="H3626">
        <v>3599.01</v>
      </c>
    </row>
    <row r="3627" spans="1:8">
      <c r="A3627">
        <v>5352</v>
      </c>
      <c r="B3627" t="s">
        <v>2625</v>
      </c>
      <c r="C3627">
        <v>5697</v>
      </c>
      <c r="D3627" t="s">
        <v>2344</v>
      </c>
      <c r="E3627" t="s">
        <v>2036</v>
      </c>
      <c r="F3627">
        <v>202208</v>
      </c>
      <c r="G3627" t="s">
        <v>186</v>
      </c>
      <c r="H3627">
        <v>0</v>
      </c>
    </row>
    <row r="3628" spans="1:8">
      <c r="A3628">
        <v>5352</v>
      </c>
      <c r="B3628" t="s">
        <v>2625</v>
      </c>
      <c r="C3628">
        <v>5697</v>
      </c>
      <c r="D3628" t="s">
        <v>2344</v>
      </c>
      <c r="E3628" t="s">
        <v>2036</v>
      </c>
      <c r="F3628">
        <v>202208</v>
      </c>
      <c r="G3628" t="s">
        <v>2169</v>
      </c>
      <c r="H3628">
        <v>182.65</v>
      </c>
    </row>
    <row r="3629" spans="1:8">
      <c r="A3629">
        <v>5352</v>
      </c>
      <c r="B3629" t="s">
        <v>2625</v>
      </c>
      <c r="C3629">
        <v>5697</v>
      </c>
      <c r="D3629" t="s">
        <v>2344</v>
      </c>
      <c r="E3629" t="s">
        <v>2036</v>
      </c>
      <c r="F3629">
        <v>202208</v>
      </c>
      <c r="G3629" t="s">
        <v>2166</v>
      </c>
      <c r="H3629">
        <v>11.83</v>
      </c>
    </row>
    <row r="3630" spans="1:8">
      <c r="A3630">
        <v>5352</v>
      </c>
      <c r="B3630" t="s">
        <v>2625</v>
      </c>
      <c r="C3630">
        <v>5697</v>
      </c>
      <c r="D3630" t="s">
        <v>2344</v>
      </c>
      <c r="E3630" t="s">
        <v>2036</v>
      </c>
      <c r="F3630">
        <v>202208</v>
      </c>
      <c r="G3630" t="s">
        <v>2167</v>
      </c>
      <c r="H3630">
        <v>21.22</v>
      </c>
    </row>
    <row r="3631" spans="1:8">
      <c r="A3631">
        <v>5352</v>
      </c>
      <c r="B3631" t="s">
        <v>2625</v>
      </c>
      <c r="C3631">
        <v>5697</v>
      </c>
      <c r="D3631" t="s">
        <v>2344</v>
      </c>
      <c r="E3631" t="s">
        <v>2036</v>
      </c>
      <c r="F3631">
        <v>202208</v>
      </c>
      <c r="G3631" t="s">
        <v>2168</v>
      </c>
      <c r="H3631">
        <v>14.37</v>
      </c>
    </row>
    <row r="3632" spans="1:8">
      <c r="A3632">
        <v>5352</v>
      </c>
      <c r="B3632" t="s">
        <v>2625</v>
      </c>
      <c r="C3632">
        <v>5697</v>
      </c>
      <c r="D3632" t="s">
        <v>2344</v>
      </c>
      <c r="E3632" t="s">
        <v>2036</v>
      </c>
      <c r="F3632">
        <v>202208</v>
      </c>
      <c r="G3632" t="s">
        <v>2171</v>
      </c>
      <c r="H3632">
        <v>69244.320000000007</v>
      </c>
    </row>
    <row r="3633" spans="1:8">
      <c r="A3633">
        <v>5352</v>
      </c>
      <c r="B3633" t="s">
        <v>2625</v>
      </c>
      <c r="C3633">
        <v>5697</v>
      </c>
      <c r="D3633" t="s">
        <v>2344</v>
      </c>
      <c r="E3633" t="s">
        <v>2036</v>
      </c>
      <c r="F3633">
        <v>202208</v>
      </c>
      <c r="G3633" t="s">
        <v>190</v>
      </c>
      <c r="H3633">
        <v>843414</v>
      </c>
    </row>
    <row r="3634" spans="1:8">
      <c r="A3634">
        <v>5352</v>
      </c>
      <c r="B3634" t="s">
        <v>2625</v>
      </c>
      <c r="C3634">
        <v>5697</v>
      </c>
      <c r="D3634" t="s">
        <v>2344</v>
      </c>
      <c r="E3634" t="s">
        <v>2036</v>
      </c>
      <c r="F3634">
        <v>202208</v>
      </c>
      <c r="G3634" t="s">
        <v>191</v>
      </c>
      <c r="H3634">
        <v>134662</v>
      </c>
    </row>
    <row r="3635" spans="1:8">
      <c r="A3635">
        <v>5352</v>
      </c>
      <c r="B3635" t="s">
        <v>2625</v>
      </c>
      <c r="C3635">
        <v>5697</v>
      </c>
      <c r="D3635" t="s">
        <v>2344</v>
      </c>
      <c r="E3635" t="s">
        <v>2036</v>
      </c>
      <c r="F3635">
        <v>202208</v>
      </c>
      <c r="G3635" t="s">
        <v>176</v>
      </c>
      <c r="H3635">
        <v>0</v>
      </c>
    </row>
    <row r="3636" spans="1:8">
      <c r="A3636">
        <v>5352</v>
      </c>
      <c r="B3636" t="s">
        <v>2625</v>
      </c>
      <c r="C3636">
        <v>5697</v>
      </c>
      <c r="D3636" t="s">
        <v>2344</v>
      </c>
      <c r="E3636" t="s">
        <v>2036</v>
      </c>
      <c r="F3636">
        <v>202208</v>
      </c>
      <c r="G3636" t="s">
        <v>178</v>
      </c>
      <c r="H3636">
        <v>2750</v>
      </c>
    </row>
    <row r="3637" spans="1:8">
      <c r="A3637">
        <v>5352</v>
      </c>
      <c r="B3637" t="s">
        <v>2625</v>
      </c>
      <c r="C3637">
        <v>5697</v>
      </c>
      <c r="D3637" t="s">
        <v>2344</v>
      </c>
      <c r="E3637" t="s">
        <v>2036</v>
      </c>
      <c r="F3637">
        <v>202208</v>
      </c>
      <c r="G3637" t="s">
        <v>180</v>
      </c>
      <c r="H3637">
        <v>2750</v>
      </c>
    </row>
    <row r="3638" spans="1:8">
      <c r="A3638">
        <v>5352</v>
      </c>
      <c r="B3638" t="s">
        <v>2625</v>
      </c>
      <c r="C3638">
        <v>5697</v>
      </c>
      <c r="D3638" t="s">
        <v>2344</v>
      </c>
      <c r="E3638" t="s">
        <v>2036</v>
      </c>
      <c r="F3638">
        <v>202208</v>
      </c>
      <c r="G3638" t="s">
        <v>182</v>
      </c>
      <c r="H3638">
        <v>918156</v>
      </c>
    </row>
    <row r="3639" spans="1:8">
      <c r="A3639">
        <v>5352</v>
      </c>
      <c r="B3639" t="s">
        <v>2625</v>
      </c>
      <c r="C3639">
        <v>5697</v>
      </c>
      <c r="D3639" t="s">
        <v>2344</v>
      </c>
      <c r="E3639" t="s">
        <v>2036</v>
      </c>
      <c r="F3639">
        <v>202208</v>
      </c>
      <c r="G3639" t="s">
        <v>184</v>
      </c>
      <c r="H3639">
        <v>134662</v>
      </c>
    </row>
    <row r="3640" spans="1:8">
      <c r="A3640">
        <v>5352</v>
      </c>
      <c r="B3640" t="s">
        <v>2625</v>
      </c>
      <c r="C3640">
        <v>5697</v>
      </c>
      <c r="D3640" t="s">
        <v>2344</v>
      </c>
      <c r="E3640" t="s">
        <v>2036</v>
      </c>
      <c r="F3640">
        <v>202208</v>
      </c>
      <c r="G3640" t="s">
        <v>192</v>
      </c>
      <c r="H3640">
        <v>0</v>
      </c>
    </row>
    <row r="3641" spans="1:8">
      <c r="A3641">
        <v>5352</v>
      </c>
      <c r="B3641" t="s">
        <v>2625</v>
      </c>
      <c r="C3641">
        <v>5697</v>
      </c>
      <c r="D3641" t="s">
        <v>2344</v>
      </c>
      <c r="E3641" t="s">
        <v>2036</v>
      </c>
      <c r="F3641">
        <v>202208</v>
      </c>
      <c r="G3641" t="s">
        <v>2170</v>
      </c>
      <c r="H3641">
        <v>15010.75</v>
      </c>
    </row>
    <row r="3642" spans="1:8">
      <c r="A3642">
        <v>5352</v>
      </c>
      <c r="B3642" t="s">
        <v>2625</v>
      </c>
      <c r="C3642">
        <v>5697</v>
      </c>
      <c r="D3642" t="s">
        <v>2344</v>
      </c>
      <c r="E3642" t="s">
        <v>2036</v>
      </c>
      <c r="F3642">
        <v>202208</v>
      </c>
      <c r="G3642" t="s">
        <v>186</v>
      </c>
      <c r="H3642">
        <v>74742</v>
      </c>
    </row>
    <row r="3643" spans="1:8">
      <c r="A3643">
        <v>5352</v>
      </c>
      <c r="B3643" t="s">
        <v>2625</v>
      </c>
      <c r="C3643">
        <v>5697</v>
      </c>
      <c r="D3643" t="s">
        <v>2344</v>
      </c>
      <c r="E3643" t="s">
        <v>2036</v>
      </c>
      <c r="F3643">
        <v>202208</v>
      </c>
      <c r="G3643" t="s">
        <v>2169</v>
      </c>
      <c r="H3643">
        <v>182.65</v>
      </c>
    </row>
    <row r="3644" spans="1:8">
      <c r="A3644">
        <v>5352</v>
      </c>
      <c r="B3644" t="s">
        <v>2625</v>
      </c>
      <c r="C3644">
        <v>5697</v>
      </c>
      <c r="D3644" t="s">
        <v>2344</v>
      </c>
      <c r="E3644" t="s">
        <v>2036</v>
      </c>
      <c r="F3644">
        <v>202208</v>
      </c>
      <c r="G3644" t="s">
        <v>2166</v>
      </c>
      <c r="H3644">
        <v>11.83</v>
      </c>
    </row>
    <row r="3645" spans="1:8">
      <c r="A3645">
        <v>5352</v>
      </c>
      <c r="B3645" t="s">
        <v>2625</v>
      </c>
      <c r="C3645">
        <v>5697</v>
      </c>
      <c r="D3645" t="s">
        <v>2344</v>
      </c>
      <c r="E3645" t="s">
        <v>2036</v>
      </c>
      <c r="F3645">
        <v>202208</v>
      </c>
      <c r="G3645" t="s">
        <v>2167</v>
      </c>
      <c r="H3645">
        <v>21.22</v>
      </c>
    </row>
    <row r="3646" spans="1:8">
      <c r="A3646">
        <v>5352</v>
      </c>
      <c r="B3646" t="s">
        <v>2625</v>
      </c>
      <c r="C3646">
        <v>5697</v>
      </c>
      <c r="D3646" t="s">
        <v>2344</v>
      </c>
      <c r="E3646" t="s">
        <v>2036</v>
      </c>
      <c r="F3646">
        <v>202208</v>
      </c>
      <c r="G3646" t="s">
        <v>2168</v>
      </c>
      <c r="H3646">
        <v>14.37</v>
      </c>
    </row>
    <row r="3647" spans="1:8">
      <c r="A3647">
        <v>5352</v>
      </c>
      <c r="B3647" t="s">
        <v>2625</v>
      </c>
      <c r="C3647">
        <v>5697</v>
      </c>
      <c r="D3647" t="s">
        <v>2344</v>
      </c>
      <c r="E3647" t="s">
        <v>2036</v>
      </c>
      <c r="F3647">
        <v>202208</v>
      </c>
      <c r="G3647" t="s">
        <v>2171</v>
      </c>
      <c r="H3647">
        <v>299675.81</v>
      </c>
    </row>
    <row r="3648" spans="1:8">
      <c r="A3648">
        <v>5352</v>
      </c>
      <c r="B3648" t="s">
        <v>2625</v>
      </c>
      <c r="C3648">
        <v>5697</v>
      </c>
      <c r="D3648" t="s">
        <v>2344</v>
      </c>
      <c r="E3648" t="s">
        <v>2036</v>
      </c>
      <c r="F3648">
        <v>202208</v>
      </c>
      <c r="G3648" t="s">
        <v>190</v>
      </c>
      <c r="H3648">
        <v>174118</v>
      </c>
    </row>
    <row r="3649" spans="1:8">
      <c r="A3649">
        <v>5352</v>
      </c>
      <c r="B3649" t="s">
        <v>2625</v>
      </c>
      <c r="C3649">
        <v>5697</v>
      </c>
      <c r="D3649" t="s">
        <v>2344</v>
      </c>
      <c r="E3649" t="s">
        <v>2036</v>
      </c>
      <c r="F3649">
        <v>202208</v>
      </c>
      <c r="G3649" t="s">
        <v>191</v>
      </c>
      <c r="H3649">
        <v>23541</v>
      </c>
    </row>
    <row r="3650" spans="1:8">
      <c r="A3650">
        <v>5352</v>
      </c>
      <c r="B3650" t="s">
        <v>2625</v>
      </c>
      <c r="C3650">
        <v>5697</v>
      </c>
      <c r="D3650" t="s">
        <v>2344</v>
      </c>
      <c r="E3650" t="s">
        <v>2036</v>
      </c>
      <c r="F3650">
        <v>202208</v>
      </c>
      <c r="G3650" t="s">
        <v>176</v>
      </c>
      <c r="H3650">
        <v>0</v>
      </c>
    </row>
    <row r="3651" spans="1:8">
      <c r="A3651">
        <v>5352</v>
      </c>
      <c r="B3651" t="s">
        <v>2625</v>
      </c>
      <c r="C3651">
        <v>5697</v>
      </c>
      <c r="D3651" t="s">
        <v>2344</v>
      </c>
      <c r="E3651" t="s">
        <v>2036</v>
      </c>
      <c r="F3651">
        <v>202208</v>
      </c>
      <c r="G3651" t="s">
        <v>178</v>
      </c>
      <c r="H3651">
        <v>600</v>
      </c>
    </row>
    <row r="3652" spans="1:8">
      <c r="A3652">
        <v>5352</v>
      </c>
      <c r="B3652" t="s">
        <v>2625</v>
      </c>
      <c r="C3652">
        <v>5697</v>
      </c>
      <c r="D3652" t="s">
        <v>2344</v>
      </c>
      <c r="E3652" t="s">
        <v>2036</v>
      </c>
      <c r="F3652">
        <v>202208</v>
      </c>
      <c r="G3652" t="s">
        <v>180</v>
      </c>
      <c r="H3652">
        <v>600</v>
      </c>
    </row>
    <row r="3653" spans="1:8">
      <c r="A3653">
        <v>5352</v>
      </c>
      <c r="B3653" t="s">
        <v>2625</v>
      </c>
      <c r="C3653">
        <v>5697</v>
      </c>
      <c r="D3653" t="s">
        <v>2344</v>
      </c>
      <c r="E3653" t="s">
        <v>2036</v>
      </c>
      <c r="F3653">
        <v>202208</v>
      </c>
      <c r="G3653" t="s">
        <v>182</v>
      </c>
      <c r="H3653">
        <v>174118</v>
      </c>
    </row>
    <row r="3654" spans="1:8">
      <c r="A3654">
        <v>5352</v>
      </c>
      <c r="B3654" t="s">
        <v>2625</v>
      </c>
      <c r="C3654">
        <v>5697</v>
      </c>
      <c r="D3654" t="s">
        <v>2344</v>
      </c>
      <c r="E3654" t="s">
        <v>2036</v>
      </c>
      <c r="F3654">
        <v>202208</v>
      </c>
      <c r="G3654" t="s">
        <v>184</v>
      </c>
      <c r="H3654">
        <v>23541</v>
      </c>
    </row>
    <row r="3655" spans="1:8">
      <c r="A3655">
        <v>5352</v>
      </c>
      <c r="B3655" t="s">
        <v>2625</v>
      </c>
      <c r="C3655">
        <v>5697</v>
      </c>
      <c r="D3655" t="s">
        <v>2344</v>
      </c>
      <c r="E3655" t="s">
        <v>2036</v>
      </c>
      <c r="F3655">
        <v>202208</v>
      </c>
      <c r="G3655" t="s">
        <v>192</v>
      </c>
      <c r="H3655">
        <v>0</v>
      </c>
    </row>
    <row r="3656" spans="1:8">
      <c r="A3656">
        <v>5352</v>
      </c>
      <c r="B3656" t="s">
        <v>2625</v>
      </c>
      <c r="C3656">
        <v>5697</v>
      </c>
      <c r="D3656" t="s">
        <v>2344</v>
      </c>
      <c r="E3656" t="s">
        <v>2036</v>
      </c>
      <c r="F3656">
        <v>202208</v>
      </c>
      <c r="G3656" t="s">
        <v>2170</v>
      </c>
      <c r="H3656">
        <v>3099.8</v>
      </c>
    </row>
    <row r="3657" spans="1:8">
      <c r="A3657">
        <v>5352</v>
      </c>
      <c r="B3657" t="s">
        <v>2625</v>
      </c>
      <c r="C3657">
        <v>5697</v>
      </c>
      <c r="D3657" t="s">
        <v>2344</v>
      </c>
      <c r="E3657" t="s">
        <v>2036</v>
      </c>
      <c r="F3657">
        <v>202208</v>
      </c>
      <c r="G3657" t="s">
        <v>186</v>
      </c>
      <c r="H3657">
        <v>0</v>
      </c>
    </row>
    <row r="3658" spans="1:8">
      <c r="A3658">
        <v>5352</v>
      </c>
      <c r="B3658" t="s">
        <v>2625</v>
      </c>
      <c r="C3658">
        <v>5697</v>
      </c>
      <c r="D3658" t="s">
        <v>2344</v>
      </c>
      <c r="E3658" t="s">
        <v>2036</v>
      </c>
      <c r="F3658">
        <v>202208</v>
      </c>
      <c r="G3658" t="s">
        <v>2169</v>
      </c>
      <c r="H3658">
        <v>182.65</v>
      </c>
    </row>
    <row r="3659" spans="1:8">
      <c r="A3659">
        <v>5352</v>
      </c>
      <c r="B3659" t="s">
        <v>2625</v>
      </c>
      <c r="C3659">
        <v>5697</v>
      </c>
      <c r="D3659" t="s">
        <v>2344</v>
      </c>
      <c r="E3659" t="s">
        <v>2036</v>
      </c>
      <c r="F3659">
        <v>202208</v>
      </c>
      <c r="G3659" t="s">
        <v>2166</v>
      </c>
      <c r="H3659">
        <v>11.83</v>
      </c>
    </row>
    <row r="3660" spans="1:8">
      <c r="A3660">
        <v>5352</v>
      </c>
      <c r="B3660" t="s">
        <v>2625</v>
      </c>
      <c r="C3660">
        <v>5697</v>
      </c>
      <c r="D3660" t="s">
        <v>2344</v>
      </c>
      <c r="E3660" t="s">
        <v>2036</v>
      </c>
      <c r="F3660">
        <v>202208</v>
      </c>
      <c r="G3660" t="s">
        <v>2167</v>
      </c>
      <c r="H3660">
        <v>21.22</v>
      </c>
    </row>
    <row r="3661" spans="1:8">
      <c r="A3661">
        <v>5352</v>
      </c>
      <c r="B3661" t="s">
        <v>2625</v>
      </c>
      <c r="C3661">
        <v>5697</v>
      </c>
      <c r="D3661" t="s">
        <v>2344</v>
      </c>
      <c r="E3661" t="s">
        <v>2036</v>
      </c>
      <c r="F3661">
        <v>202208</v>
      </c>
      <c r="G3661" t="s">
        <v>2168</v>
      </c>
      <c r="H3661">
        <v>14.37</v>
      </c>
    </row>
    <row r="3662" spans="1:8">
      <c r="A3662">
        <v>5352</v>
      </c>
      <c r="B3662" t="s">
        <v>2625</v>
      </c>
      <c r="C3662">
        <v>5697</v>
      </c>
      <c r="D3662" t="s">
        <v>2344</v>
      </c>
      <c r="E3662" t="s">
        <v>2036</v>
      </c>
      <c r="F3662">
        <v>202208</v>
      </c>
      <c r="G3662" t="s">
        <v>2171</v>
      </c>
      <c r="H3662">
        <v>61872.56</v>
      </c>
    </row>
    <row r="3663" spans="1:8">
      <c r="A3663">
        <v>5352</v>
      </c>
      <c r="B3663" t="s">
        <v>2625</v>
      </c>
      <c r="C3663">
        <v>5697</v>
      </c>
      <c r="D3663" t="s">
        <v>2344</v>
      </c>
      <c r="E3663" t="s">
        <v>2036</v>
      </c>
      <c r="F3663">
        <v>202208</v>
      </c>
      <c r="G3663" t="s">
        <v>190</v>
      </c>
      <c r="H3663">
        <v>178277</v>
      </c>
    </row>
    <row r="3664" spans="1:8">
      <c r="A3664">
        <v>5352</v>
      </c>
      <c r="B3664" t="s">
        <v>2625</v>
      </c>
      <c r="C3664">
        <v>5697</v>
      </c>
      <c r="D3664" t="s">
        <v>2344</v>
      </c>
      <c r="E3664" t="s">
        <v>2036</v>
      </c>
      <c r="F3664">
        <v>202208</v>
      </c>
      <c r="G3664" t="s">
        <v>191</v>
      </c>
      <c r="H3664">
        <v>28572</v>
      </c>
    </row>
    <row r="3665" spans="1:8">
      <c r="A3665">
        <v>5352</v>
      </c>
      <c r="B3665" t="s">
        <v>2625</v>
      </c>
      <c r="C3665">
        <v>5697</v>
      </c>
      <c r="D3665" t="s">
        <v>2344</v>
      </c>
      <c r="E3665" t="s">
        <v>2036</v>
      </c>
      <c r="F3665">
        <v>202208</v>
      </c>
      <c r="G3665" t="s">
        <v>176</v>
      </c>
      <c r="H3665">
        <v>0</v>
      </c>
    </row>
    <row r="3666" spans="1:8">
      <c r="A3666">
        <v>5352</v>
      </c>
      <c r="B3666" t="s">
        <v>2625</v>
      </c>
      <c r="C3666">
        <v>5697</v>
      </c>
      <c r="D3666" t="s">
        <v>2344</v>
      </c>
      <c r="E3666" t="s">
        <v>2036</v>
      </c>
      <c r="F3666">
        <v>202208</v>
      </c>
      <c r="G3666" t="s">
        <v>178</v>
      </c>
      <c r="H3666">
        <v>1300</v>
      </c>
    </row>
    <row r="3667" spans="1:8">
      <c r="A3667">
        <v>5352</v>
      </c>
      <c r="B3667" t="s">
        <v>2625</v>
      </c>
      <c r="C3667">
        <v>5697</v>
      </c>
      <c r="D3667" t="s">
        <v>2344</v>
      </c>
      <c r="E3667" t="s">
        <v>2036</v>
      </c>
      <c r="F3667">
        <v>202208</v>
      </c>
      <c r="G3667" t="s">
        <v>180</v>
      </c>
      <c r="H3667">
        <v>1350</v>
      </c>
    </row>
    <row r="3668" spans="1:8">
      <c r="A3668">
        <v>5352</v>
      </c>
      <c r="B3668" t="s">
        <v>2625</v>
      </c>
      <c r="C3668">
        <v>5697</v>
      </c>
      <c r="D3668" t="s">
        <v>2344</v>
      </c>
      <c r="E3668" t="s">
        <v>2036</v>
      </c>
      <c r="F3668">
        <v>202208</v>
      </c>
      <c r="G3668" t="s">
        <v>182</v>
      </c>
      <c r="H3668">
        <v>178277</v>
      </c>
    </row>
    <row r="3669" spans="1:8">
      <c r="A3669">
        <v>5352</v>
      </c>
      <c r="B3669" t="s">
        <v>2625</v>
      </c>
      <c r="C3669">
        <v>5697</v>
      </c>
      <c r="D3669" t="s">
        <v>2344</v>
      </c>
      <c r="E3669" t="s">
        <v>2036</v>
      </c>
      <c r="F3669">
        <v>202208</v>
      </c>
      <c r="G3669" t="s">
        <v>184</v>
      </c>
      <c r="H3669">
        <v>28572</v>
      </c>
    </row>
    <row r="3670" spans="1:8">
      <c r="A3670">
        <v>5352</v>
      </c>
      <c r="B3670" t="s">
        <v>2625</v>
      </c>
      <c r="C3670">
        <v>5697</v>
      </c>
      <c r="D3670" t="s">
        <v>2344</v>
      </c>
      <c r="E3670" t="s">
        <v>2036</v>
      </c>
      <c r="F3670">
        <v>202208</v>
      </c>
      <c r="G3670" t="s">
        <v>192</v>
      </c>
      <c r="H3670">
        <v>0</v>
      </c>
    </row>
    <row r="3671" spans="1:8">
      <c r="A3671">
        <v>5352</v>
      </c>
      <c r="B3671" t="s">
        <v>2625</v>
      </c>
      <c r="C3671">
        <v>5697</v>
      </c>
      <c r="D3671" t="s">
        <v>2344</v>
      </c>
      <c r="E3671" t="s">
        <v>2036</v>
      </c>
      <c r="F3671">
        <v>202208</v>
      </c>
      <c r="G3671" t="s">
        <v>2170</v>
      </c>
      <c r="H3671">
        <v>4471.47</v>
      </c>
    </row>
    <row r="3672" spans="1:8">
      <c r="A3672">
        <v>5352</v>
      </c>
      <c r="B3672" t="s">
        <v>2625</v>
      </c>
      <c r="C3672">
        <v>5697</v>
      </c>
      <c r="D3672" t="s">
        <v>2344</v>
      </c>
      <c r="E3672" t="s">
        <v>2036</v>
      </c>
      <c r="F3672">
        <v>202208</v>
      </c>
      <c r="G3672" t="s">
        <v>186</v>
      </c>
      <c r="H3672">
        <v>0</v>
      </c>
    </row>
    <row r="3673" spans="1:8">
      <c r="A3673">
        <v>5352</v>
      </c>
      <c r="B3673" t="s">
        <v>2625</v>
      </c>
      <c r="C3673">
        <v>5697</v>
      </c>
      <c r="D3673" t="s">
        <v>2344</v>
      </c>
      <c r="E3673" t="s">
        <v>2036</v>
      </c>
      <c r="F3673">
        <v>202208</v>
      </c>
      <c r="G3673" t="s">
        <v>2169</v>
      </c>
      <c r="H3673">
        <v>182.65</v>
      </c>
    </row>
    <row r="3674" spans="1:8">
      <c r="A3674">
        <v>5352</v>
      </c>
      <c r="B3674" t="s">
        <v>2625</v>
      </c>
      <c r="C3674">
        <v>5697</v>
      </c>
      <c r="D3674" t="s">
        <v>2344</v>
      </c>
      <c r="E3674" t="s">
        <v>2036</v>
      </c>
      <c r="F3674">
        <v>202208</v>
      </c>
      <c r="G3674" t="s">
        <v>2166</v>
      </c>
      <c r="H3674">
        <v>11.83</v>
      </c>
    </row>
    <row r="3675" spans="1:8">
      <c r="A3675">
        <v>5352</v>
      </c>
      <c r="B3675" t="s">
        <v>2625</v>
      </c>
      <c r="C3675">
        <v>5697</v>
      </c>
      <c r="D3675" t="s">
        <v>2344</v>
      </c>
      <c r="E3675" t="s">
        <v>2036</v>
      </c>
      <c r="F3675">
        <v>202208</v>
      </c>
      <c r="G3675" t="s">
        <v>2167</v>
      </c>
      <c r="H3675">
        <v>21.22</v>
      </c>
    </row>
    <row r="3676" spans="1:8">
      <c r="A3676">
        <v>5352</v>
      </c>
      <c r="B3676" t="s">
        <v>2625</v>
      </c>
      <c r="C3676">
        <v>5697</v>
      </c>
      <c r="D3676" t="s">
        <v>2344</v>
      </c>
      <c r="E3676" t="s">
        <v>2036</v>
      </c>
      <c r="F3676">
        <v>202208</v>
      </c>
      <c r="G3676" t="s">
        <v>2168</v>
      </c>
      <c r="H3676">
        <v>14.37</v>
      </c>
    </row>
    <row r="3677" spans="1:8">
      <c r="A3677">
        <v>5352</v>
      </c>
      <c r="B3677" t="s">
        <v>2625</v>
      </c>
      <c r="C3677">
        <v>5697</v>
      </c>
      <c r="D3677" t="s">
        <v>2344</v>
      </c>
      <c r="E3677" t="s">
        <v>2036</v>
      </c>
      <c r="F3677">
        <v>202208</v>
      </c>
      <c r="G3677" t="s">
        <v>2171</v>
      </c>
      <c r="H3677">
        <v>89250.84</v>
      </c>
    </row>
    <row r="3678" spans="1:8">
      <c r="A3678">
        <v>5352</v>
      </c>
      <c r="B3678" t="s">
        <v>2625</v>
      </c>
      <c r="C3678">
        <v>5697</v>
      </c>
      <c r="D3678" t="s">
        <v>2344</v>
      </c>
      <c r="E3678" t="s">
        <v>2036</v>
      </c>
      <c r="F3678">
        <v>202208</v>
      </c>
      <c r="G3678" t="s">
        <v>190</v>
      </c>
      <c r="H3678">
        <v>183214</v>
      </c>
    </row>
    <row r="3679" spans="1:8">
      <c r="A3679">
        <v>5352</v>
      </c>
      <c r="B3679" t="s">
        <v>2625</v>
      </c>
      <c r="C3679">
        <v>5697</v>
      </c>
      <c r="D3679" t="s">
        <v>2344</v>
      </c>
      <c r="E3679" t="s">
        <v>2036</v>
      </c>
      <c r="F3679">
        <v>202208</v>
      </c>
      <c r="G3679" t="s">
        <v>191</v>
      </c>
      <c r="H3679">
        <v>29971</v>
      </c>
    </row>
    <row r="3680" spans="1:8">
      <c r="A3680">
        <v>5352</v>
      </c>
      <c r="B3680" t="s">
        <v>2625</v>
      </c>
      <c r="C3680">
        <v>5697</v>
      </c>
      <c r="D3680" t="s">
        <v>2344</v>
      </c>
      <c r="E3680" t="s">
        <v>2036</v>
      </c>
      <c r="F3680">
        <v>202208</v>
      </c>
      <c r="G3680" t="s">
        <v>176</v>
      </c>
      <c r="H3680">
        <v>0</v>
      </c>
    </row>
    <row r="3681" spans="1:8">
      <c r="A3681">
        <v>5352</v>
      </c>
      <c r="B3681" t="s">
        <v>2625</v>
      </c>
      <c r="C3681">
        <v>5697</v>
      </c>
      <c r="D3681" t="s">
        <v>2344</v>
      </c>
      <c r="E3681" t="s">
        <v>2036</v>
      </c>
      <c r="F3681">
        <v>202208</v>
      </c>
      <c r="G3681" t="s">
        <v>178</v>
      </c>
      <c r="H3681">
        <v>810</v>
      </c>
    </row>
    <row r="3682" spans="1:8">
      <c r="A3682">
        <v>5352</v>
      </c>
      <c r="B3682" t="s">
        <v>2625</v>
      </c>
      <c r="C3682">
        <v>5697</v>
      </c>
      <c r="D3682" t="s">
        <v>2344</v>
      </c>
      <c r="E3682" t="s">
        <v>2036</v>
      </c>
      <c r="F3682">
        <v>202208</v>
      </c>
      <c r="G3682" t="s">
        <v>180</v>
      </c>
      <c r="H3682">
        <v>930</v>
      </c>
    </row>
    <row r="3683" spans="1:8">
      <c r="A3683">
        <v>5352</v>
      </c>
      <c r="B3683" t="s">
        <v>2625</v>
      </c>
      <c r="C3683">
        <v>5697</v>
      </c>
      <c r="D3683" t="s">
        <v>2344</v>
      </c>
      <c r="E3683" t="s">
        <v>2036</v>
      </c>
      <c r="F3683">
        <v>202208</v>
      </c>
      <c r="G3683" t="s">
        <v>182</v>
      </c>
      <c r="H3683">
        <v>183214</v>
      </c>
    </row>
    <row r="3684" spans="1:8">
      <c r="A3684">
        <v>5352</v>
      </c>
      <c r="B3684" t="s">
        <v>2625</v>
      </c>
      <c r="C3684">
        <v>5697</v>
      </c>
      <c r="D3684" t="s">
        <v>2344</v>
      </c>
      <c r="E3684" t="s">
        <v>2036</v>
      </c>
      <c r="F3684">
        <v>202208</v>
      </c>
      <c r="G3684" t="s">
        <v>184</v>
      </c>
      <c r="H3684">
        <v>29971</v>
      </c>
    </row>
    <row r="3685" spans="1:8">
      <c r="A3685">
        <v>5352</v>
      </c>
      <c r="B3685" t="s">
        <v>2625</v>
      </c>
      <c r="C3685">
        <v>5697</v>
      </c>
      <c r="D3685" t="s">
        <v>2344</v>
      </c>
      <c r="E3685" t="s">
        <v>2036</v>
      </c>
      <c r="F3685">
        <v>202208</v>
      </c>
      <c r="G3685" t="s">
        <v>192</v>
      </c>
      <c r="H3685">
        <v>0</v>
      </c>
    </row>
    <row r="3686" spans="1:8">
      <c r="A3686">
        <v>5352</v>
      </c>
      <c r="B3686" t="s">
        <v>2625</v>
      </c>
      <c r="C3686">
        <v>5697</v>
      </c>
      <c r="D3686" t="s">
        <v>2344</v>
      </c>
      <c r="E3686" t="s">
        <v>2036</v>
      </c>
      <c r="F3686">
        <v>202208</v>
      </c>
      <c r="G3686" t="s">
        <v>2170</v>
      </c>
      <c r="H3686">
        <v>3761.51</v>
      </c>
    </row>
    <row r="3687" spans="1:8">
      <c r="A3687">
        <v>5352</v>
      </c>
      <c r="B3687" t="s">
        <v>2625</v>
      </c>
      <c r="C3687">
        <v>5697</v>
      </c>
      <c r="D3687" t="s">
        <v>2344</v>
      </c>
      <c r="E3687" t="s">
        <v>2036</v>
      </c>
      <c r="F3687">
        <v>202208</v>
      </c>
      <c r="G3687" t="s">
        <v>186</v>
      </c>
      <c r="H3687">
        <v>0</v>
      </c>
    </row>
    <row r="3688" spans="1:8">
      <c r="A3688">
        <v>5352</v>
      </c>
      <c r="B3688" t="s">
        <v>2625</v>
      </c>
      <c r="C3688">
        <v>5697</v>
      </c>
      <c r="D3688" t="s">
        <v>2344</v>
      </c>
      <c r="E3688" t="s">
        <v>2036</v>
      </c>
      <c r="F3688">
        <v>202208</v>
      </c>
      <c r="G3688" t="s">
        <v>2169</v>
      </c>
      <c r="H3688">
        <v>182.65</v>
      </c>
    </row>
    <row r="3689" spans="1:8">
      <c r="A3689">
        <v>5352</v>
      </c>
      <c r="B3689" t="s">
        <v>2625</v>
      </c>
      <c r="C3689">
        <v>5697</v>
      </c>
      <c r="D3689" t="s">
        <v>2344</v>
      </c>
      <c r="E3689" t="s">
        <v>2036</v>
      </c>
      <c r="F3689">
        <v>202208</v>
      </c>
      <c r="G3689" t="s">
        <v>2166</v>
      </c>
      <c r="H3689">
        <v>11.83</v>
      </c>
    </row>
    <row r="3690" spans="1:8">
      <c r="A3690">
        <v>5352</v>
      </c>
      <c r="B3690" t="s">
        <v>2625</v>
      </c>
      <c r="C3690">
        <v>5697</v>
      </c>
      <c r="D3690" t="s">
        <v>2344</v>
      </c>
      <c r="E3690" t="s">
        <v>2036</v>
      </c>
      <c r="F3690">
        <v>202208</v>
      </c>
      <c r="G3690" t="s">
        <v>2167</v>
      </c>
      <c r="H3690">
        <v>21.22</v>
      </c>
    </row>
    <row r="3691" spans="1:8">
      <c r="A3691">
        <v>5352</v>
      </c>
      <c r="B3691" t="s">
        <v>2625</v>
      </c>
      <c r="C3691">
        <v>5697</v>
      </c>
      <c r="D3691" t="s">
        <v>2344</v>
      </c>
      <c r="E3691" t="s">
        <v>2036</v>
      </c>
      <c r="F3691">
        <v>202208</v>
      </c>
      <c r="G3691" t="s">
        <v>2168</v>
      </c>
      <c r="H3691">
        <v>14.37</v>
      </c>
    </row>
    <row r="3692" spans="1:8">
      <c r="A3692">
        <v>5352</v>
      </c>
      <c r="B3692" t="s">
        <v>2625</v>
      </c>
      <c r="C3692">
        <v>5697</v>
      </c>
      <c r="D3692" t="s">
        <v>2344</v>
      </c>
      <c r="E3692" t="s">
        <v>2036</v>
      </c>
      <c r="F3692">
        <v>202208</v>
      </c>
      <c r="G3692" t="s">
        <v>2171</v>
      </c>
      <c r="H3692">
        <v>75080.100000000006</v>
      </c>
    </row>
    <row r="3693" spans="1:8">
      <c r="A3693">
        <v>5352</v>
      </c>
      <c r="B3693" t="s">
        <v>2625</v>
      </c>
      <c r="C3693">
        <v>5697</v>
      </c>
      <c r="D3693" t="s">
        <v>2344</v>
      </c>
      <c r="E3693" t="s">
        <v>2036</v>
      </c>
      <c r="F3693">
        <v>202208</v>
      </c>
      <c r="G3693" t="s">
        <v>190</v>
      </c>
      <c r="H3693">
        <v>56262</v>
      </c>
    </row>
    <row r="3694" spans="1:8">
      <c r="A3694">
        <v>5352</v>
      </c>
      <c r="B3694" t="s">
        <v>2625</v>
      </c>
      <c r="C3694">
        <v>5697</v>
      </c>
      <c r="D3694" t="s">
        <v>2344</v>
      </c>
      <c r="E3694" t="s">
        <v>2036</v>
      </c>
      <c r="F3694">
        <v>202208</v>
      </c>
      <c r="G3694" t="s">
        <v>191</v>
      </c>
      <c r="H3694">
        <v>9380</v>
      </c>
    </row>
    <row r="3695" spans="1:8">
      <c r="A3695">
        <v>5352</v>
      </c>
      <c r="B3695" t="s">
        <v>2625</v>
      </c>
      <c r="C3695">
        <v>5697</v>
      </c>
      <c r="D3695" t="s">
        <v>2344</v>
      </c>
      <c r="E3695" t="s">
        <v>2036</v>
      </c>
      <c r="F3695">
        <v>202208</v>
      </c>
      <c r="G3695" t="s">
        <v>176</v>
      </c>
      <c r="H3695">
        <v>0</v>
      </c>
    </row>
    <row r="3696" spans="1:8">
      <c r="A3696">
        <v>5352</v>
      </c>
      <c r="B3696" t="s">
        <v>2625</v>
      </c>
      <c r="C3696">
        <v>5697</v>
      </c>
      <c r="D3696" t="s">
        <v>2344</v>
      </c>
      <c r="E3696" t="s">
        <v>2036</v>
      </c>
      <c r="F3696">
        <v>202208</v>
      </c>
      <c r="G3696" t="s">
        <v>178</v>
      </c>
      <c r="H3696">
        <v>250</v>
      </c>
    </row>
    <row r="3697" spans="1:8">
      <c r="A3697">
        <v>5352</v>
      </c>
      <c r="B3697" t="s">
        <v>2625</v>
      </c>
      <c r="C3697">
        <v>5697</v>
      </c>
      <c r="D3697" t="s">
        <v>2344</v>
      </c>
      <c r="E3697" t="s">
        <v>2036</v>
      </c>
      <c r="F3697">
        <v>202208</v>
      </c>
      <c r="G3697" t="s">
        <v>180</v>
      </c>
      <c r="H3697">
        <v>250</v>
      </c>
    </row>
    <row r="3698" spans="1:8">
      <c r="A3698">
        <v>5352</v>
      </c>
      <c r="B3698" t="s">
        <v>2625</v>
      </c>
      <c r="C3698">
        <v>5697</v>
      </c>
      <c r="D3698" t="s">
        <v>2344</v>
      </c>
      <c r="E3698" t="s">
        <v>2036</v>
      </c>
      <c r="F3698">
        <v>202208</v>
      </c>
      <c r="G3698" t="s">
        <v>182</v>
      </c>
      <c r="H3698">
        <v>56262</v>
      </c>
    </row>
    <row r="3699" spans="1:8">
      <c r="A3699">
        <v>5352</v>
      </c>
      <c r="B3699" t="s">
        <v>2625</v>
      </c>
      <c r="C3699">
        <v>5697</v>
      </c>
      <c r="D3699" t="s">
        <v>2344</v>
      </c>
      <c r="E3699" t="s">
        <v>2036</v>
      </c>
      <c r="F3699">
        <v>202208</v>
      </c>
      <c r="G3699" t="s">
        <v>184</v>
      </c>
      <c r="H3699">
        <v>9380</v>
      </c>
    </row>
    <row r="3700" spans="1:8">
      <c r="A3700">
        <v>5352</v>
      </c>
      <c r="B3700" t="s">
        <v>2625</v>
      </c>
      <c r="C3700">
        <v>5697</v>
      </c>
      <c r="D3700" t="s">
        <v>2344</v>
      </c>
      <c r="E3700" t="s">
        <v>2036</v>
      </c>
      <c r="F3700">
        <v>202208</v>
      </c>
      <c r="G3700" t="s">
        <v>192</v>
      </c>
      <c r="H3700">
        <v>0</v>
      </c>
    </row>
    <row r="3701" spans="1:8">
      <c r="A3701">
        <v>5352</v>
      </c>
      <c r="B3701" t="s">
        <v>2625</v>
      </c>
      <c r="C3701">
        <v>5697</v>
      </c>
      <c r="D3701" t="s">
        <v>2344</v>
      </c>
      <c r="E3701" t="s">
        <v>2036</v>
      </c>
      <c r="F3701">
        <v>202208</v>
      </c>
      <c r="G3701" t="s">
        <v>2170</v>
      </c>
      <c r="H3701">
        <v>1117.8800000000001</v>
      </c>
    </row>
    <row r="3702" spans="1:8">
      <c r="A3702">
        <v>5352</v>
      </c>
      <c r="B3702" t="s">
        <v>2625</v>
      </c>
      <c r="C3702">
        <v>5697</v>
      </c>
      <c r="D3702" t="s">
        <v>2344</v>
      </c>
      <c r="E3702" t="s">
        <v>2036</v>
      </c>
      <c r="F3702">
        <v>202208</v>
      </c>
      <c r="G3702" t="s">
        <v>186</v>
      </c>
      <c r="H3702">
        <v>0</v>
      </c>
    </row>
    <row r="3703" spans="1:8">
      <c r="A3703">
        <v>5352</v>
      </c>
      <c r="B3703" t="s">
        <v>2625</v>
      </c>
      <c r="C3703">
        <v>5697</v>
      </c>
      <c r="D3703" t="s">
        <v>2344</v>
      </c>
      <c r="E3703" t="s">
        <v>2036</v>
      </c>
      <c r="F3703">
        <v>202208</v>
      </c>
      <c r="G3703" t="s">
        <v>2169</v>
      </c>
      <c r="H3703">
        <v>182.65</v>
      </c>
    </row>
    <row r="3704" spans="1:8">
      <c r="A3704">
        <v>5352</v>
      </c>
      <c r="B3704" t="s">
        <v>2625</v>
      </c>
      <c r="C3704">
        <v>5697</v>
      </c>
      <c r="D3704" t="s">
        <v>2344</v>
      </c>
      <c r="E3704" t="s">
        <v>2036</v>
      </c>
      <c r="F3704">
        <v>202208</v>
      </c>
      <c r="G3704" t="s">
        <v>2166</v>
      </c>
      <c r="H3704">
        <v>11.83</v>
      </c>
    </row>
    <row r="3705" spans="1:8">
      <c r="A3705">
        <v>5352</v>
      </c>
      <c r="B3705" t="s">
        <v>2625</v>
      </c>
      <c r="C3705">
        <v>5697</v>
      </c>
      <c r="D3705" t="s">
        <v>2344</v>
      </c>
      <c r="E3705" t="s">
        <v>2036</v>
      </c>
      <c r="F3705">
        <v>202208</v>
      </c>
      <c r="G3705" t="s">
        <v>2167</v>
      </c>
      <c r="H3705">
        <v>21.22</v>
      </c>
    </row>
    <row r="3706" spans="1:8">
      <c r="A3706">
        <v>5352</v>
      </c>
      <c r="B3706" t="s">
        <v>2625</v>
      </c>
      <c r="C3706">
        <v>5697</v>
      </c>
      <c r="D3706" t="s">
        <v>2344</v>
      </c>
      <c r="E3706" t="s">
        <v>2036</v>
      </c>
      <c r="F3706">
        <v>202208</v>
      </c>
      <c r="G3706" t="s">
        <v>2168</v>
      </c>
      <c r="H3706">
        <v>14.37</v>
      </c>
    </row>
    <row r="3707" spans="1:8">
      <c r="A3707">
        <v>5352</v>
      </c>
      <c r="B3707" t="s">
        <v>2625</v>
      </c>
      <c r="C3707">
        <v>5697</v>
      </c>
      <c r="D3707" t="s">
        <v>2344</v>
      </c>
      <c r="E3707" t="s">
        <v>2036</v>
      </c>
      <c r="F3707">
        <v>202208</v>
      </c>
      <c r="G3707" t="s">
        <v>2171</v>
      </c>
      <c r="H3707">
        <v>26178.639999999999</v>
      </c>
    </row>
    <row r="3708" spans="1:8">
      <c r="A3708">
        <v>5352</v>
      </c>
      <c r="B3708" t="s">
        <v>2625</v>
      </c>
      <c r="C3708">
        <v>5697</v>
      </c>
      <c r="D3708" t="s">
        <v>2344</v>
      </c>
      <c r="E3708" t="s">
        <v>2036</v>
      </c>
      <c r="F3708">
        <v>202208</v>
      </c>
      <c r="G3708" t="s">
        <v>190</v>
      </c>
      <c r="H3708">
        <v>184305</v>
      </c>
    </row>
    <row r="3709" spans="1:8">
      <c r="A3709">
        <v>5352</v>
      </c>
      <c r="B3709" t="s">
        <v>2625</v>
      </c>
      <c r="C3709">
        <v>5697</v>
      </c>
      <c r="D3709" t="s">
        <v>2344</v>
      </c>
      <c r="E3709" t="s">
        <v>2036</v>
      </c>
      <c r="F3709">
        <v>202208</v>
      </c>
      <c r="G3709" t="s">
        <v>191</v>
      </c>
      <c r="H3709">
        <v>28004</v>
      </c>
    </row>
    <row r="3710" spans="1:8">
      <c r="A3710">
        <v>5352</v>
      </c>
      <c r="B3710" t="s">
        <v>2625</v>
      </c>
      <c r="C3710">
        <v>5697</v>
      </c>
      <c r="D3710" t="s">
        <v>2344</v>
      </c>
      <c r="E3710" t="s">
        <v>2036</v>
      </c>
      <c r="F3710">
        <v>202208</v>
      </c>
      <c r="G3710" t="s">
        <v>176</v>
      </c>
      <c r="H3710">
        <v>-1538.98</v>
      </c>
    </row>
    <row r="3711" spans="1:8">
      <c r="A3711">
        <v>5352</v>
      </c>
      <c r="B3711" t="s">
        <v>2625</v>
      </c>
      <c r="C3711">
        <v>5697</v>
      </c>
      <c r="D3711" t="s">
        <v>2344</v>
      </c>
      <c r="E3711" t="s">
        <v>2036</v>
      </c>
      <c r="F3711">
        <v>202208</v>
      </c>
      <c r="G3711" t="s">
        <v>178</v>
      </c>
      <c r="H3711">
        <v>900</v>
      </c>
    </row>
    <row r="3712" spans="1:8">
      <c r="A3712">
        <v>5352</v>
      </c>
      <c r="B3712" t="s">
        <v>2625</v>
      </c>
      <c r="C3712">
        <v>5697</v>
      </c>
      <c r="D3712" t="s">
        <v>2344</v>
      </c>
      <c r="E3712" t="s">
        <v>2036</v>
      </c>
      <c r="F3712">
        <v>202208</v>
      </c>
      <c r="G3712" t="s">
        <v>180</v>
      </c>
      <c r="H3712">
        <v>850</v>
      </c>
    </row>
    <row r="3713" spans="1:8">
      <c r="A3713">
        <v>5352</v>
      </c>
      <c r="B3713" t="s">
        <v>2625</v>
      </c>
      <c r="C3713">
        <v>5697</v>
      </c>
      <c r="D3713" t="s">
        <v>2344</v>
      </c>
      <c r="E3713" t="s">
        <v>2036</v>
      </c>
      <c r="F3713">
        <v>202208</v>
      </c>
      <c r="G3713" t="s">
        <v>182</v>
      </c>
      <c r="H3713">
        <v>184305</v>
      </c>
    </row>
    <row r="3714" spans="1:8">
      <c r="A3714">
        <v>5352</v>
      </c>
      <c r="B3714" t="s">
        <v>2625</v>
      </c>
      <c r="C3714">
        <v>5697</v>
      </c>
      <c r="D3714" t="s">
        <v>2344</v>
      </c>
      <c r="E3714" t="s">
        <v>2036</v>
      </c>
      <c r="F3714">
        <v>202208</v>
      </c>
      <c r="G3714" t="s">
        <v>184</v>
      </c>
      <c r="H3714">
        <v>28004</v>
      </c>
    </row>
    <row r="3715" spans="1:8">
      <c r="A3715">
        <v>5352</v>
      </c>
      <c r="B3715" t="s">
        <v>2625</v>
      </c>
      <c r="C3715">
        <v>5697</v>
      </c>
      <c r="D3715" t="s">
        <v>2344</v>
      </c>
      <c r="E3715" t="s">
        <v>2036</v>
      </c>
      <c r="F3715">
        <v>202208</v>
      </c>
      <c r="G3715" t="s">
        <v>192</v>
      </c>
      <c r="H3715">
        <v>0</v>
      </c>
    </row>
    <row r="3716" spans="1:8">
      <c r="A3716">
        <v>5352</v>
      </c>
      <c r="B3716" t="s">
        <v>2625</v>
      </c>
      <c r="C3716">
        <v>5697</v>
      </c>
      <c r="D3716" t="s">
        <v>2344</v>
      </c>
      <c r="E3716" t="s">
        <v>2036</v>
      </c>
      <c r="F3716">
        <v>202208</v>
      </c>
      <c r="G3716" t="s">
        <v>2170</v>
      </c>
      <c r="H3716">
        <v>3719.03</v>
      </c>
    </row>
    <row r="3717" spans="1:8">
      <c r="A3717">
        <v>5352</v>
      </c>
      <c r="B3717" t="s">
        <v>2625</v>
      </c>
      <c r="C3717">
        <v>5697</v>
      </c>
      <c r="D3717" t="s">
        <v>2344</v>
      </c>
      <c r="E3717" t="s">
        <v>2036</v>
      </c>
      <c r="F3717">
        <v>202208</v>
      </c>
      <c r="G3717" t="s">
        <v>186</v>
      </c>
      <c r="H3717">
        <v>0</v>
      </c>
    </row>
    <row r="3718" spans="1:8">
      <c r="A3718">
        <v>5352</v>
      </c>
      <c r="B3718" t="s">
        <v>2625</v>
      </c>
      <c r="C3718">
        <v>5697</v>
      </c>
      <c r="D3718" t="s">
        <v>2344</v>
      </c>
      <c r="E3718" t="s">
        <v>2036</v>
      </c>
      <c r="F3718">
        <v>202208</v>
      </c>
      <c r="G3718" t="s">
        <v>2169</v>
      </c>
      <c r="H3718">
        <v>182.65</v>
      </c>
    </row>
    <row r="3719" spans="1:8">
      <c r="A3719">
        <v>5352</v>
      </c>
      <c r="B3719" t="s">
        <v>2625</v>
      </c>
      <c r="C3719">
        <v>5697</v>
      </c>
      <c r="D3719" t="s">
        <v>2344</v>
      </c>
      <c r="E3719" t="s">
        <v>2036</v>
      </c>
      <c r="F3719">
        <v>202208</v>
      </c>
      <c r="G3719" t="s">
        <v>2166</v>
      </c>
      <c r="H3719">
        <v>11.83</v>
      </c>
    </row>
    <row r="3720" spans="1:8">
      <c r="A3720">
        <v>5352</v>
      </c>
      <c r="B3720" t="s">
        <v>2625</v>
      </c>
      <c r="C3720">
        <v>5697</v>
      </c>
      <c r="D3720" t="s">
        <v>2344</v>
      </c>
      <c r="E3720" t="s">
        <v>2036</v>
      </c>
      <c r="F3720">
        <v>202208</v>
      </c>
      <c r="G3720" t="s">
        <v>2167</v>
      </c>
      <c r="H3720">
        <v>21.22</v>
      </c>
    </row>
    <row r="3721" spans="1:8">
      <c r="A3721">
        <v>5352</v>
      </c>
      <c r="B3721" t="s">
        <v>2625</v>
      </c>
      <c r="C3721">
        <v>5697</v>
      </c>
      <c r="D3721" t="s">
        <v>2344</v>
      </c>
      <c r="E3721" t="s">
        <v>2036</v>
      </c>
      <c r="F3721">
        <v>202208</v>
      </c>
      <c r="G3721" t="s">
        <v>2168</v>
      </c>
      <c r="H3721">
        <v>14.37</v>
      </c>
    </row>
    <row r="3722" spans="1:8">
      <c r="A3722">
        <v>5352</v>
      </c>
      <c r="B3722" t="s">
        <v>2625</v>
      </c>
      <c r="C3722">
        <v>5697</v>
      </c>
      <c r="D3722" t="s">
        <v>2344</v>
      </c>
      <c r="E3722" t="s">
        <v>2036</v>
      </c>
      <c r="F3722">
        <v>202208</v>
      </c>
      <c r="G3722" t="s">
        <v>2171</v>
      </c>
      <c r="H3722">
        <v>72693.149999999994</v>
      </c>
    </row>
    <row r="3723" spans="1:8">
      <c r="A3723">
        <v>5352</v>
      </c>
      <c r="B3723" t="s">
        <v>2625</v>
      </c>
      <c r="C3723">
        <v>5697</v>
      </c>
      <c r="D3723" t="s">
        <v>2344</v>
      </c>
      <c r="E3723" t="s">
        <v>2036</v>
      </c>
      <c r="F3723">
        <v>202208</v>
      </c>
      <c r="G3723" t="s">
        <v>190</v>
      </c>
      <c r="H3723">
        <v>145646</v>
      </c>
    </row>
    <row r="3724" spans="1:8">
      <c r="A3724">
        <v>5352</v>
      </c>
      <c r="B3724" t="s">
        <v>2625</v>
      </c>
      <c r="C3724">
        <v>5697</v>
      </c>
      <c r="D3724" t="s">
        <v>2344</v>
      </c>
      <c r="E3724" t="s">
        <v>2036</v>
      </c>
      <c r="F3724">
        <v>202208</v>
      </c>
      <c r="G3724" t="s">
        <v>191</v>
      </c>
      <c r="H3724">
        <v>21463</v>
      </c>
    </row>
    <row r="3725" spans="1:8">
      <c r="A3725">
        <v>5352</v>
      </c>
      <c r="B3725" t="s">
        <v>2625</v>
      </c>
      <c r="C3725">
        <v>5697</v>
      </c>
      <c r="D3725" t="s">
        <v>2344</v>
      </c>
      <c r="E3725" t="s">
        <v>2036</v>
      </c>
      <c r="F3725">
        <v>202208</v>
      </c>
      <c r="G3725" t="s">
        <v>176</v>
      </c>
      <c r="H3725">
        <v>0</v>
      </c>
    </row>
    <row r="3726" spans="1:8">
      <c r="A3726">
        <v>5352</v>
      </c>
      <c r="B3726" t="s">
        <v>2625</v>
      </c>
      <c r="C3726">
        <v>5697</v>
      </c>
      <c r="D3726" t="s">
        <v>2344</v>
      </c>
      <c r="E3726" t="s">
        <v>2036</v>
      </c>
      <c r="F3726">
        <v>202208</v>
      </c>
      <c r="G3726" t="s">
        <v>178</v>
      </c>
      <c r="H3726">
        <v>480</v>
      </c>
    </row>
    <row r="3727" spans="1:8">
      <c r="A3727">
        <v>5352</v>
      </c>
      <c r="B3727" t="s">
        <v>2625</v>
      </c>
      <c r="C3727">
        <v>5697</v>
      </c>
      <c r="D3727" t="s">
        <v>2344</v>
      </c>
      <c r="E3727" t="s">
        <v>2036</v>
      </c>
      <c r="F3727">
        <v>202208</v>
      </c>
      <c r="G3727" t="s">
        <v>180</v>
      </c>
      <c r="H3727">
        <v>550</v>
      </c>
    </row>
    <row r="3728" spans="1:8">
      <c r="A3728">
        <v>5352</v>
      </c>
      <c r="B3728" t="s">
        <v>2625</v>
      </c>
      <c r="C3728">
        <v>5697</v>
      </c>
      <c r="D3728" t="s">
        <v>2344</v>
      </c>
      <c r="E3728" t="s">
        <v>2036</v>
      </c>
      <c r="F3728">
        <v>202208</v>
      </c>
      <c r="G3728" t="s">
        <v>182</v>
      </c>
      <c r="H3728">
        <v>145646</v>
      </c>
    </row>
    <row r="3729" spans="1:8">
      <c r="A3729">
        <v>5352</v>
      </c>
      <c r="B3729" t="s">
        <v>2625</v>
      </c>
      <c r="C3729">
        <v>5697</v>
      </c>
      <c r="D3729" t="s">
        <v>2344</v>
      </c>
      <c r="E3729" t="s">
        <v>2036</v>
      </c>
      <c r="F3729">
        <v>202208</v>
      </c>
      <c r="G3729" t="s">
        <v>184</v>
      </c>
      <c r="H3729">
        <v>21463</v>
      </c>
    </row>
    <row r="3730" spans="1:8">
      <c r="A3730">
        <v>5352</v>
      </c>
      <c r="B3730" t="s">
        <v>2625</v>
      </c>
      <c r="C3730">
        <v>5697</v>
      </c>
      <c r="D3730" t="s">
        <v>2344</v>
      </c>
      <c r="E3730" t="s">
        <v>2036</v>
      </c>
      <c r="F3730">
        <v>202208</v>
      </c>
      <c r="G3730" t="s">
        <v>192</v>
      </c>
      <c r="H3730">
        <v>0</v>
      </c>
    </row>
    <row r="3731" spans="1:8">
      <c r="A3731">
        <v>5352</v>
      </c>
      <c r="B3731" t="s">
        <v>2625</v>
      </c>
      <c r="C3731">
        <v>5697</v>
      </c>
      <c r="D3731" t="s">
        <v>2344</v>
      </c>
      <c r="E3731" t="s">
        <v>2036</v>
      </c>
      <c r="F3731">
        <v>202208</v>
      </c>
      <c r="G3731" t="s">
        <v>2170</v>
      </c>
      <c r="H3731">
        <v>2651.54</v>
      </c>
    </row>
    <row r="3732" spans="1:8">
      <c r="A3732">
        <v>5352</v>
      </c>
      <c r="B3732" t="s">
        <v>2625</v>
      </c>
      <c r="C3732">
        <v>5697</v>
      </c>
      <c r="D3732" t="s">
        <v>2344</v>
      </c>
      <c r="E3732" t="s">
        <v>2036</v>
      </c>
      <c r="F3732">
        <v>202208</v>
      </c>
      <c r="G3732" t="s">
        <v>186</v>
      </c>
      <c r="H3732">
        <v>0</v>
      </c>
    </row>
    <row r="3733" spans="1:8">
      <c r="A3733">
        <v>5352</v>
      </c>
      <c r="B3733" t="s">
        <v>2625</v>
      </c>
      <c r="C3733">
        <v>5697</v>
      </c>
      <c r="D3733" t="s">
        <v>2344</v>
      </c>
      <c r="E3733" t="s">
        <v>2036</v>
      </c>
      <c r="F3733">
        <v>202208</v>
      </c>
      <c r="G3733" t="s">
        <v>2169</v>
      </c>
      <c r="H3733">
        <v>182.65</v>
      </c>
    </row>
    <row r="3734" spans="1:8">
      <c r="A3734">
        <v>5352</v>
      </c>
      <c r="B3734" t="s">
        <v>2625</v>
      </c>
      <c r="C3734">
        <v>5697</v>
      </c>
      <c r="D3734" t="s">
        <v>2344</v>
      </c>
      <c r="E3734" t="s">
        <v>2036</v>
      </c>
      <c r="F3734">
        <v>202208</v>
      </c>
      <c r="G3734" t="s">
        <v>2166</v>
      </c>
      <c r="H3734">
        <v>11.83</v>
      </c>
    </row>
    <row r="3735" spans="1:8">
      <c r="A3735">
        <v>5352</v>
      </c>
      <c r="B3735" t="s">
        <v>2625</v>
      </c>
      <c r="C3735">
        <v>5697</v>
      </c>
      <c r="D3735" t="s">
        <v>2344</v>
      </c>
      <c r="E3735" t="s">
        <v>2036</v>
      </c>
      <c r="F3735">
        <v>202208</v>
      </c>
      <c r="G3735" t="s">
        <v>2167</v>
      </c>
      <c r="H3735">
        <v>21.22</v>
      </c>
    </row>
    <row r="3736" spans="1:8">
      <c r="A3736">
        <v>5352</v>
      </c>
      <c r="B3736" t="s">
        <v>2625</v>
      </c>
      <c r="C3736">
        <v>5697</v>
      </c>
      <c r="D3736" t="s">
        <v>2344</v>
      </c>
      <c r="E3736" t="s">
        <v>2036</v>
      </c>
      <c r="F3736">
        <v>202208</v>
      </c>
      <c r="G3736" t="s">
        <v>2168</v>
      </c>
      <c r="H3736">
        <v>14.37</v>
      </c>
    </row>
    <row r="3737" spans="1:8">
      <c r="A3737">
        <v>5352</v>
      </c>
      <c r="B3737" t="s">
        <v>2625</v>
      </c>
      <c r="C3737">
        <v>5697</v>
      </c>
      <c r="D3737" t="s">
        <v>2344</v>
      </c>
      <c r="E3737" t="s">
        <v>2036</v>
      </c>
      <c r="F3737">
        <v>202208</v>
      </c>
      <c r="G3737" t="s">
        <v>2171</v>
      </c>
      <c r="H3737">
        <v>52924.74</v>
      </c>
    </row>
    <row r="3738" spans="1:8">
      <c r="A3738">
        <v>5352</v>
      </c>
      <c r="B3738" t="s">
        <v>2625</v>
      </c>
      <c r="C3738">
        <v>5697</v>
      </c>
      <c r="D3738" t="s">
        <v>2344</v>
      </c>
      <c r="E3738" t="s">
        <v>2036</v>
      </c>
      <c r="F3738">
        <v>202208</v>
      </c>
      <c r="G3738" t="s">
        <v>190</v>
      </c>
      <c r="H3738">
        <v>101203</v>
      </c>
    </row>
    <row r="3739" spans="1:8">
      <c r="A3739">
        <v>5352</v>
      </c>
      <c r="B3739" t="s">
        <v>2625</v>
      </c>
      <c r="C3739">
        <v>5697</v>
      </c>
      <c r="D3739" t="s">
        <v>2344</v>
      </c>
      <c r="E3739" t="s">
        <v>2036</v>
      </c>
      <c r="F3739">
        <v>202208</v>
      </c>
      <c r="G3739" t="s">
        <v>191</v>
      </c>
      <c r="H3739">
        <v>13505</v>
      </c>
    </row>
    <row r="3740" spans="1:8">
      <c r="A3740">
        <v>5352</v>
      </c>
      <c r="B3740" t="s">
        <v>2625</v>
      </c>
      <c r="C3740">
        <v>5697</v>
      </c>
      <c r="D3740" t="s">
        <v>2344</v>
      </c>
      <c r="E3740" t="s">
        <v>2036</v>
      </c>
      <c r="F3740">
        <v>202208</v>
      </c>
      <c r="G3740" t="s">
        <v>176</v>
      </c>
      <c r="H3740">
        <v>-303.68</v>
      </c>
    </row>
    <row r="3741" spans="1:8">
      <c r="A3741">
        <v>5352</v>
      </c>
      <c r="B3741" t="s">
        <v>2625</v>
      </c>
      <c r="C3741">
        <v>5697</v>
      </c>
      <c r="D3741" t="s">
        <v>2344</v>
      </c>
      <c r="E3741" t="s">
        <v>2036</v>
      </c>
      <c r="F3741">
        <v>202208</v>
      </c>
      <c r="G3741" t="s">
        <v>178</v>
      </c>
      <c r="H3741">
        <v>320</v>
      </c>
    </row>
    <row r="3742" spans="1:8">
      <c r="A3742">
        <v>5352</v>
      </c>
      <c r="B3742" t="s">
        <v>2625</v>
      </c>
      <c r="C3742">
        <v>5697</v>
      </c>
      <c r="D3742" t="s">
        <v>2344</v>
      </c>
      <c r="E3742" t="s">
        <v>2036</v>
      </c>
      <c r="F3742">
        <v>202208</v>
      </c>
      <c r="G3742" t="s">
        <v>180</v>
      </c>
      <c r="H3742">
        <v>320</v>
      </c>
    </row>
    <row r="3743" spans="1:8">
      <c r="A3743">
        <v>5352</v>
      </c>
      <c r="B3743" t="s">
        <v>2625</v>
      </c>
      <c r="C3743">
        <v>5697</v>
      </c>
      <c r="D3743" t="s">
        <v>2344</v>
      </c>
      <c r="E3743" t="s">
        <v>2036</v>
      </c>
      <c r="F3743">
        <v>202208</v>
      </c>
      <c r="G3743" t="s">
        <v>182</v>
      </c>
      <c r="H3743">
        <v>101203</v>
      </c>
    </row>
    <row r="3744" spans="1:8">
      <c r="A3744">
        <v>5352</v>
      </c>
      <c r="B3744" t="s">
        <v>2625</v>
      </c>
      <c r="C3744">
        <v>5697</v>
      </c>
      <c r="D3744" t="s">
        <v>2344</v>
      </c>
      <c r="E3744" t="s">
        <v>2036</v>
      </c>
      <c r="F3744">
        <v>202208</v>
      </c>
      <c r="G3744" t="s">
        <v>184</v>
      </c>
      <c r="H3744">
        <v>13505</v>
      </c>
    </row>
    <row r="3745" spans="1:8">
      <c r="A3745">
        <v>5352</v>
      </c>
      <c r="B3745" t="s">
        <v>2625</v>
      </c>
      <c r="C3745">
        <v>5697</v>
      </c>
      <c r="D3745" t="s">
        <v>2344</v>
      </c>
      <c r="E3745" t="s">
        <v>2036</v>
      </c>
      <c r="F3745">
        <v>202208</v>
      </c>
      <c r="G3745" t="s">
        <v>192</v>
      </c>
      <c r="H3745">
        <v>0</v>
      </c>
    </row>
    <row r="3746" spans="1:8">
      <c r="A3746">
        <v>5352</v>
      </c>
      <c r="B3746" t="s">
        <v>2625</v>
      </c>
      <c r="C3746">
        <v>5697</v>
      </c>
      <c r="D3746" t="s">
        <v>2344</v>
      </c>
      <c r="E3746" t="s">
        <v>2036</v>
      </c>
      <c r="F3746">
        <v>202208</v>
      </c>
      <c r="G3746" t="s">
        <v>2170</v>
      </c>
      <c r="H3746">
        <v>1749.78</v>
      </c>
    </row>
    <row r="3747" spans="1:8">
      <c r="A3747">
        <v>5352</v>
      </c>
      <c r="B3747" t="s">
        <v>2625</v>
      </c>
      <c r="C3747">
        <v>5697</v>
      </c>
      <c r="D3747" t="s">
        <v>2344</v>
      </c>
      <c r="E3747" t="s">
        <v>2036</v>
      </c>
      <c r="F3747">
        <v>202208</v>
      </c>
      <c r="G3747" t="s">
        <v>186</v>
      </c>
      <c r="H3747">
        <v>0</v>
      </c>
    </row>
    <row r="3748" spans="1:8">
      <c r="A3748">
        <v>5352</v>
      </c>
      <c r="B3748" t="s">
        <v>2625</v>
      </c>
      <c r="C3748">
        <v>5697</v>
      </c>
      <c r="D3748" t="s">
        <v>2344</v>
      </c>
      <c r="E3748" t="s">
        <v>2036</v>
      </c>
      <c r="F3748">
        <v>202208</v>
      </c>
      <c r="G3748" t="s">
        <v>2169</v>
      </c>
      <c r="H3748">
        <v>182.65</v>
      </c>
    </row>
    <row r="3749" spans="1:8">
      <c r="A3749">
        <v>5352</v>
      </c>
      <c r="B3749" t="s">
        <v>2625</v>
      </c>
      <c r="C3749">
        <v>5697</v>
      </c>
      <c r="D3749" t="s">
        <v>2344</v>
      </c>
      <c r="E3749" t="s">
        <v>2036</v>
      </c>
      <c r="F3749">
        <v>202208</v>
      </c>
      <c r="G3749" t="s">
        <v>2166</v>
      </c>
      <c r="H3749">
        <v>11.83</v>
      </c>
    </row>
    <row r="3750" spans="1:8">
      <c r="A3750">
        <v>5352</v>
      </c>
      <c r="B3750" t="s">
        <v>2625</v>
      </c>
      <c r="C3750">
        <v>5697</v>
      </c>
      <c r="D3750" t="s">
        <v>2344</v>
      </c>
      <c r="E3750" t="s">
        <v>2036</v>
      </c>
      <c r="F3750">
        <v>202208</v>
      </c>
      <c r="G3750" t="s">
        <v>2167</v>
      </c>
      <c r="H3750">
        <v>21.22</v>
      </c>
    </row>
    <row r="3751" spans="1:8">
      <c r="A3751">
        <v>5352</v>
      </c>
      <c r="B3751" t="s">
        <v>2625</v>
      </c>
      <c r="C3751">
        <v>5697</v>
      </c>
      <c r="D3751" t="s">
        <v>2344</v>
      </c>
      <c r="E3751" t="s">
        <v>2036</v>
      </c>
      <c r="F3751">
        <v>202208</v>
      </c>
      <c r="G3751" t="s">
        <v>2168</v>
      </c>
      <c r="H3751">
        <v>14.37</v>
      </c>
    </row>
    <row r="3752" spans="1:8">
      <c r="A3752">
        <v>5352</v>
      </c>
      <c r="B3752" t="s">
        <v>2625</v>
      </c>
      <c r="C3752">
        <v>5697</v>
      </c>
      <c r="D3752" t="s">
        <v>2344</v>
      </c>
      <c r="E3752" t="s">
        <v>2036</v>
      </c>
      <c r="F3752">
        <v>202208</v>
      </c>
      <c r="G3752" t="s">
        <v>2171</v>
      </c>
      <c r="H3752">
        <v>34621.839999999997</v>
      </c>
    </row>
    <row r="3753" spans="1:8">
      <c r="A3753">
        <v>5352</v>
      </c>
      <c r="B3753" t="s">
        <v>2625</v>
      </c>
      <c r="C3753">
        <v>5697</v>
      </c>
      <c r="D3753" t="s">
        <v>2344</v>
      </c>
      <c r="E3753" t="s">
        <v>2036</v>
      </c>
      <c r="F3753">
        <v>202208</v>
      </c>
      <c r="G3753" t="s">
        <v>190</v>
      </c>
      <c r="H3753">
        <v>170963</v>
      </c>
    </row>
    <row r="3754" spans="1:8">
      <c r="A3754">
        <v>5352</v>
      </c>
      <c r="B3754" t="s">
        <v>2625</v>
      </c>
      <c r="C3754">
        <v>5697</v>
      </c>
      <c r="D3754" t="s">
        <v>2344</v>
      </c>
      <c r="E3754" t="s">
        <v>2036</v>
      </c>
      <c r="F3754">
        <v>202208</v>
      </c>
      <c r="G3754" t="s">
        <v>191</v>
      </c>
      <c r="H3754">
        <v>23466</v>
      </c>
    </row>
    <row r="3755" spans="1:8">
      <c r="A3755">
        <v>5352</v>
      </c>
      <c r="B3755" t="s">
        <v>2625</v>
      </c>
      <c r="C3755">
        <v>5697</v>
      </c>
      <c r="D3755" t="s">
        <v>2344</v>
      </c>
      <c r="E3755" t="s">
        <v>2036</v>
      </c>
      <c r="F3755">
        <v>202208</v>
      </c>
      <c r="G3755" t="s">
        <v>176</v>
      </c>
      <c r="H3755">
        <v>-552.48</v>
      </c>
    </row>
    <row r="3756" spans="1:8">
      <c r="A3756">
        <v>5352</v>
      </c>
      <c r="B3756" t="s">
        <v>2625</v>
      </c>
      <c r="C3756">
        <v>5697</v>
      </c>
      <c r="D3756" t="s">
        <v>2344</v>
      </c>
      <c r="E3756" t="s">
        <v>2036</v>
      </c>
      <c r="F3756">
        <v>202208</v>
      </c>
      <c r="G3756" t="s">
        <v>178</v>
      </c>
      <c r="H3756">
        <v>600</v>
      </c>
    </row>
    <row r="3757" spans="1:8">
      <c r="A3757">
        <v>5352</v>
      </c>
      <c r="B3757" t="s">
        <v>2625</v>
      </c>
      <c r="C3757">
        <v>5697</v>
      </c>
      <c r="D3757" t="s">
        <v>2344</v>
      </c>
      <c r="E3757" t="s">
        <v>2036</v>
      </c>
      <c r="F3757">
        <v>202208</v>
      </c>
      <c r="G3757" t="s">
        <v>180</v>
      </c>
      <c r="H3757">
        <v>600</v>
      </c>
    </row>
    <row r="3758" spans="1:8">
      <c r="A3758">
        <v>5352</v>
      </c>
      <c r="B3758" t="s">
        <v>2625</v>
      </c>
      <c r="C3758">
        <v>5697</v>
      </c>
      <c r="D3758" t="s">
        <v>2344</v>
      </c>
      <c r="E3758" t="s">
        <v>2036</v>
      </c>
      <c r="F3758">
        <v>202208</v>
      </c>
      <c r="G3758" t="s">
        <v>182</v>
      </c>
      <c r="H3758">
        <v>170963</v>
      </c>
    </row>
    <row r="3759" spans="1:8">
      <c r="A3759">
        <v>5352</v>
      </c>
      <c r="B3759" t="s">
        <v>2625</v>
      </c>
      <c r="C3759">
        <v>5697</v>
      </c>
      <c r="D3759" t="s">
        <v>2344</v>
      </c>
      <c r="E3759" t="s">
        <v>2036</v>
      </c>
      <c r="F3759">
        <v>202208</v>
      </c>
      <c r="G3759" t="s">
        <v>184</v>
      </c>
      <c r="H3759">
        <v>23466</v>
      </c>
    </row>
    <row r="3760" spans="1:8">
      <c r="A3760">
        <v>5352</v>
      </c>
      <c r="B3760" t="s">
        <v>2625</v>
      </c>
      <c r="C3760">
        <v>5697</v>
      </c>
      <c r="D3760" t="s">
        <v>2344</v>
      </c>
      <c r="E3760" t="s">
        <v>2036</v>
      </c>
      <c r="F3760">
        <v>202208</v>
      </c>
      <c r="G3760" t="s">
        <v>192</v>
      </c>
      <c r="H3760">
        <v>0</v>
      </c>
    </row>
    <row r="3761" spans="1:8">
      <c r="A3761">
        <v>5352</v>
      </c>
      <c r="B3761" t="s">
        <v>2625</v>
      </c>
      <c r="C3761">
        <v>5697</v>
      </c>
      <c r="D3761" t="s">
        <v>2344</v>
      </c>
      <c r="E3761" t="s">
        <v>2036</v>
      </c>
      <c r="F3761">
        <v>202208</v>
      </c>
      <c r="G3761" t="s">
        <v>2170</v>
      </c>
      <c r="H3761">
        <v>3066.25</v>
      </c>
    </row>
    <row r="3762" spans="1:8">
      <c r="A3762">
        <v>5352</v>
      </c>
      <c r="B3762" t="s">
        <v>2625</v>
      </c>
      <c r="C3762">
        <v>5697</v>
      </c>
      <c r="D3762" t="s">
        <v>2344</v>
      </c>
      <c r="E3762" t="s">
        <v>2036</v>
      </c>
      <c r="F3762">
        <v>202208</v>
      </c>
      <c r="G3762" t="s">
        <v>186</v>
      </c>
      <c r="H3762">
        <v>0</v>
      </c>
    </row>
    <row r="3763" spans="1:8">
      <c r="A3763">
        <v>5352</v>
      </c>
      <c r="B3763" t="s">
        <v>2625</v>
      </c>
      <c r="C3763">
        <v>5697</v>
      </c>
      <c r="D3763" t="s">
        <v>2344</v>
      </c>
      <c r="E3763" t="s">
        <v>2036</v>
      </c>
      <c r="F3763">
        <v>202208</v>
      </c>
      <c r="G3763" t="s">
        <v>2169</v>
      </c>
      <c r="H3763">
        <v>182.65</v>
      </c>
    </row>
    <row r="3764" spans="1:8">
      <c r="A3764">
        <v>5352</v>
      </c>
      <c r="B3764" t="s">
        <v>2625</v>
      </c>
      <c r="C3764">
        <v>5697</v>
      </c>
      <c r="D3764" t="s">
        <v>2344</v>
      </c>
      <c r="E3764" t="s">
        <v>2036</v>
      </c>
      <c r="F3764">
        <v>202208</v>
      </c>
      <c r="G3764" t="s">
        <v>2166</v>
      </c>
      <c r="H3764">
        <v>11.83</v>
      </c>
    </row>
    <row r="3765" spans="1:8">
      <c r="A3765">
        <v>5352</v>
      </c>
      <c r="B3765" t="s">
        <v>2625</v>
      </c>
      <c r="C3765">
        <v>5697</v>
      </c>
      <c r="D3765" t="s">
        <v>2344</v>
      </c>
      <c r="E3765" t="s">
        <v>2036</v>
      </c>
      <c r="F3765">
        <v>202208</v>
      </c>
      <c r="G3765" t="s">
        <v>2167</v>
      </c>
      <c r="H3765">
        <v>21.22</v>
      </c>
    </row>
    <row r="3766" spans="1:8">
      <c r="A3766">
        <v>5352</v>
      </c>
      <c r="B3766" t="s">
        <v>2625</v>
      </c>
      <c r="C3766">
        <v>5697</v>
      </c>
      <c r="D3766" t="s">
        <v>2344</v>
      </c>
      <c r="E3766" t="s">
        <v>2036</v>
      </c>
      <c r="F3766">
        <v>202208</v>
      </c>
      <c r="G3766" t="s">
        <v>2168</v>
      </c>
      <c r="H3766">
        <v>14.37</v>
      </c>
    </row>
    <row r="3767" spans="1:8">
      <c r="A3767">
        <v>5352</v>
      </c>
      <c r="B3767" t="s">
        <v>2625</v>
      </c>
      <c r="C3767">
        <v>5697</v>
      </c>
      <c r="D3767" t="s">
        <v>2344</v>
      </c>
      <c r="E3767" t="s">
        <v>2036</v>
      </c>
      <c r="F3767">
        <v>202208</v>
      </c>
      <c r="G3767" t="s">
        <v>2171</v>
      </c>
      <c r="H3767">
        <v>60650.15</v>
      </c>
    </row>
    <row r="3768" spans="1:8">
      <c r="A3768">
        <v>5352</v>
      </c>
      <c r="B3768" t="s">
        <v>2625</v>
      </c>
      <c r="C3768">
        <v>5697</v>
      </c>
      <c r="D3768" t="s">
        <v>2344</v>
      </c>
      <c r="E3768" t="s">
        <v>2036</v>
      </c>
      <c r="F3768">
        <v>202208</v>
      </c>
      <c r="G3768" t="s">
        <v>190</v>
      </c>
      <c r="H3768">
        <v>131040</v>
      </c>
    </row>
    <row r="3769" spans="1:8">
      <c r="A3769">
        <v>5352</v>
      </c>
      <c r="B3769" t="s">
        <v>2625</v>
      </c>
      <c r="C3769">
        <v>5697</v>
      </c>
      <c r="D3769" t="s">
        <v>2344</v>
      </c>
      <c r="E3769" t="s">
        <v>2036</v>
      </c>
      <c r="F3769">
        <v>202208</v>
      </c>
      <c r="G3769" t="s">
        <v>191</v>
      </c>
      <c r="H3769">
        <v>17643</v>
      </c>
    </row>
    <row r="3770" spans="1:8">
      <c r="A3770">
        <v>5352</v>
      </c>
      <c r="B3770" t="s">
        <v>2625</v>
      </c>
      <c r="C3770">
        <v>5697</v>
      </c>
      <c r="D3770" t="s">
        <v>2344</v>
      </c>
      <c r="E3770" t="s">
        <v>2036</v>
      </c>
      <c r="F3770">
        <v>202208</v>
      </c>
      <c r="G3770" t="s">
        <v>176</v>
      </c>
      <c r="H3770">
        <v>0</v>
      </c>
    </row>
    <row r="3771" spans="1:8">
      <c r="A3771">
        <v>5352</v>
      </c>
      <c r="B3771" t="s">
        <v>2625</v>
      </c>
      <c r="C3771">
        <v>5697</v>
      </c>
      <c r="D3771" t="s">
        <v>2344</v>
      </c>
      <c r="E3771" t="s">
        <v>2036</v>
      </c>
      <c r="F3771">
        <v>202208</v>
      </c>
      <c r="G3771" t="s">
        <v>178</v>
      </c>
      <c r="H3771">
        <v>450</v>
      </c>
    </row>
    <row r="3772" spans="1:8">
      <c r="A3772">
        <v>5352</v>
      </c>
      <c r="B3772" t="s">
        <v>2625</v>
      </c>
      <c r="C3772">
        <v>5697</v>
      </c>
      <c r="D3772" t="s">
        <v>2344</v>
      </c>
      <c r="E3772" t="s">
        <v>2036</v>
      </c>
      <c r="F3772">
        <v>202208</v>
      </c>
      <c r="G3772" t="s">
        <v>180</v>
      </c>
      <c r="H3772">
        <v>450</v>
      </c>
    </row>
    <row r="3773" spans="1:8">
      <c r="A3773">
        <v>5352</v>
      </c>
      <c r="B3773" t="s">
        <v>2625</v>
      </c>
      <c r="C3773">
        <v>5697</v>
      </c>
      <c r="D3773" t="s">
        <v>2344</v>
      </c>
      <c r="E3773" t="s">
        <v>2036</v>
      </c>
      <c r="F3773">
        <v>202208</v>
      </c>
      <c r="G3773" t="s">
        <v>182</v>
      </c>
      <c r="H3773">
        <v>131040</v>
      </c>
    </row>
    <row r="3774" spans="1:8">
      <c r="A3774">
        <v>5352</v>
      </c>
      <c r="B3774" t="s">
        <v>2625</v>
      </c>
      <c r="C3774">
        <v>5697</v>
      </c>
      <c r="D3774" t="s">
        <v>2344</v>
      </c>
      <c r="E3774" t="s">
        <v>2036</v>
      </c>
      <c r="F3774">
        <v>202208</v>
      </c>
      <c r="G3774" t="s">
        <v>184</v>
      </c>
      <c r="H3774">
        <v>17643</v>
      </c>
    </row>
    <row r="3775" spans="1:8">
      <c r="A3775">
        <v>5352</v>
      </c>
      <c r="B3775" t="s">
        <v>2625</v>
      </c>
      <c r="C3775">
        <v>5697</v>
      </c>
      <c r="D3775" t="s">
        <v>2344</v>
      </c>
      <c r="E3775" t="s">
        <v>2036</v>
      </c>
      <c r="F3775">
        <v>202208</v>
      </c>
      <c r="G3775" t="s">
        <v>192</v>
      </c>
      <c r="H3775">
        <v>0</v>
      </c>
    </row>
    <row r="3776" spans="1:8">
      <c r="A3776">
        <v>5352</v>
      </c>
      <c r="B3776" t="s">
        <v>2625</v>
      </c>
      <c r="C3776">
        <v>5697</v>
      </c>
      <c r="D3776" t="s">
        <v>2344</v>
      </c>
      <c r="E3776" t="s">
        <v>2036</v>
      </c>
      <c r="F3776">
        <v>202208</v>
      </c>
      <c r="G3776" t="s">
        <v>2170</v>
      </c>
      <c r="H3776">
        <v>2329.4299999999998</v>
      </c>
    </row>
    <row r="3777" spans="1:8">
      <c r="A3777">
        <v>5352</v>
      </c>
      <c r="B3777" t="s">
        <v>2625</v>
      </c>
      <c r="C3777">
        <v>5697</v>
      </c>
      <c r="D3777" t="s">
        <v>2344</v>
      </c>
      <c r="E3777" t="s">
        <v>2036</v>
      </c>
      <c r="F3777">
        <v>202208</v>
      </c>
      <c r="G3777" t="s">
        <v>186</v>
      </c>
      <c r="H3777">
        <v>0</v>
      </c>
    </row>
    <row r="3778" spans="1:8">
      <c r="A3778">
        <v>5352</v>
      </c>
      <c r="B3778" t="s">
        <v>2625</v>
      </c>
      <c r="C3778">
        <v>5697</v>
      </c>
      <c r="D3778" t="s">
        <v>2344</v>
      </c>
      <c r="E3778" t="s">
        <v>2036</v>
      </c>
      <c r="F3778">
        <v>202208</v>
      </c>
      <c r="G3778" t="s">
        <v>2169</v>
      </c>
      <c r="H3778">
        <v>182.65</v>
      </c>
    </row>
    <row r="3779" spans="1:8">
      <c r="A3779">
        <v>5352</v>
      </c>
      <c r="B3779" t="s">
        <v>2625</v>
      </c>
      <c r="C3779">
        <v>5697</v>
      </c>
      <c r="D3779" t="s">
        <v>2344</v>
      </c>
      <c r="E3779" t="s">
        <v>2036</v>
      </c>
      <c r="F3779">
        <v>202208</v>
      </c>
      <c r="G3779" t="s">
        <v>2166</v>
      </c>
      <c r="H3779">
        <v>11.83</v>
      </c>
    </row>
    <row r="3780" spans="1:8">
      <c r="A3780">
        <v>5352</v>
      </c>
      <c r="B3780" t="s">
        <v>2625</v>
      </c>
      <c r="C3780">
        <v>5697</v>
      </c>
      <c r="D3780" t="s">
        <v>2344</v>
      </c>
      <c r="E3780" t="s">
        <v>2036</v>
      </c>
      <c r="F3780">
        <v>202208</v>
      </c>
      <c r="G3780" t="s">
        <v>2167</v>
      </c>
      <c r="H3780">
        <v>21.22</v>
      </c>
    </row>
    <row r="3781" spans="1:8">
      <c r="A3781">
        <v>5352</v>
      </c>
      <c r="B3781" t="s">
        <v>2625</v>
      </c>
      <c r="C3781">
        <v>5697</v>
      </c>
      <c r="D3781" t="s">
        <v>2344</v>
      </c>
      <c r="E3781" t="s">
        <v>2036</v>
      </c>
      <c r="F3781">
        <v>202208</v>
      </c>
      <c r="G3781" t="s">
        <v>2168</v>
      </c>
      <c r="H3781">
        <v>14.37</v>
      </c>
    </row>
    <row r="3782" spans="1:8">
      <c r="A3782">
        <v>5352</v>
      </c>
      <c r="B3782" t="s">
        <v>2625</v>
      </c>
      <c r="C3782">
        <v>5697</v>
      </c>
      <c r="D3782" t="s">
        <v>2344</v>
      </c>
      <c r="E3782" t="s">
        <v>2036</v>
      </c>
      <c r="F3782">
        <v>202208</v>
      </c>
      <c r="G3782" t="s">
        <v>2171</v>
      </c>
      <c r="H3782">
        <v>46495.43</v>
      </c>
    </row>
    <row r="3783" spans="1:8">
      <c r="A3783">
        <v>5352</v>
      </c>
      <c r="B3783" t="s">
        <v>2625</v>
      </c>
      <c r="C3783">
        <v>5697</v>
      </c>
      <c r="D3783" t="s">
        <v>2344</v>
      </c>
      <c r="E3783" t="s">
        <v>2036</v>
      </c>
      <c r="F3783">
        <v>202208</v>
      </c>
      <c r="G3783" t="s">
        <v>190</v>
      </c>
      <c r="H3783">
        <v>278205</v>
      </c>
    </row>
    <row r="3784" spans="1:8">
      <c r="A3784">
        <v>5352</v>
      </c>
      <c r="B3784" t="s">
        <v>2625</v>
      </c>
      <c r="C3784">
        <v>5697</v>
      </c>
      <c r="D3784" t="s">
        <v>2344</v>
      </c>
      <c r="E3784" t="s">
        <v>2036</v>
      </c>
      <c r="F3784">
        <v>202208</v>
      </c>
      <c r="G3784" t="s">
        <v>191</v>
      </c>
      <c r="H3784">
        <v>37017</v>
      </c>
    </row>
    <row r="3785" spans="1:8">
      <c r="A3785">
        <v>5352</v>
      </c>
      <c r="B3785" t="s">
        <v>2625</v>
      </c>
      <c r="C3785">
        <v>5697</v>
      </c>
      <c r="D3785" t="s">
        <v>2344</v>
      </c>
      <c r="E3785" t="s">
        <v>2036</v>
      </c>
      <c r="F3785">
        <v>202208</v>
      </c>
      <c r="G3785" t="s">
        <v>176</v>
      </c>
      <c r="H3785">
        <v>0</v>
      </c>
    </row>
    <row r="3786" spans="1:8">
      <c r="A3786">
        <v>5352</v>
      </c>
      <c r="B3786" t="s">
        <v>2625</v>
      </c>
      <c r="C3786">
        <v>5697</v>
      </c>
      <c r="D3786" t="s">
        <v>2344</v>
      </c>
      <c r="E3786" t="s">
        <v>2036</v>
      </c>
      <c r="F3786">
        <v>202208</v>
      </c>
      <c r="G3786" t="s">
        <v>178</v>
      </c>
      <c r="H3786">
        <v>820</v>
      </c>
    </row>
    <row r="3787" spans="1:8">
      <c r="A3787">
        <v>5352</v>
      </c>
      <c r="B3787" t="s">
        <v>2625</v>
      </c>
      <c r="C3787">
        <v>5697</v>
      </c>
      <c r="D3787" t="s">
        <v>2344</v>
      </c>
      <c r="E3787" t="s">
        <v>2036</v>
      </c>
      <c r="F3787">
        <v>202208</v>
      </c>
      <c r="G3787" t="s">
        <v>180</v>
      </c>
      <c r="H3787">
        <v>820</v>
      </c>
    </row>
    <row r="3788" spans="1:8">
      <c r="A3788">
        <v>5352</v>
      </c>
      <c r="B3788" t="s">
        <v>2625</v>
      </c>
      <c r="C3788">
        <v>5697</v>
      </c>
      <c r="D3788" t="s">
        <v>2344</v>
      </c>
      <c r="E3788" t="s">
        <v>2036</v>
      </c>
      <c r="F3788">
        <v>202208</v>
      </c>
      <c r="G3788" t="s">
        <v>182</v>
      </c>
      <c r="H3788">
        <v>278205</v>
      </c>
    </row>
    <row r="3789" spans="1:8">
      <c r="A3789">
        <v>5352</v>
      </c>
      <c r="B3789" t="s">
        <v>2625</v>
      </c>
      <c r="C3789">
        <v>5697</v>
      </c>
      <c r="D3789" t="s">
        <v>2344</v>
      </c>
      <c r="E3789" t="s">
        <v>2036</v>
      </c>
      <c r="F3789">
        <v>202208</v>
      </c>
      <c r="G3789" t="s">
        <v>184</v>
      </c>
      <c r="H3789">
        <v>37017</v>
      </c>
    </row>
    <row r="3790" spans="1:8">
      <c r="A3790">
        <v>5352</v>
      </c>
      <c r="B3790" t="s">
        <v>2625</v>
      </c>
      <c r="C3790">
        <v>5697</v>
      </c>
      <c r="D3790" t="s">
        <v>2344</v>
      </c>
      <c r="E3790" t="s">
        <v>2036</v>
      </c>
      <c r="F3790">
        <v>202208</v>
      </c>
      <c r="G3790" t="s">
        <v>192</v>
      </c>
      <c r="H3790">
        <v>0</v>
      </c>
    </row>
    <row r="3791" spans="1:8">
      <c r="A3791">
        <v>5352</v>
      </c>
      <c r="B3791" t="s">
        <v>2625</v>
      </c>
      <c r="C3791">
        <v>5697</v>
      </c>
      <c r="D3791" t="s">
        <v>2344</v>
      </c>
      <c r="E3791" t="s">
        <v>2036</v>
      </c>
      <c r="F3791">
        <v>202208</v>
      </c>
      <c r="G3791" t="s">
        <v>2170</v>
      </c>
      <c r="H3791">
        <v>4704.9399999999996</v>
      </c>
    </row>
    <row r="3792" spans="1:8">
      <c r="A3792">
        <v>5352</v>
      </c>
      <c r="B3792" t="s">
        <v>2625</v>
      </c>
      <c r="C3792">
        <v>5697</v>
      </c>
      <c r="D3792" t="s">
        <v>2344</v>
      </c>
      <c r="E3792" t="s">
        <v>2036</v>
      </c>
      <c r="F3792">
        <v>202208</v>
      </c>
      <c r="G3792" t="s">
        <v>186</v>
      </c>
      <c r="H3792">
        <v>0</v>
      </c>
    </row>
    <row r="3793" spans="1:8">
      <c r="A3793">
        <v>5352</v>
      </c>
      <c r="B3793" t="s">
        <v>2625</v>
      </c>
      <c r="C3793">
        <v>5697</v>
      </c>
      <c r="D3793" t="s">
        <v>2344</v>
      </c>
      <c r="E3793" t="s">
        <v>2036</v>
      </c>
      <c r="F3793">
        <v>202208</v>
      </c>
      <c r="G3793" t="s">
        <v>2169</v>
      </c>
      <c r="H3793">
        <v>182.65</v>
      </c>
    </row>
    <row r="3794" spans="1:8">
      <c r="A3794">
        <v>5352</v>
      </c>
      <c r="B3794" t="s">
        <v>2625</v>
      </c>
      <c r="C3794">
        <v>5697</v>
      </c>
      <c r="D3794" t="s">
        <v>2344</v>
      </c>
      <c r="E3794" t="s">
        <v>2036</v>
      </c>
      <c r="F3794">
        <v>202208</v>
      </c>
      <c r="G3794" t="s">
        <v>2166</v>
      </c>
      <c r="H3794">
        <v>11.83</v>
      </c>
    </row>
    <row r="3795" spans="1:8">
      <c r="A3795">
        <v>5352</v>
      </c>
      <c r="B3795" t="s">
        <v>2625</v>
      </c>
      <c r="C3795">
        <v>5697</v>
      </c>
      <c r="D3795" t="s">
        <v>2344</v>
      </c>
      <c r="E3795" t="s">
        <v>2036</v>
      </c>
      <c r="F3795">
        <v>202208</v>
      </c>
      <c r="G3795" t="s">
        <v>2167</v>
      </c>
      <c r="H3795">
        <v>21.22</v>
      </c>
    </row>
    <row r="3796" spans="1:8">
      <c r="A3796">
        <v>5352</v>
      </c>
      <c r="B3796" t="s">
        <v>2625</v>
      </c>
      <c r="C3796">
        <v>5697</v>
      </c>
      <c r="D3796" t="s">
        <v>2344</v>
      </c>
      <c r="E3796" t="s">
        <v>2036</v>
      </c>
      <c r="F3796">
        <v>202208</v>
      </c>
      <c r="G3796" t="s">
        <v>2168</v>
      </c>
      <c r="H3796">
        <v>14.37</v>
      </c>
    </row>
    <row r="3797" spans="1:8">
      <c r="A3797">
        <v>5352</v>
      </c>
      <c r="B3797" t="s">
        <v>2625</v>
      </c>
      <c r="C3797">
        <v>5697</v>
      </c>
      <c r="D3797" t="s">
        <v>2344</v>
      </c>
      <c r="E3797" t="s">
        <v>2036</v>
      </c>
      <c r="F3797">
        <v>202208</v>
      </c>
      <c r="G3797" t="s">
        <v>2171</v>
      </c>
      <c r="H3797">
        <v>93910.96</v>
      </c>
    </row>
    <row r="3798" spans="1:8">
      <c r="A3798">
        <v>5352</v>
      </c>
      <c r="B3798" t="s">
        <v>2625</v>
      </c>
      <c r="C3798">
        <v>5697</v>
      </c>
      <c r="D3798" t="s">
        <v>2344</v>
      </c>
      <c r="E3798" t="s">
        <v>2036</v>
      </c>
      <c r="F3798">
        <v>202208</v>
      </c>
      <c r="G3798" t="s">
        <v>190</v>
      </c>
      <c r="H3798">
        <v>758582</v>
      </c>
    </row>
    <row r="3799" spans="1:8">
      <c r="A3799">
        <v>5352</v>
      </c>
      <c r="B3799" t="s">
        <v>2625</v>
      </c>
      <c r="C3799">
        <v>5697</v>
      </c>
      <c r="D3799" t="s">
        <v>2344</v>
      </c>
      <c r="E3799" t="s">
        <v>2036</v>
      </c>
      <c r="F3799">
        <v>202208</v>
      </c>
      <c r="G3799" t="s">
        <v>191</v>
      </c>
      <c r="H3799">
        <v>48081</v>
      </c>
    </row>
    <row r="3800" spans="1:8">
      <c r="A3800">
        <v>5352</v>
      </c>
      <c r="B3800" t="s">
        <v>2625</v>
      </c>
      <c r="C3800">
        <v>5697</v>
      </c>
      <c r="D3800" t="s">
        <v>2344</v>
      </c>
      <c r="E3800" t="s">
        <v>2036</v>
      </c>
      <c r="F3800">
        <v>202208</v>
      </c>
      <c r="G3800" t="s">
        <v>176</v>
      </c>
      <c r="H3800">
        <v>0</v>
      </c>
    </row>
    <row r="3801" spans="1:8">
      <c r="A3801">
        <v>5352</v>
      </c>
      <c r="B3801" t="s">
        <v>2625</v>
      </c>
      <c r="C3801">
        <v>5697</v>
      </c>
      <c r="D3801" t="s">
        <v>2344</v>
      </c>
      <c r="E3801" t="s">
        <v>2036</v>
      </c>
      <c r="F3801">
        <v>202208</v>
      </c>
      <c r="G3801" t="s">
        <v>178</v>
      </c>
      <c r="H3801">
        <v>1450</v>
      </c>
    </row>
    <row r="3802" spans="1:8">
      <c r="A3802">
        <v>5352</v>
      </c>
      <c r="B3802" t="s">
        <v>2625</v>
      </c>
      <c r="C3802">
        <v>5697</v>
      </c>
      <c r="D3802" t="s">
        <v>2344</v>
      </c>
      <c r="E3802" t="s">
        <v>2036</v>
      </c>
      <c r="F3802">
        <v>202208</v>
      </c>
      <c r="G3802" t="s">
        <v>180</v>
      </c>
      <c r="H3802">
        <v>1450</v>
      </c>
    </row>
    <row r="3803" spans="1:8">
      <c r="A3803">
        <v>5352</v>
      </c>
      <c r="B3803" t="s">
        <v>2625</v>
      </c>
      <c r="C3803">
        <v>5697</v>
      </c>
      <c r="D3803" t="s">
        <v>2344</v>
      </c>
      <c r="E3803" t="s">
        <v>2036</v>
      </c>
      <c r="F3803">
        <v>202208</v>
      </c>
      <c r="G3803" t="s">
        <v>182</v>
      </c>
      <c r="H3803">
        <v>758582</v>
      </c>
    </row>
    <row r="3804" spans="1:8">
      <c r="A3804">
        <v>5352</v>
      </c>
      <c r="B3804" t="s">
        <v>2625</v>
      </c>
      <c r="C3804">
        <v>5697</v>
      </c>
      <c r="D3804" t="s">
        <v>2344</v>
      </c>
      <c r="E3804" t="s">
        <v>2036</v>
      </c>
      <c r="F3804">
        <v>202208</v>
      </c>
      <c r="G3804" t="s">
        <v>184</v>
      </c>
      <c r="H3804">
        <v>48081</v>
      </c>
    </row>
    <row r="3805" spans="1:8">
      <c r="A3805">
        <v>5352</v>
      </c>
      <c r="B3805" t="s">
        <v>2625</v>
      </c>
      <c r="C3805">
        <v>5697</v>
      </c>
      <c r="D3805" t="s">
        <v>2344</v>
      </c>
      <c r="E3805" t="s">
        <v>2036</v>
      </c>
      <c r="F3805">
        <v>202208</v>
      </c>
      <c r="G3805" t="s">
        <v>192</v>
      </c>
      <c r="H3805">
        <v>0</v>
      </c>
    </row>
    <row r="3806" spans="1:8">
      <c r="A3806">
        <v>5352</v>
      </c>
      <c r="B3806" t="s">
        <v>2625</v>
      </c>
      <c r="C3806">
        <v>5697</v>
      </c>
      <c r="D3806" t="s">
        <v>2344</v>
      </c>
      <c r="E3806" t="s">
        <v>2036</v>
      </c>
      <c r="F3806">
        <v>202208</v>
      </c>
      <c r="G3806" t="s">
        <v>2170</v>
      </c>
      <c r="H3806">
        <v>10909.82</v>
      </c>
    </row>
    <row r="3807" spans="1:8">
      <c r="A3807">
        <v>5352</v>
      </c>
      <c r="B3807" t="s">
        <v>2625</v>
      </c>
      <c r="C3807">
        <v>5697</v>
      </c>
      <c r="D3807" t="s">
        <v>2344</v>
      </c>
      <c r="E3807" t="s">
        <v>2036</v>
      </c>
      <c r="F3807">
        <v>202208</v>
      </c>
      <c r="G3807" t="s">
        <v>186</v>
      </c>
      <c r="H3807">
        <v>0</v>
      </c>
    </row>
    <row r="3808" spans="1:8">
      <c r="A3808">
        <v>5352</v>
      </c>
      <c r="B3808" t="s">
        <v>2625</v>
      </c>
      <c r="C3808">
        <v>5697</v>
      </c>
      <c r="D3808" t="s">
        <v>2344</v>
      </c>
      <c r="E3808" t="s">
        <v>2036</v>
      </c>
      <c r="F3808">
        <v>202208</v>
      </c>
      <c r="G3808" t="s">
        <v>2169</v>
      </c>
      <c r="H3808">
        <v>182.65</v>
      </c>
    </row>
    <row r="3809" spans="1:8">
      <c r="A3809">
        <v>5352</v>
      </c>
      <c r="B3809" t="s">
        <v>2625</v>
      </c>
      <c r="C3809">
        <v>5697</v>
      </c>
      <c r="D3809" t="s">
        <v>2344</v>
      </c>
      <c r="E3809" t="s">
        <v>2036</v>
      </c>
      <c r="F3809">
        <v>202208</v>
      </c>
      <c r="G3809" t="s">
        <v>2166</v>
      </c>
      <c r="H3809">
        <v>11.83</v>
      </c>
    </row>
    <row r="3810" spans="1:8">
      <c r="A3810">
        <v>5352</v>
      </c>
      <c r="B3810" t="s">
        <v>2625</v>
      </c>
      <c r="C3810">
        <v>5697</v>
      </c>
      <c r="D3810" t="s">
        <v>2344</v>
      </c>
      <c r="E3810" t="s">
        <v>2036</v>
      </c>
      <c r="F3810">
        <v>202208</v>
      </c>
      <c r="G3810" t="s">
        <v>2167</v>
      </c>
      <c r="H3810">
        <v>21.22</v>
      </c>
    </row>
    <row r="3811" spans="1:8">
      <c r="A3811">
        <v>5352</v>
      </c>
      <c r="B3811" t="s">
        <v>2625</v>
      </c>
      <c r="C3811">
        <v>5697</v>
      </c>
      <c r="D3811" t="s">
        <v>2344</v>
      </c>
      <c r="E3811" t="s">
        <v>2036</v>
      </c>
      <c r="F3811">
        <v>202208</v>
      </c>
      <c r="G3811" t="s">
        <v>2168</v>
      </c>
      <c r="H3811">
        <v>14.37</v>
      </c>
    </row>
    <row r="3812" spans="1:8">
      <c r="A3812">
        <v>5352</v>
      </c>
      <c r="B3812" t="s">
        <v>2625</v>
      </c>
      <c r="C3812">
        <v>5697</v>
      </c>
      <c r="D3812" t="s">
        <v>2344</v>
      </c>
      <c r="E3812" t="s">
        <v>2036</v>
      </c>
      <c r="F3812">
        <v>202208</v>
      </c>
      <c r="G3812" t="s">
        <v>2171</v>
      </c>
      <c r="H3812">
        <v>217761.05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2022</v>
      </c>
    </row>
    <row r="3" spans="1:50">
      <c r="A3" s="63" t="s">
        <v>195</v>
      </c>
      <c r="AI3" t="s">
        <v>2023</v>
      </c>
    </row>
    <row r="4" spans="1:50">
      <c r="A4" s="63" t="s">
        <v>196</v>
      </c>
    </row>
    <row r="7" spans="1:50">
      <c r="A7" s="624" t="s">
        <v>197</v>
      </c>
      <c r="M7" t="s">
        <v>2021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12" t="s">
        <v>2285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2284</v>
      </c>
      <c r="X9" s="772" t="s">
        <v>198</v>
      </c>
      <c r="Y9" s="773" t="s">
        <v>219</v>
      </c>
      <c r="AB9" t="s">
        <v>198</v>
      </c>
      <c r="AC9" t="s">
        <v>2286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08" t="s">
        <v>227</v>
      </c>
      <c r="I10" s="1713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47">
        <v>0</v>
      </c>
      <c r="Q10" s="613"/>
      <c r="R10" s="708">
        <v>42613</v>
      </c>
      <c r="S10" s="708" t="s">
        <v>229</v>
      </c>
      <c r="T10" s="708"/>
      <c r="U10" s="233"/>
      <c r="V10" s="17"/>
      <c r="X10" s="776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08" t="s">
        <v>235</v>
      </c>
      <c r="I11" s="1713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47">
        <v>0</v>
      </c>
      <c r="Q11" s="613"/>
      <c r="R11" s="708">
        <v>42613</v>
      </c>
      <c r="S11" s="708" t="s">
        <v>229</v>
      </c>
      <c r="T11" s="708"/>
      <c r="U11" s="233"/>
      <c r="V11" s="17"/>
      <c r="X11" s="776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08" t="s">
        <v>235</v>
      </c>
      <c r="I12" s="1713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47">
        <v>0</v>
      </c>
      <c r="Q12" s="613"/>
      <c r="R12" s="708">
        <v>42673</v>
      </c>
      <c r="S12" s="708" t="s">
        <v>229</v>
      </c>
      <c r="T12" s="708"/>
      <c r="U12" s="233"/>
      <c r="V12" s="17"/>
      <c r="X12" s="776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08" t="s">
        <v>235</v>
      </c>
      <c r="I13" s="1713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47">
        <v>0</v>
      </c>
      <c r="Q13" s="613"/>
      <c r="R13" s="708">
        <v>42410</v>
      </c>
      <c r="S13" s="708" t="s">
        <v>229</v>
      </c>
      <c r="T13" s="708"/>
      <c r="U13" s="233"/>
      <c r="V13" s="17"/>
      <c r="X13" s="776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08" t="s">
        <v>235</v>
      </c>
      <c r="I14" s="1713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47">
        <v>0</v>
      </c>
      <c r="Q14" s="613"/>
      <c r="R14" s="708">
        <v>42562</v>
      </c>
      <c r="S14" s="708" t="s">
        <v>229</v>
      </c>
      <c r="T14" s="708"/>
      <c r="U14" s="233"/>
      <c r="V14" s="17"/>
      <c r="X14" s="776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08" t="s">
        <v>227</v>
      </c>
      <c r="I15" s="1713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47">
        <v>0</v>
      </c>
      <c r="Q15" s="613"/>
      <c r="R15" s="708">
        <v>42673</v>
      </c>
      <c r="S15" s="708" t="s">
        <v>229</v>
      </c>
      <c r="T15" s="708"/>
      <c r="U15" s="233"/>
      <c r="V15" s="17"/>
      <c r="X15" s="776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08" t="s">
        <v>264</v>
      </c>
      <c r="I16" s="1713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47">
        <v>0</v>
      </c>
      <c r="Q16" s="613"/>
      <c r="R16" s="708">
        <v>42507</v>
      </c>
      <c r="S16" s="708" t="s">
        <v>229</v>
      </c>
      <c r="T16" s="708"/>
      <c r="U16" s="233"/>
      <c r="V16" s="17"/>
      <c r="X16" s="776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08" t="s">
        <v>235</v>
      </c>
      <c r="I17" s="1713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47">
        <v>0</v>
      </c>
      <c r="Q17" s="613"/>
      <c r="R17" s="708">
        <v>42475</v>
      </c>
      <c r="S17" s="708" t="s">
        <v>229</v>
      </c>
      <c r="T17" s="708"/>
      <c r="U17" s="233"/>
      <c r="V17" s="17"/>
      <c r="X17" s="776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08" t="s">
        <v>264</v>
      </c>
      <c r="I18" s="1713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47">
        <v>0</v>
      </c>
      <c r="Q18" s="613"/>
      <c r="R18" s="708">
        <v>42475</v>
      </c>
      <c r="S18" s="708" t="s">
        <v>229</v>
      </c>
      <c r="T18" s="708"/>
      <c r="U18" s="233"/>
      <c r="V18" s="17"/>
      <c r="X18" s="776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08" t="s">
        <v>235</v>
      </c>
      <c r="I19" s="1713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47">
        <v>0</v>
      </c>
      <c r="Q19" s="613"/>
      <c r="R19" s="708">
        <v>42673</v>
      </c>
      <c r="S19" s="708" t="s">
        <v>229</v>
      </c>
      <c r="T19" s="708"/>
      <c r="U19" s="233"/>
      <c r="V19" s="17"/>
      <c r="X19" s="776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08" t="s">
        <v>287</v>
      </c>
      <c r="I20" s="1713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47">
        <v>0</v>
      </c>
      <c r="Q20" s="613"/>
      <c r="R20" s="708">
        <v>42641</v>
      </c>
      <c r="S20" s="708" t="s">
        <v>229</v>
      </c>
      <c r="T20" s="708"/>
      <c r="U20" s="233"/>
      <c r="V20" s="17"/>
      <c r="X20" s="776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08" t="s">
        <v>293</v>
      </c>
      <c r="I21" s="1713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47">
        <v>0</v>
      </c>
      <c r="Q21" s="613"/>
      <c r="R21" s="708">
        <v>42641</v>
      </c>
      <c r="S21" s="708" t="s">
        <v>229</v>
      </c>
      <c r="T21" s="708"/>
      <c r="U21" s="233"/>
      <c r="V21" s="17"/>
      <c r="X21" s="776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08" t="s">
        <v>287</v>
      </c>
      <c r="I22" s="1713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47">
        <v>0</v>
      </c>
      <c r="Q22" s="613"/>
      <c r="R22" s="708">
        <v>42641</v>
      </c>
      <c r="S22" s="708" t="s">
        <v>229</v>
      </c>
      <c r="T22" s="708"/>
      <c r="U22" s="233"/>
      <c r="V22" s="17"/>
      <c r="X22" s="776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08" t="s">
        <v>287</v>
      </c>
      <c r="I23" s="1713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47">
        <v>0</v>
      </c>
      <c r="Q23" s="613"/>
      <c r="R23" s="708">
        <v>42641</v>
      </c>
      <c r="S23" s="708" t="s">
        <v>229</v>
      </c>
      <c r="T23" s="708"/>
      <c r="U23" s="233"/>
      <c r="V23" s="17"/>
      <c r="X23" s="776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08" t="s">
        <v>287</v>
      </c>
      <c r="I24" s="1713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47">
        <v>0</v>
      </c>
      <c r="Q24" s="613"/>
      <c r="R24" s="708">
        <v>42641</v>
      </c>
      <c r="S24" s="708" t="s">
        <v>229</v>
      </c>
      <c r="T24" s="708"/>
      <c r="U24" s="233"/>
      <c r="V24" s="17"/>
      <c r="X24" s="776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08" t="s">
        <v>315</v>
      </c>
      <c r="I25" s="1713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47">
        <v>0</v>
      </c>
      <c r="Q25" s="613"/>
      <c r="R25" s="708">
        <v>42641</v>
      </c>
      <c r="S25" s="708" t="s">
        <v>229</v>
      </c>
      <c r="T25" s="708"/>
      <c r="U25" s="233"/>
      <c r="V25" s="17"/>
      <c r="X25" s="776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08" t="s">
        <v>320</v>
      </c>
      <c r="I26" s="1713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47">
        <v>0</v>
      </c>
      <c r="Q26" s="613"/>
      <c r="R26" s="708">
        <v>42641</v>
      </c>
      <c r="S26" s="708" t="s">
        <v>229</v>
      </c>
      <c r="T26" s="708"/>
      <c r="U26" s="233"/>
      <c r="V26" s="17"/>
      <c r="X26" s="776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08" t="s">
        <v>326</v>
      </c>
      <c r="I27" s="1713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47">
        <v>0</v>
      </c>
      <c r="Q27" s="613"/>
      <c r="R27" s="708">
        <v>42641</v>
      </c>
      <c r="S27" s="708" t="s">
        <v>229</v>
      </c>
      <c r="T27" s="708"/>
      <c r="U27" s="233"/>
      <c r="V27" s="17"/>
      <c r="X27" s="776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08" t="s">
        <v>287</v>
      </c>
      <c r="I28" s="1713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47">
        <v>0</v>
      </c>
      <c r="Q28" s="613"/>
      <c r="R28" s="708">
        <v>42641</v>
      </c>
      <c r="S28" s="708" t="s">
        <v>229</v>
      </c>
      <c r="T28" s="708"/>
      <c r="U28" s="233"/>
      <c r="V28" s="17"/>
      <c r="X28" s="776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08" t="s">
        <v>338</v>
      </c>
      <c r="I29" s="1713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47">
        <v>0</v>
      </c>
      <c r="Q29" s="613"/>
      <c r="R29" s="708">
        <v>42641</v>
      </c>
      <c r="S29" s="708" t="s">
        <v>229</v>
      </c>
      <c r="T29" s="708"/>
      <c r="U29" s="233"/>
      <c r="V29" s="17"/>
      <c r="X29" s="776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08" t="s">
        <v>287</v>
      </c>
      <c r="I30" s="1713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47">
        <v>0</v>
      </c>
      <c r="Q30" s="613"/>
      <c r="R30" s="708">
        <v>42641</v>
      </c>
      <c r="S30" s="708" t="s">
        <v>229</v>
      </c>
      <c r="T30" s="708"/>
      <c r="U30" s="233"/>
      <c r="V30" s="17"/>
      <c r="X30" s="776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08" t="s">
        <v>287</v>
      </c>
      <c r="I31" s="1713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47">
        <v>0</v>
      </c>
      <c r="Q31" s="613"/>
      <c r="R31" s="708">
        <v>42641</v>
      </c>
      <c r="S31" s="708" t="s">
        <v>229</v>
      </c>
      <c r="T31" s="708"/>
      <c r="U31" s="233"/>
      <c r="V31" s="17"/>
      <c r="X31" s="776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08" t="s">
        <v>326</v>
      </c>
      <c r="I32" s="1713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47">
        <v>0</v>
      </c>
      <c r="Q32" s="613"/>
      <c r="R32" s="708">
        <v>42641</v>
      </c>
      <c r="S32" s="708" t="s">
        <v>229</v>
      </c>
      <c r="T32" s="708"/>
      <c r="U32" s="233"/>
      <c r="V32" s="17"/>
      <c r="X32" s="776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08" t="s">
        <v>287</v>
      </c>
      <c r="I33" s="1713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47">
        <v>0</v>
      </c>
      <c r="Q33" s="613"/>
      <c r="R33" s="708">
        <v>42641</v>
      </c>
      <c r="S33" s="708" t="s">
        <v>229</v>
      </c>
      <c r="T33" s="708"/>
      <c r="U33" s="233"/>
      <c r="V33" s="17"/>
      <c r="X33" s="776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08" t="s">
        <v>364</v>
      </c>
      <c r="I34" s="1713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47">
        <v>0</v>
      </c>
      <c r="Q34" s="613"/>
      <c r="R34" s="708">
        <v>42641</v>
      </c>
      <c r="S34" s="708" t="s">
        <v>229</v>
      </c>
      <c r="T34" s="708"/>
      <c r="U34" s="233"/>
      <c r="V34" s="17"/>
      <c r="X34" s="776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08" t="s">
        <v>320</v>
      </c>
      <c r="I35" s="1713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47">
        <v>0</v>
      </c>
      <c r="Q35" s="613"/>
      <c r="R35" s="708">
        <v>42641</v>
      </c>
      <c r="S35" s="708" t="s">
        <v>229</v>
      </c>
      <c r="T35" s="708"/>
      <c r="U35" s="233"/>
      <c r="V35" s="17"/>
      <c r="X35" s="776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08" t="s">
        <v>287</v>
      </c>
      <c r="I36" s="1713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47">
        <v>0</v>
      </c>
      <c r="Q36" s="613"/>
      <c r="R36" s="708">
        <v>42641</v>
      </c>
      <c r="S36" s="708" t="s">
        <v>229</v>
      </c>
      <c r="T36" s="708"/>
      <c r="U36" s="233"/>
      <c r="V36" s="17"/>
      <c r="X36" s="776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08" t="s">
        <v>381</v>
      </c>
      <c r="I37" s="1713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47">
        <v>0</v>
      </c>
      <c r="Q37" s="613"/>
      <c r="R37" s="708">
        <v>42551</v>
      </c>
      <c r="S37" s="708" t="s">
        <v>229</v>
      </c>
      <c r="T37" s="708"/>
      <c r="U37" s="233"/>
      <c r="V37" s="17"/>
      <c r="X37" s="776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08" t="s">
        <v>386</v>
      </c>
      <c r="I38" s="1713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47">
        <v>69.23</v>
      </c>
      <c r="Q38" s="708">
        <v>42917</v>
      </c>
      <c r="R38" s="708">
        <v>42551</v>
      </c>
      <c r="S38" s="708" t="s">
        <v>229</v>
      </c>
      <c r="T38" s="708"/>
      <c r="U38" s="233"/>
      <c r="V38" s="17"/>
      <c r="X38" s="776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08" t="s">
        <v>392</v>
      </c>
      <c r="I39" s="1713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47">
        <v>0</v>
      </c>
      <c r="Q39" s="613"/>
      <c r="R39" s="708">
        <v>42486</v>
      </c>
      <c r="S39" s="708" t="s">
        <v>229</v>
      </c>
      <c r="T39" s="708"/>
      <c r="U39" s="233"/>
      <c r="V39" s="17"/>
      <c r="X39" s="776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08" t="s">
        <v>397</v>
      </c>
      <c r="I40" s="1713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47">
        <v>0</v>
      </c>
      <c r="Q40" s="613"/>
      <c r="R40" s="708">
        <v>42547</v>
      </c>
      <c r="S40" s="708" t="s">
        <v>229</v>
      </c>
      <c r="T40" s="708"/>
      <c r="U40" s="233"/>
      <c r="V40" s="17"/>
      <c r="X40" s="776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08" t="s">
        <v>397</v>
      </c>
      <c r="I41" s="1713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47">
        <v>0</v>
      </c>
      <c r="Q41" s="613"/>
      <c r="R41" s="708">
        <v>42551</v>
      </c>
      <c r="S41" s="708" t="s">
        <v>229</v>
      </c>
      <c r="T41" s="708"/>
      <c r="U41" s="233"/>
      <c r="V41" s="17"/>
      <c r="X41" s="776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08" t="s">
        <v>408</v>
      </c>
      <c r="I42" s="1713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47">
        <v>0</v>
      </c>
      <c r="Q42" s="613"/>
      <c r="R42" s="708">
        <v>42551</v>
      </c>
      <c r="S42" s="708" t="s">
        <v>229</v>
      </c>
      <c r="T42" s="708"/>
      <c r="U42" s="233"/>
      <c r="V42" s="17"/>
      <c r="X42" s="776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08" t="s">
        <v>397</v>
      </c>
      <c r="I43" s="1713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47">
        <v>0</v>
      </c>
      <c r="Q43" s="613"/>
      <c r="R43" s="708">
        <v>42551</v>
      </c>
      <c r="S43" s="708" t="s">
        <v>229</v>
      </c>
      <c r="T43" s="708"/>
      <c r="U43" s="233"/>
      <c r="V43" s="17"/>
      <c r="X43" s="776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08" t="s">
        <v>397</v>
      </c>
      <c r="I44" s="1713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47">
        <v>0</v>
      </c>
      <c r="Q44" s="613"/>
      <c r="R44" s="708">
        <v>42551</v>
      </c>
      <c r="S44" s="708" t="s">
        <v>229</v>
      </c>
      <c r="T44" s="708"/>
      <c r="U44" s="233"/>
      <c r="V44" s="17"/>
      <c r="X44" s="776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08" t="s">
        <v>287</v>
      </c>
      <c r="I45" s="1713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47">
        <v>0</v>
      </c>
      <c r="Q45" s="613"/>
      <c r="R45" s="708">
        <v>42551</v>
      </c>
      <c r="S45" s="708" t="s">
        <v>229</v>
      </c>
      <c r="T45" s="708"/>
      <c r="U45" s="233"/>
      <c r="V45" s="17"/>
      <c r="X45" s="776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08" t="s">
        <v>227</v>
      </c>
      <c r="I46" s="1713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47">
        <v>0</v>
      </c>
      <c r="Q46" s="613"/>
      <c r="R46" s="708">
        <v>42451</v>
      </c>
      <c r="S46" s="708" t="s">
        <v>229</v>
      </c>
      <c r="T46" s="708"/>
      <c r="U46" s="233"/>
      <c r="V46" s="17"/>
      <c r="X46" s="776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08" t="s">
        <v>438</v>
      </c>
      <c r="I47" s="1713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47">
        <v>0</v>
      </c>
      <c r="Q47" s="613"/>
      <c r="R47" s="708">
        <v>42489</v>
      </c>
      <c r="S47" s="708" t="s">
        <v>229</v>
      </c>
      <c r="T47" s="708"/>
      <c r="U47" s="233"/>
      <c r="V47" s="17"/>
      <c r="X47" s="776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48" t="s">
        <v>442</v>
      </c>
      <c r="H48" s="708" t="s">
        <v>443</v>
      </c>
      <c r="I48" s="1713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8" t="s">
        <v>444</v>
      </c>
      <c r="Q48" s="613"/>
      <c r="R48" s="708"/>
      <c r="S48" s="708" t="s">
        <v>445</v>
      </c>
      <c r="T48" s="708">
        <v>43374</v>
      </c>
      <c r="U48" s="233"/>
      <c r="V48" s="17"/>
      <c r="X48" s="776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48" t="s">
        <v>450</v>
      </c>
      <c r="H49" s="708" t="s">
        <v>451</v>
      </c>
      <c r="I49" s="1713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8" t="s">
        <v>444</v>
      </c>
      <c r="Q49" s="613"/>
      <c r="R49" s="708"/>
      <c r="S49" s="708" t="s">
        <v>445</v>
      </c>
      <c r="T49" s="708">
        <v>43405</v>
      </c>
      <c r="U49" s="233"/>
      <c r="V49" s="17"/>
      <c r="X49" s="776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48" t="s">
        <v>455</v>
      </c>
      <c r="H50" s="708" t="s">
        <v>456</v>
      </c>
      <c r="I50" s="1713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8" t="s">
        <v>444</v>
      </c>
      <c r="Q50" s="613"/>
      <c r="R50" s="708"/>
      <c r="S50" s="708" t="s">
        <v>445</v>
      </c>
      <c r="T50" s="708">
        <v>43405</v>
      </c>
      <c r="U50" s="233"/>
      <c r="V50" s="17"/>
      <c r="X50" s="776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48" t="s">
        <v>461</v>
      </c>
      <c r="H51" s="708" t="s">
        <v>462</v>
      </c>
      <c r="I51" s="1713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8" t="s">
        <v>444</v>
      </c>
      <c r="Q51" s="613"/>
      <c r="R51" s="708"/>
      <c r="S51" s="708" t="s">
        <v>445</v>
      </c>
      <c r="T51" s="708">
        <v>43405</v>
      </c>
      <c r="U51" s="233"/>
      <c r="V51" s="17"/>
      <c r="X51" s="776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48" t="s">
        <v>467</v>
      </c>
      <c r="H52" s="708" t="s">
        <v>468</v>
      </c>
      <c r="I52" s="1713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08" t="s">
        <v>444</v>
      </c>
      <c r="Q52" s="613"/>
      <c r="R52" s="708"/>
      <c r="S52" s="708" t="s">
        <v>445</v>
      </c>
      <c r="T52" s="708">
        <v>43405</v>
      </c>
      <c r="U52" s="233"/>
      <c r="V52" s="17"/>
      <c r="X52" s="776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48" t="s">
        <v>474</v>
      </c>
      <c r="H53" s="708" t="s">
        <v>475</v>
      </c>
      <c r="I53" s="1713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08" t="s">
        <v>444</v>
      </c>
      <c r="Q53" s="613"/>
      <c r="R53" s="708"/>
      <c r="S53" s="708" t="s">
        <v>445</v>
      </c>
      <c r="T53" s="708">
        <v>43466</v>
      </c>
      <c r="U53" s="233"/>
      <c r="V53" s="17"/>
      <c r="X53" s="776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48" t="s">
        <v>480</v>
      </c>
      <c r="H54" s="708" t="s">
        <v>481</v>
      </c>
      <c r="I54" s="1713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08" t="s">
        <v>444</v>
      </c>
      <c r="Q54" s="613"/>
      <c r="R54" s="708"/>
      <c r="S54" s="708" t="s">
        <v>445</v>
      </c>
      <c r="T54" s="708">
        <v>43435</v>
      </c>
      <c r="U54" s="233"/>
      <c r="V54" s="17"/>
      <c r="X54" s="776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48" t="s">
        <v>485</v>
      </c>
      <c r="H55" s="708" t="s">
        <v>486</v>
      </c>
      <c r="I55" s="1713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08" t="s">
        <v>444</v>
      </c>
      <c r="Q55" s="613"/>
      <c r="R55" s="708"/>
      <c r="S55" s="708" t="s">
        <v>445</v>
      </c>
      <c r="T55" s="708">
        <v>43435</v>
      </c>
      <c r="U55" s="233"/>
      <c r="V55" s="17"/>
      <c r="X55" s="776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48" t="s">
        <v>490</v>
      </c>
      <c r="H56" s="708" t="s">
        <v>491</v>
      </c>
      <c r="I56" s="1713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08" t="s">
        <v>444</v>
      </c>
      <c r="Q56" s="613"/>
      <c r="R56" s="708"/>
      <c r="S56" s="708" t="s">
        <v>445</v>
      </c>
      <c r="T56" s="708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48" t="s">
        <v>496</v>
      </c>
      <c r="H57" s="708" t="s">
        <v>497</v>
      </c>
      <c r="I57" s="1713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08" t="s">
        <v>444</v>
      </c>
      <c r="Q57" s="613"/>
      <c r="R57" s="708"/>
      <c r="S57" s="708" t="s">
        <v>445</v>
      </c>
      <c r="T57" s="708">
        <v>43435</v>
      </c>
      <c r="U57" s="233"/>
      <c r="V57" s="17"/>
      <c r="X57" s="832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08" t="s">
        <v>503</v>
      </c>
      <c r="I58" s="1713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08"/>
      <c r="Q58" s="613"/>
      <c r="R58" s="708"/>
      <c r="S58" s="708" t="s">
        <v>445</v>
      </c>
      <c r="T58" s="708">
        <v>43525</v>
      </c>
      <c r="U58" s="233"/>
      <c r="V58" s="17"/>
      <c r="X58" s="776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08" t="s">
        <v>508</v>
      </c>
      <c r="I59" s="1713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08"/>
      <c r="Q59" s="613"/>
      <c r="R59" s="708"/>
      <c r="S59" s="708" t="s">
        <v>445</v>
      </c>
      <c r="T59" s="708">
        <v>43525</v>
      </c>
      <c r="U59" s="233"/>
      <c r="V59" s="17"/>
      <c r="X59" s="776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08" t="s">
        <v>513</v>
      </c>
      <c r="I60" s="1713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8"/>
      <c r="Q60" s="613"/>
      <c r="R60" s="708"/>
      <c r="S60" s="708" t="s">
        <v>445</v>
      </c>
      <c r="T60" s="708">
        <v>43614</v>
      </c>
      <c r="X60" s="776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08">
        <v>43831</v>
      </c>
      <c r="H61" s="819" t="s">
        <v>518</v>
      </c>
      <c r="I61" s="1713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19"/>
      <c r="R61" s="819"/>
      <c r="S61" s="708" t="s">
        <v>519</v>
      </c>
      <c r="T61" s="819">
        <v>44105</v>
      </c>
      <c r="X61" s="613" t="s">
        <v>414</v>
      </c>
      <c r="Y61" s="814"/>
      <c r="AB61" t="s">
        <v>258</v>
      </c>
      <c r="AC61" s="8">
        <v>44772</v>
      </c>
      <c r="AD61" s="814"/>
      <c r="AS61"/>
      <c r="AX61"/>
    </row>
    <row r="62" spans="1:50">
      <c r="AD62" s="746"/>
    </row>
    <row r="64" spans="1:50">
      <c r="B64">
        <v>6896</v>
      </c>
    </row>
    <row r="66" spans="1:14" hidden="1">
      <c r="A66" s="624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2026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1">
        <v>0.26350000000000001</v>
      </c>
      <c r="L69" s="820">
        <v>0</v>
      </c>
      <c r="M69" s="820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1">
        <v>0.26350000000000001</v>
      </c>
      <c r="L70" s="820">
        <v>0</v>
      </c>
      <c r="M70" s="820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1">
        <v>0</v>
      </c>
      <c r="L71" s="820">
        <v>0</v>
      </c>
      <c r="M71" s="820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1">
        <v>0.22989999999999999</v>
      </c>
      <c r="L72" s="820">
        <v>0</v>
      </c>
      <c r="M72" s="820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1">
        <v>0</v>
      </c>
      <c r="H73" s="651">
        <v>0</v>
      </c>
      <c r="I73" s="651">
        <v>0</v>
      </c>
      <c r="J73" s="499">
        <v>0</v>
      </c>
      <c r="K73" s="651">
        <v>0</v>
      </c>
      <c r="L73" s="820">
        <v>0</v>
      </c>
      <c r="M73" s="820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1">
        <v>0.30859999999999999</v>
      </c>
      <c r="L74" s="820">
        <v>0</v>
      </c>
      <c r="M74" s="1438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1">
        <v>0.30859999999999999</v>
      </c>
      <c r="L75" s="820">
        <v>0.29099999999999998</v>
      </c>
      <c r="M75" s="1439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1">
        <v>0.57469999999999999</v>
      </c>
      <c r="L76" s="820">
        <v>0.56379999999999997</v>
      </c>
      <c r="M76" s="1439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1">
        <v>0.1933</v>
      </c>
      <c r="L77" s="820">
        <v>0</v>
      </c>
      <c r="M77" s="820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1">
        <v>0.38150000000000001</v>
      </c>
      <c r="L78" s="820">
        <v>0.2326</v>
      </c>
      <c r="M78" s="1439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1">
        <v>0.38150000000000001</v>
      </c>
      <c r="L79" s="820">
        <v>0.2326</v>
      </c>
      <c r="M79" s="1439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1">
        <v>0.1027</v>
      </c>
      <c r="L80" s="820">
        <v>9.9400000000000002E-2</v>
      </c>
      <c r="M80" s="1439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1">
        <v>0.1027</v>
      </c>
      <c r="L81" s="820">
        <v>9.9400000000000002E-2</v>
      </c>
      <c r="M81" s="1439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1">
        <v>0</v>
      </c>
      <c r="L82" s="820">
        <v>0</v>
      </c>
      <c r="M82" s="820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1">
        <v>0.67110000000000003</v>
      </c>
      <c r="L83" s="820">
        <v>0.63749999999999996</v>
      </c>
      <c r="M83" s="1439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1">
        <v>0.43730000000000002</v>
      </c>
      <c r="L84" s="820">
        <f>DescontosTE[[#This Row],[2019]]</f>
        <v>0.43730000000000002</v>
      </c>
      <c r="M84" s="1440">
        <f>DescontosTE[[#This Row],[2020]]</f>
        <v>0.43730000000000002</v>
      </c>
      <c r="N84" s="1440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1">
        <v>0.33379999999999999</v>
      </c>
      <c r="L85" s="820">
        <v>0.25619999999999998</v>
      </c>
      <c r="M85" s="1439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1">
        <v>0.42549999999999999</v>
      </c>
      <c r="L86" s="820">
        <v>0.37969999999999998</v>
      </c>
      <c r="M86" s="1439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1">
        <v>0.56830000000000003</v>
      </c>
      <c r="L87" s="820">
        <v>0.55110000000000003</v>
      </c>
      <c r="M87" s="1439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1">
        <v>0.2782</v>
      </c>
      <c r="L88" s="820">
        <v>0.2132</v>
      </c>
      <c r="M88" s="1439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1">
        <v>0.2782</v>
      </c>
      <c r="L89" s="820">
        <v>0.2132</v>
      </c>
      <c r="M89" s="1439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1">
        <v>0.2782</v>
      </c>
      <c r="L90" s="820">
        <v>0.2132</v>
      </c>
      <c r="M90" s="1439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1">
        <v>5.0599999999999999E-2</v>
      </c>
      <c r="L91" s="820">
        <v>0</v>
      </c>
      <c r="M91" s="820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5">
        <v>1.2E-2</v>
      </c>
      <c r="L92" s="820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5">
        <v>1.2E-2</v>
      </c>
      <c r="L93" s="820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5">
        <v>1.2E-2</v>
      </c>
      <c r="L94" s="820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5">
        <v>1.2E-2</v>
      </c>
      <c r="L95" s="820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5">
        <v>1.2E-2</v>
      </c>
      <c r="L96" s="820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1">
        <v>0.58150000000000002</v>
      </c>
      <c r="L97" s="820">
        <v>0.58150000000000002</v>
      </c>
      <c r="M97" s="1439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1">
        <v>0</v>
      </c>
      <c r="L98" s="820">
        <v>0</v>
      </c>
      <c r="M98" s="820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1">
        <v>0</v>
      </c>
      <c r="L99" s="820">
        <v>0</v>
      </c>
      <c r="M99" s="820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1">
        <v>0</v>
      </c>
      <c r="L100" s="820">
        <v>0</v>
      </c>
      <c r="M100" s="820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1">
        <v>0</v>
      </c>
      <c r="L101" s="820">
        <v>0</v>
      </c>
      <c r="M101" s="820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1">
        <v>0.61480000000000001</v>
      </c>
      <c r="L102" s="820">
        <v>0.55579999999999996</v>
      </c>
      <c r="M102" s="1439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1">
        <v>0.61480000000000001</v>
      </c>
      <c r="L103" s="820">
        <v>0.55579999999999996</v>
      </c>
      <c r="M103" s="1439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1">
        <v>0</v>
      </c>
      <c r="L104" s="820">
        <v>0</v>
      </c>
      <c r="M104" s="820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1">
        <v>0.44540000000000002</v>
      </c>
      <c r="L105" s="820">
        <v>0.44540000000000002</v>
      </c>
      <c r="M105" s="1439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7">
        <v>0</v>
      </c>
      <c r="K106" s="651">
        <v>0</v>
      </c>
      <c r="L106" s="820">
        <v>0</v>
      </c>
      <c r="M106" s="820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7">
        <v>0.31390000000000001</v>
      </c>
      <c r="K107" s="651">
        <v>0.31390000000000001</v>
      </c>
      <c r="L107" s="820">
        <v>7.5600000000000001E-2</v>
      </c>
      <c r="M107" s="1439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7">
        <v>0.31390000000000001</v>
      </c>
      <c r="K108" s="651">
        <v>0.31390000000000001</v>
      </c>
      <c r="L108" s="820">
        <v>7.5600000000000001E-2</v>
      </c>
      <c r="M108" s="1439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1">
        <v>0.48139999999999999</v>
      </c>
      <c r="L109" s="820">
        <v>0.48139999999999999</v>
      </c>
      <c r="M109" s="1439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1">
        <v>0.59009999999999996</v>
      </c>
      <c r="L110" s="820">
        <v>0.55869999999999997</v>
      </c>
      <c r="M110" s="1439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1">
        <v>0</v>
      </c>
      <c r="L111" s="820">
        <v>0</v>
      </c>
      <c r="M111" s="820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1">
        <v>0</v>
      </c>
      <c r="L112" s="820">
        <v>0</v>
      </c>
      <c r="M112" s="820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1">
        <v>0</v>
      </c>
      <c r="L113" s="820">
        <v>0</v>
      </c>
      <c r="M113" s="820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1">
        <v>0.48330000000000001</v>
      </c>
      <c r="L114" s="820">
        <v>0.35730000000000001</v>
      </c>
      <c r="M114" s="1439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1">
        <v>0.48330000000000001</v>
      </c>
      <c r="L115" s="820">
        <v>0.35730000000000001</v>
      </c>
      <c r="M115" s="1439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1">
        <v>0.81359999999999999</v>
      </c>
      <c r="L116" s="820">
        <v>0.81359999999999999</v>
      </c>
      <c r="M116" s="1439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1">
        <v>0</v>
      </c>
      <c r="L117" s="820">
        <v>0</v>
      </c>
      <c r="M117" s="820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1">
        <v>0</v>
      </c>
      <c r="L118" s="820">
        <v>0</v>
      </c>
      <c r="M118" s="820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1">
        <v>0.59</v>
      </c>
      <c r="L119" s="820">
        <v>0.59</v>
      </c>
      <c r="M119" s="1439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1">
        <v>0.43780000000000002</v>
      </c>
      <c r="L120" s="820">
        <v>0.42730000000000001</v>
      </c>
      <c r="M120" s="1439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1">
        <v>0.4995</v>
      </c>
      <c r="L121" s="820">
        <v>0.42730000000000001</v>
      </c>
      <c r="M121" s="1439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1">
        <v>0.4995</v>
      </c>
      <c r="L122" s="820">
        <v>0.42730000000000001</v>
      </c>
      <c r="M122" s="1439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1">
        <v>0</v>
      </c>
      <c r="L123" s="820">
        <v>0</v>
      </c>
      <c r="M123" s="820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1">
        <v>0</v>
      </c>
      <c r="L124" s="820">
        <v>0</v>
      </c>
      <c r="M124" s="820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1">
        <v>4.9599999999999998E-2</v>
      </c>
      <c r="L125" s="820">
        <v>3.3399999999999999E-2</v>
      </c>
      <c r="M125" s="1439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1">
        <v>2.6599999999999999E-2</v>
      </c>
      <c r="L126" s="820">
        <v>0</v>
      </c>
      <c r="M126" s="820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1">
        <v>0</v>
      </c>
      <c r="L127" s="820">
        <v>0</v>
      </c>
      <c r="M127" s="820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1">
        <v>0</v>
      </c>
      <c r="L128" s="820">
        <v>0</v>
      </c>
      <c r="M128" s="820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1">
        <v>0</v>
      </c>
      <c r="L129" s="820">
        <v>0</v>
      </c>
      <c r="M129" s="820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1">
        <v>0.34849999999999998</v>
      </c>
      <c r="L130" s="820">
        <v>0.28499999999999998</v>
      </c>
      <c r="M130" s="1439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1">
        <v>0.46889999999999998</v>
      </c>
      <c r="L131" s="820">
        <v>0.214</v>
      </c>
      <c r="M131" s="1439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1">
        <v>2.07E-2</v>
      </c>
      <c r="L132" s="820">
        <v>2.07E-2</v>
      </c>
      <c r="M132" s="1439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5">
        <v>0.38529999999999998</v>
      </c>
      <c r="L133" s="820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5">
        <v>0.38030000000000003</v>
      </c>
      <c r="L134" s="820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5">
        <v>0.1401</v>
      </c>
      <c r="L135" s="820">
        <v>0.1401</v>
      </c>
      <c r="M135" s="1439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5">
        <v>0.22370000000000001</v>
      </c>
      <c r="L136" s="820">
        <v>0.1273</v>
      </c>
      <c r="M136" s="1439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5">
        <v>0.42030000000000001</v>
      </c>
      <c r="L137" s="820">
        <v>0.33839999999999998</v>
      </c>
      <c r="M137" s="1439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5">
        <v>0.4153</v>
      </c>
      <c r="L138" s="820">
        <v>0.33839999999999998</v>
      </c>
      <c r="M138" s="1439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5">
        <v>4.3299999999999998E-2</v>
      </c>
      <c r="L139" s="820">
        <v>0</v>
      </c>
      <c r="M139" s="820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5">
        <v>4.3299999999999998E-2</v>
      </c>
      <c r="L140" s="820">
        <v>0</v>
      </c>
      <c r="M140" s="820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5">
        <v>0.3735</v>
      </c>
      <c r="L141" s="820">
        <v>0.29289999999999999</v>
      </c>
      <c r="M141" s="1439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5">
        <v>0.34079999999999999</v>
      </c>
      <c r="L142" s="820">
        <v>0.25679999999999997</v>
      </c>
      <c r="M142" s="1439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5">
        <v>0.28170000000000001</v>
      </c>
      <c r="L143" s="820">
        <v>0.25019999999999998</v>
      </c>
      <c r="M143" s="1439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5">
        <v>0.16650000000000001</v>
      </c>
      <c r="L144" s="820">
        <v>0.1057</v>
      </c>
      <c r="M144" s="1439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5">
        <v>0.33779999999999999</v>
      </c>
      <c r="L145" s="820">
        <v>0.20419999999999999</v>
      </c>
      <c r="M145" s="1439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5">
        <v>0.48630000000000001</v>
      </c>
      <c r="L146" s="820">
        <v>0.37609999999999999</v>
      </c>
      <c r="M146" s="1439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5">
        <v>0.18690000000000001</v>
      </c>
      <c r="L147" s="820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5">
        <v>0.18690000000000001</v>
      </c>
      <c r="L148" s="820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1"/>
      <c r="H149" s="821"/>
      <c r="I149" s="821"/>
      <c r="J149" s="500"/>
      <c r="K149" s="775"/>
      <c r="L149" s="820">
        <v>0.1426</v>
      </c>
      <c r="M149" s="1439">
        <v>0.1426</v>
      </c>
      <c r="AS149" s="814"/>
      <c r="AX149" s="814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39">
        <v>0.1426</v>
      </c>
      <c r="AS150" s="814"/>
      <c r="AX150" s="814"/>
    </row>
    <row r="154" spans="1:50">
      <c r="A154" s="624" t="s">
        <v>546</v>
      </c>
    </row>
    <row r="156" spans="1:50">
      <c r="A156" s="9" t="s">
        <v>22</v>
      </c>
      <c r="B156" s="625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2026</v>
      </c>
    </row>
    <row r="157" spans="1:50">
      <c r="A157" s="9" t="s">
        <v>521</v>
      </c>
      <c r="B157" s="626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4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7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4">
        <v>750.67</v>
      </c>
      <c r="L158">
        <v>694.52</v>
      </c>
      <c r="M158" s="408">
        <v>683.87</v>
      </c>
    </row>
    <row r="159" spans="1:50">
      <c r="A159" s="9" t="s">
        <v>521</v>
      </c>
      <c r="B159" s="626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4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7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4">
        <v>521.09</v>
      </c>
      <c r="L160">
        <v>586.86</v>
      </c>
      <c r="M160">
        <v>663.81999999999994</v>
      </c>
    </row>
    <row r="161" spans="1:13">
      <c r="A161" s="9" t="s">
        <v>521</v>
      </c>
      <c r="B161" s="626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4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7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4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6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4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7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4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6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4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7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4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6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4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7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4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6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4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7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4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6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4">
        <v>544.1</v>
      </c>
      <c r="L171">
        <v>589.07999999999993</v>
      </c>
      <c r="M171" s="629">
        <v>561.9</v>
      </c>
    </row>
    <row r="172" spans="1:13">
      <c r="A172" s="9" t="s">
        <v>521</v>
      </c>
      <c r="B172" s="627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4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6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4">
        <v>655.47</v>
      </c>
      <c r="L173">
        <v>654.13</v>
      </c>
      <c r="M173" s="408">
        <v>721.68</v>
      </c>
    </row>
    <row r="174" spans="1:13">
      <c r="A174" s="9" t="s">
        <v>521</v>
      </c>
      <c r="B174" s="627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4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6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4">
        <v>559.04</v>
      </c>
      <c r="L175">
        <v>605.22</v>
      </c>
      <c r="M175" s="408">
        <v>641.27</v>
      </c>
    </row>
    <row r="176" spans="1:13">
      <c r="A176" s="9" t="s">
        <v>521</v>
      </c>
      <c r="B176" s="627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4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6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4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7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4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6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4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7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4">
        <v>387.09</v>
      </c>
      <c r="L180">
        <v>395.17</v>
      </c>
      <c r="M180" s="408">
        <v>403.03</v>
      </c>
    </row>
    <row r="181" spans="1:13">
      <c r="A181" s="9" t="s">
        <v>521</v>
      </c>
      <c r="B181" s="626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4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7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4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6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4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7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4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6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4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7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4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6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4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7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4">
        <v>503.84</v>
      </c>
      <c r="L188">
        <v>506.04</v>
      </c>
      <c r="M188" s="408">
        <v>514.01</v>
      </c>
    </row>
    <row r="189" spans="1:13">
      <c r="A189" s="9" t="s">
        <v>521</v>
      </c>
      <c r="B189" s="626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4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7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4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6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4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7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4">
        <v>469.96</v>
      </c>
      <c r="L192">
        <v>496.82</v>
      </c>
      <c r="M192" s="408">
        <v>587.54</v>
      </c>
    </row>
    <row r="193" spans="1:16">
      <c r="A193" s="9" t="s">
        <v>521</v>
      </c>
      <c r="B193" s="626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4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8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4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4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4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4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4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4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4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4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4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4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4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4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4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0" t="s">
        <v>265</v>
      </c>
      <c r="C207" s="232"/>
      <c r="D207" s="232"/>
      <c r="E207" s="232"/>
      <c r="F207" s="232"/>
      <c r="G207" s="232"/>
      <c r="H207" s="232"/>
      <c r="K207" s="774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0" t="s">
        <v>258</v>
      </c>
      <c r="C208" s="232"/>
      <c r="D208" s="232"/>
      <c r="E208" s="232"/>
      <c r="F208" s="232"/>
      <c r="G208" s="232"/>
      <c r="H208" s="232"/>
      <c r="K208" s="774"/>
      <c r="L208">
        <f>357.76+231.81</f>
        <v>589.56999999999994</v>
      </c>
      <c r="M208" s="408">
        <v>677.96999999999991</v>
      </c>
      <c r="O208" s="809" t="s">
        <v>552</v>
      </c>
      <c r="P208" s="810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4">
        <f>397.32+270.9</f>
        <v>668.22</v>
      </c>
      <c r="L209">
        <v>683.67</v>
      </c>
      <c r="M209" s="507">
        <v>714.43999999999994</v>
      </c>
      <c r="N209">
        <v>838.02</v>
      </c>
      <c r="O209" s="809" t="s">
        <v>553</v>
      </c>
      <c r="P209" s="810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4">
        <v>469.78</v>
      </c>
      <c r="L210">
        <v>505.99000000000007</v>
      </c>
      <c r="M210" s="408">
        <v>532.24</v>
      </c>
      <c r="O210" s="809" t="s">
        <v>554</v>
      </c>
      <c r="P210" s="810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09" t="s">
        <v>555</v>
      </c>
      <c r="P211" s="810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4">
        <v>517.61</v>
      </c>
      <c r="L212">
        <v>512.77</v>
      </c>
      <c r="M212" s="408">
        <v>558.81000000000006</v>
      </c>
      <c r="O212" s="809" t="s">
        <v>556</v>
      </c>
      <c r="P212" s="810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4">
        <v>523.02</v>
      </c>
      <c r="L213">
        <v>550.20000000000005</v>
      </c>
      <c r="M213">
        <v>595.66</v>
      </c>
      <c r="N213">
        <v>678.65</v>
      </c>
      <c r="O213" s="809" t="s">
        <v>557</v>
      </c>
      <c r="P213" s="810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4">
        <v>490.18</v>
      </c>
      <c r="L214">
        <v>533.54999999999995</v>
      </c>
      <c r="M214" s="408">
        <v>619.94000000000005</v>
      </c>
      <c r="O214" s="809" t="s">
        <v>558</v>
      </c>
      <c r="P214" s="810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4">
        <f>303.99+243.7</f>
        <v>547.69000000000005</v>
      </c>
      <c r="L215">
        <v>541.15</v>
      </c>
      <c r="M215" s="815">
        <v>564.97</v>
      </c>
      <c r="N215">
        <v>606.77</v>
      </c>
      <c r="O215" s="809" t="s">
        <v>559</v>
      </c>
      <c r="P215" s="810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29">
        <v>487.3</v>
      </c>
      <c r="J216">
        <f>241.74+319.79</f>
        <v>561.53</v>
      </c>
      <c r="K216" s="774">
        <v>525.73</v>
      </c>
      <c r="L216" s="629">
        <v>546.10945347732809</v>
      </c>
      <c r="M216" s="408">
        <v>635.92000000000007</v>
      </c>
      <c r="N216" s="807"/>
      <c r="O216" s="809" t="s">
        <v>560</v>
      </c>
      <c r="P216" s="810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4">
        <v>531.87</v>
      </c>
      <c r="L217" s="629">
        <v>555.04999999999995</v>
      </c>
      <c r="M217" s="408">
        <v>622.58000000000004</v>
      </c>
      <c r="O217" s="809" t="s">
        <v>561</v>
      </c>
      <c r="P217" s="810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4">
        <v>515.59</v>
      </c>
      <c r="L218" s="629">
        <v>534.19000000000005</v>
      </c>
      <c r="M218" s="408">
        <v>594.49</v>
      </c>
      <c r="O218" s="809" t="s">
        <v>562</v>
      </c>
      <c r="P218" s="810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4">
        <v>530.72</v>
      </c>
      <c r="L219" s="629">
        <v>535.51</v>
      </c>
      <c r="M219" s="232">
        <v>580.43681504518099</v>
      </c>
      <c r="N219">
        <v>677.99</v>
      </c>
      <c r="O219" s="809" t="s">
        <v>563</v>
      </c>
      <c r="P219" s="810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4">
        <v>560.27</v>
      </c>
      <c r="L220" s="629">
        <v>589.57000000000005</v>
      </c>
      <c r="M220" s="408">
        <v>643.09</v>
      </c>
      <c r="O220" s="809" t="s">
        <v>564</v>
      </c>
      <c r="P220" s="810" t="e">
        <v>#N/A</v>
      </c>
    </row>
    <row r="221" spans="1:50">
      <c r="A221" t="s">
        <v>27</v>
      </c>
      <c r="B221" s="468" t="s">
        <v>291</v>
      </c>
      <c r="J221">
        <v>547.6</v>
      </c>
      <c r="K221" s="774">
        <v>515.07000000000005</v>
      </c>
      <c r="L221">
        <v>548.96999999999991</v>
      </c>
      <c r="M221" s="408">
        <v>629.70000000000005</v>
      </c>
      <c r="O221" s="809" t="s">
        <v>565</v>
      </c>
      <c r="P221" s="810" t="e">
        <v>#N/A</v>
      </c>
    </row>
    <row r="222" spans="1:50">
      <c r="A222" t="s">
        <v>27</v>
      </c>
      <c r="B222" s="468" t="s">
        <v>545</v>
      </c>
      <c r="K222" s="774"/>
      <c r="L222">
        <v>571.71</v>
      </c>
      <c r="M222" s="408">
        <v>605.55000000000007</v>
      </c>
      <c r="O222" s="809" t="s">
        <v>566</v>
      </c>
      <c r="P222" s="822" t="e">
        <v>#N/A</v>
      </c>
      <c r="AS222" s="814"/>
      <c r="AX222" s="814"/>
    </row>
    <row r="223" spans="1:50">
      <c r="O223" s="809" t="s">
        <v>567</v>
      </c>
      <c r="P223" s="810" t="e">
        <v>#N/A</v>
      </c>
    </row>
    <row r="224" spans="1:50">
      <c r="O224" s="809" t="s">
        <v>568</v>
      </c>
      <c r="P224" s="810" t="e">
        <v>#N/A</v>
      </c>
    </row>
    <row r="225" spans="11:16">
      <c r="K225" s="810">
        <v>547.69000000000005</v>
      </c>
      <c r="O225" s="809" t="s">
        <v>569</v>
      </c>
      <c r="P225" s="810" t="e">
        <v>#N/A</v>
      </c>
    </row>
    <row r="226" spans="11:16">
      <c r="O226" s="809" t="s">
        <v>570</v>
      </c>
      <c r="P226" s="810" t="e">
        <v>#N/A</v>
      </c>
    </row>
    <row r="227" spans="11:16">
      <c r="O227" s="809" t="s">
        <v>571</v>
      </c>
      <c r="P227" s="811" t="e">
        <v>#N/A</v>
      </c>
    </row>
    <row r="228" spans="11:16">
      <c r="O228" s="809" t="s">
        <v>572</v>
      </c>
      <c r="P228" s="811" t="e">
        <v>#N/A</v>
      </c>
    </row>
    <row r="229" spans="11:16">
      <c r="O229" s="809" t="s">
        <v>573</v>
      </c>
      <c r="P229" s="811" t="e">
        <v>#N/A</v>
      </c>
    </row>
    <row r="230" spans="11:16">
      <c r="O230" s="809" t="s">
        <v>574</v>
      </c>
      <c r="P230" s="811" t="e">
        <v>#N/A</v>
      </c>
    </row>
    <row r="231" spans="11:16">
      <c r="O231" s="809" t="s">
        <v>575</v>
      </c>
      <c r="P231" s="811" t="e">
        <v>#N/A</v>
      </c>
    </row>
    <row r="232" spans="11:16">
      <c r="O232" s="809" t="s">
        <v>576</v>
      </c>
      <c r="P232" s="811" t="e">
        <v>#N/A</v>
      </c>
    </row>
    <row r="233" spans="11:16">
      <c r="O233" s="809" t="s">
        <v>577</v>
      </c>
      <c r="P233" s="811" t="e">
        <v>#N/A</v>
      </c>
    </row>
    <row r="234" spans="11:16">
      <c r="O234" s="809" t="s">
        <v>578</v>
      </c>
      <c r="P234" s="811" t="e">
        <v>#N/A</v>
      </c>
    </row>
    <row r="235" spans="11:16">
      <c r="O235" s="809" t="s">
        <v>579</v>
      </c>
      <c r="P235" s="811">
        <v>979.23</v>
      </c>
    </row>
    <row r="236" spans="11:16">
      <c r="O236" s="809" t="s">
        <v>580</v>
      </c>
      <c r="P236" s="811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H23" zoomScale="91" zoomScaleNormal="91" workbookViewId="0">
      <selection activeCell="K33" sqref="K33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58" t="s">
        <v>2158</v>
      </c>
      <c r="C1" s="959"/>
      <c r="D1" s="959"/>
      <c r="M1" s="534"/>
      <c r="BA1" s="472"/>
      <c r="BB1" s="472"/>
      <c r="BC1" s="472"/>
      <c r="BD1" s="472"/>
    </row>
    <row r="2" spans="1:84" ht="25.5">
      <c r="B2" s="535" t="str">
        <f>CAPA!C9</f>
        <v>Cerej</v>
      </c>
      <c r="C2" s="621"/>
      <c r="D2" s="536"/>
      <c r="E2" s="576" t="s">
        <v>581</v>
      </c>
      <c r="F2" s="576"/>
      <c r="G2" s="576"/>
      <c r="H2" s="599" t="s">
        <v>2621</v>
      </c>
      <c r="M2" s="534"/>
      <c r="AK2" s="473"/>
      <c r="AZ2" s="1787" t="s">
        <v>582</v>
      </c>
      <c r="BA2" s="1788"/>
      <c r="BB2" s="1788"/>
      <c r="BC2" s="1788"/>
      <c r="BD2" s="1788"/>
      <c r="BE2" s="1788"/>
      <c r="BF2" s="1788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 ht="31.5">
      <c r="C3" s="548"/>
      <c r="E3" s="571" t="s">
        <v>2024</v>
      </c>
      <c r="F3" s="571"/>
      <c r="G3" s="571"/>
      <c r="H3" s="524"/>
      <c r="M3" s="534"/>
      <c r="O3" s="376">
        <f>VALUE(RIGHT(P3,2))</f>
        <v>21</v>
      </c>
      <c r="P3" s="960" t="str">
        <f>VLOOKUP($C$9,Informacoes[],4,FALSE)</f>
        <v>C21</v>
      </c>
      <c r="Q3" s="960" t="str">
        <f>VLOOKUP($C$9,Informacoes[],2,FALSE)</f>
        <v>Cooperativa de Prestação de Serviços Públicos de Distribuição de Energia Elétrica Senador Esteves Júnior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39" t="s">
        <v>2025</v>
      </c>
      <c r="F4" s="739"/>
      <c r="G4" s="739"/>
      <c r="H4" s="764"/>
      <c r="I4" s="537"/>
      <c r="M4" s="534"/>
      <c r="AZ4" s="832"/>
      <c r="BA4" s="961">
        <v>40940</v>
      </c>
      <c r="BB4" s="961" t="s">
        <v>548</v>
      </c>
      <c r="BC4" s="961">
        <v>41306</v>
      </c>
      <c r="BD4" s="961">
        <v>41671</v>
      </c>
      <c r="BE4" s="962">
        <v>42036</v>
      </c>
      <c r="BF4" s="963">
        <v>42401</v>
      </c>
      <c r="BG4" s="963">
        <v>42767</v>
      </c>
      <c r="BI4" s="964"/>
      <c r="BJ4" s="964"/>
      <c r="BK4" s="964"/>
      <c r="BL4" s="964"/>
      <c r="BM4" s="965"/>
      <c r="BN4" s="965"/>
      <c r="BO4" s="965"/>
      <c r="BP4" s="965"/>
      <c r="BQ4" s="965"/>
      <c r="BR4" s="965"/>
      <c r="BS4" s="965"/>
      <c r="BT4" s="965"/>
      <c r="BU4" s="965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39" t="s">
        <v>583</v>
      </c>
      <c r="F5" s="739"/>
      <c r="G5" s="739"/>
      <c r="H5" s="749" t="s">
        <v>2622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2160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47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47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6" t="s">
        <v>310</v>
      </c>
      <c r="D9" s="9"/>
      <c r="E9" s="1789" t="s">
        <v>585</v>
      </c>
      <c r="F9" s="1790"/>
      <c r="G9" s="1790"/>
      <c r="H9" s="1790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7" t="s">
        <v>587</v>
      </c>
      <c r="C10" s="968" t="str">
        <f>IF(C9="Cercos","N/NE","S/SE/CO")</f>
        <v>S/SE/CO</v>
      </c>
      <c r="D10" s="9"/>
      <c r="E10" s="594"/>
      <c r="F10" s="595" t="s">
        <v>588</v>
      </c>
      <c r="G10" s="596">
        <v>44802.609791666669</v>
      </c>
      <c r="H10" s="969"/>
      <c r="I10" s="591"/>
      <c r="J10" s="738" t="s">
        <v>589</v>
      </c>
      <c r="K10" s="970">
        <f>IFERROR(O3+200,0)</f>
        <v>221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44813.618541666663</v>
      </c>
      <c r="H11" s="592"/>
      <c r="I11" s="593"/>
      <c r="J11" s="571" t="s">
        <v>591</v>
      </c>
      <c r="K11" s="598">
        <v>5352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44802.587407407409</v>
      </c>
      <c r="H12" s="592"/>
      <c r="I12" s="593"/>
      <c r="J12" s="739" t="s">
        <v>593</v>
      </c>
      <c r="K12" s="748">
        <f>IF(idsreag=P7,Q7,idagente)</f>
        <v>5352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1">
        <f ca="1">YEAR(TODAY())</f>
        <v>2022</v>
      </c>
      <c r="D13" s="261"/>
      <c r="E13" s="594"/>
      <c r="F13" s="595" t="s">
        <v>595</v>
      </c>
      <c r="G13" s="596">
        <v>44813.648402777777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44813.648877314816</v>
      </c>
      <c r="H14" s="592"/>
      <c r="I14" s="9"/>
      <c r="J14" s="738" t="s">
        <v>599</v>
      </c>
      <c r="K14" s="970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44816.475173611114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44802.622303240743</v>
      </c>
      <c r="H16" s="972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44802.622627314813</v>
      </c>
      <c r="H17" s="9"/>
      <c r="I17" s="370"/>
      <c r="J17" s="571" t="s">
        <v>606</v>
      </c>
      <c r="K17" s="973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08" t="str">
        <f ca="1">C110</f>
        <v>REAJUSTE</v>
      </c>
      <c r="D18" s="261"/>
      <c r="E18" s="594"/>
      <c r="F18" s="595" t="s">
        <v>2132</v>
      </c>
      <c r="G18" s="596">
        <v>44802.622870370367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47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09" t="s">
        <v>610</v>
      </c>
      <c r="C26" s="581"/>
      <c r="D26" s="974"/>
      <c r="E26" s="975"/>
      <c r="F26" s="976"/>
      <c r="G26" s="977"/>
      <c r="H26" s="974"/>
      <c r="I26" s="974"/>
      <c r="J26" s="974"/>
      <c r="K26" s="978"/>
      <c r="L26" s="979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78"/>
      <c r="D28" s="1778"/>
      <c r="E28" s="9"/>
      <c r="F28" s="580" t="s">
        <v>612</v>
      </c>
      <c r="G28" s="581"/>
      <c r="H28" s="581"/>
      <c r="I28" s="9"/>
      <c r="J28" s="1669" t="s">
        <v>613</v>
      </c>
      <c r="K28" s="1670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38" t="s">
        <v>614</v>
      </c>
      <c r="G29" s="738"/>
      <c r="H29" s="980">
        <v>0.13789999999999999</v>
      </c>
      <c r="I29" s="9"/>
      <c r="J29" s="1671" t="s">
        <v>615</v>
      </c>
      <c r="K29" s="1672">
        <f>BD!C26</f>
        <v>26035998.172943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39" t="s">
        <v>616</v>
      </c>
      <c r="G30" s="739"/>
      <c r="H30" s="981"/>
      <c r="I30" s="9"/>
      <c r="J30" s="1673" t="s">
        <v>617</v>
      </c>
      <c r="K30" s="1674" cm="1">
        <f t="array" ref="K30">IFERROR(limiteParcelaB[Limite_PB]*(1+K18),0)</f>
        <v>29224737.764731191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83" t="s">
        <v>618</v>
      </c>
      <c r="C31" s="1783"/>
      <c r="D31" s="769"/>
      <c r="E31" s="9"/>
      <c r="F31" s="982"/>
      <c r="G31" s="982"/>
      <c r="H31" s="983"/>
      <c r="I31" s="9"/>
      <c r="J31" s="1675" t="s">
        <v>619</v>
      </c>
      <c r="K31" s="1676">
        <f>D32+D33+D34</f>
        <v>29224737.75</v>
      </c>
      <c r="L31" s="1683" t="s">
        <v>620</v>
      </c>
      <c r="M31" s="1683" t="s">
        <v>2278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4" t="s">
        <v>621</v>
      </c>
      <c r="C32" s="984"/>
      <c r="D32" s="778">
        <v>15102891.15</v>
      </c>
      <c r="E32" s="9"/>
      <c r="F32" s="985" t="s">
        <v>622</v>
      </c>
      <c r="G32" s="986"/>
      <c r="H32" s="986"/>
      <c r="I32" s="9"/>
      <c r="J32" s="1671" t="s">
        <v>623</v>
      </c>
      <c r="K32" s="1677" cm="1">
        <f t="array" aca="1" ref="K32" ca="1">subvencao[Subvencao Anual]*(VLOOKUP(DATE(AnoRefTar,MONTH(M32)-1,1),Índices!B6:F500,3,FALSE)/VLOOKUP(DATE(YEAR(M32),MONTH(L32)-1,1),Índices!B6:F500,3,FALSE))</f>
        <v>17867394.383257363</v>
      </c>
      <c r="L32" s="1682" cm="1">
        <f t="array" ref="L32">subvencao[Data_Referencia Subvencao]</f>
        <v>44430</v>
      </c>
      <c r="M32" s="1682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4" t="s">
        <v>624</v>
      </c>
      <c r="C33" s="984"/>
      <c r="D33" s="779">
        <v>14121846.6</v>
      </c>
      <c r="E33" s="9"/>
      <c r="F33" s="571" t="s">
        <v>625</v>
      </c>
      <c r="G33" s="571"/>
      <c r="H33" s="487"/>
      <c r="I33" s="9"/>
      <c r="J33" s="1675" t="s">
        <v>626</v>
      </c>
      <c r="K33" s="1678">
        <f ca="1">LnkTXTISubvencaoPB/12</f>
        <v>1488949.5319381135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7"/>
      <c r="C34" s="987"/>
      <c r="D34" s="988"/>
      <c r="E34" s="9"/>
      <c r="F34" s="739" t="s">
        <v>627</v>
      </c>
      <c r="G34" s="739"/>
      <c r="H34" s="989"/>
      <c r="I34" s="9"/>
      <c r="J34" s="1671" t="s">
        <v>628</v>
      </c>
      <c r="K34" s="1679">
        <f>LinkTXTPR</f>
        <v>0.13904635417038499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0"/>
      <c r="E35" s="9"/>
      <c r="F35" s="583"/>
      <c r="G35" s="991"/>
      <c r="H35" s="463"/>
      <c r="I35" s="9"/>
      <c r="J35" s="1673" t="s">
        <v>629</v>
      </c>
      <c r="K35" s="1680">
        <f ca="1">IFERROR(Energia!M20/((Energia!M5+Energia!M6-Energia!M7+Energia!N16)+Energia!M20),0)</f>
        <v>0.14410826885339317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1"/>
      <c r="D36" s="780"/>
      <c r="E36" s="9"/>
      <c r="F36" s="686" t="s">
        <v>634</v>
      </c>
      <c r="G36" s="687"/>
      <c r="H36" s="463"/>
      <c r="I36" s="9"/>
      <c r="J36" s="1675" t="s">
        <v>630</v>
      </c>
      <c r="K36" s="1681">
        <f ca="1">IFERROR(LNKTXTPercperdas,0)</f>
        <v>0.13789999999999999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6" t="s">
        <v>636</v>
      </c>
      <c r="G37" s="688">
        <v>573.02</v>
      </c>
      <c r="H37" s="463"/>
      <c r="I37" s="9"/>
      <c r="J37" s="270"/>
      <c r="K37" s="463"/>
      <c r="L37" s="753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9"/>
      <c r="G39" s="1799"/>
      <c r="H39" s="1546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1" t="str">
        <f ca="1">"Variação processo anterior e "&amp;AnoRevRea</f>
        <v>Variação processo anterior e 2022</v>
      </c>
      <c r="H40" s="781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2">
        <f>BD!C5</f>
        <v>50888.870999999999</v>
      </c>
      <c r="E41" s="9"/>
      <c r="G41" s="576" t="s">
        <v>632</v>
      </c>
      <c r="H41" s="993">
        <f ca="1">IFERROR(Calc_Mercado!J15,0)</f>
        <v>1.5932638788547226E-2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105115.06471188</v>
      </c>
      <c r="E42" s="9"/>
      <c r="G42" s="571" t="s">
        <v>40</v>
      </c>
      <c r="H42" s="993">
        <f ca="1">LnkTxtVarTFSEE</f>
        <v>0.11082948258217362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2973324.3137599998</v>
      </c>
      <c r="E43" s="9"/>
      <c r="G43" s="571" t="s">
        <v>41</v>
      </c>
      <c r="H43" s="578">
        <f ca="1">LnkTxtVarCDE</f>
        <v>0.47707049850433747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470418.94751999999</v>
      </c>
      <c r="E46" s="9"/>
      <c r="G46" s="571" t="s">
        <v>47</v>
      </c>
      <c r="H46" s="578">
        <f ca="1">Resultado!F21</f>
        <v>0.51839681193234766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2034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38" t="s">
        <v>635</v>
      </c>
      <c r="C49" s="738"/>
      <c r="D49" s="994">
        <f>BD!C18</f>
        <v>0</v>
      </c>
      <c r="E49" s="9"/>
      <c r="G49" s="738" t="s">
        <v>635</v>
      </c>
      <c r="H49" s="993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39" t="s">
        <v>638</v>
      </c>
      <c r="C51" s="739"/>
      <c r="D51" s="995"/>
      <c r="E51" s="9"/>
      <c r="G51" s="739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6">
        <f>BD!C25</f>
        <v>6033724.9292400004</v>
      </c>
      <c r="E52" s="9"/>
      <c r="G52" s="576" t="s">
        <v>639</v>
      </c>
      <c r="H52" s="579">
        <f ca="1">Resultado!F32</f>
        <v>0.18656869476904725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6">
        <f>BD!C26</f>
        <v>26035998.172943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7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8" t="s">
        <v>215</v>
      </c>
      <c r="C58" s="999"/>
      <c r="D58" s="765"/>
      <c r="E58" s="1786">
        <v>0</v>
      </c>
      <c r="F58" s="1786"/>
      <c r="G58" s="376"/>
      <c r="L58" s="754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5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4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4" t="s">
        <v>646</v>
      </c>
      <c r="C62" s="715" t="s">
        <v>647</v>
      </c>
      <c r="D62" s="715" t="s">
        <v>192</v>
      </c>
      <c r="E62" s="1779" t="s">
        <v>648</v>
      </c>
      <c r="F62" s="1780"/>
      <c r="G62" s="715" t="s">
        <v>649</v>
      </c>
      <c r="H62" s="716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0">
        <f>Indexador!B34</f>
        <v>44348</v>
      </c>
      <c r="C63" s="1739"/>
      <c r="D63" s="1739"/>
      <c r="E63" s="1793"/>
      <c r="F63" s="1794"/>
      <c r="G63" s="1739"/>
      <c r="H63" s="726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1">
        <f>Indexador!B35</f>
        <v>44378</v>
      </c>
      <c r="C64" s="1740"/>
      <c r="D64" s="1740"/>
      <c r="E64" s="1795"/>
      <c r="F64" s="1796"/>
      <c r="G64" s="1740"/>
      <c r="H64" s="718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7">
        <f>Indexador!B36</f>
        <v>44409</v>
      </c>
      <c r="C65" s="1741"/>
      <c r="D65" s="1741"/>
      <c r="E65" s="1797"/>
      <c r="F65" s="1798"/>
      <c r="G65" s="1741"/>
      <c r="H65" s="737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2">
        <f>Indexador!B37</f>
        <v>44440</v>
      </c>
      <c r="C66" s="731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4123.99</v>
      </c>
      <c r="D66" s="732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-36142.81</v>
      </c>
      <c r="F66" s="1792"/>
      <c r="G66" s="732">
        <f>IFERROR(VLOOKUP(B66,transmissorapiscofins[#All],2,FALSE),0)</f>
        <v>0</v>
      </c>
      <c r="H66" s="718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2">
        <f>Indexador!B38</f>
        <v>44470</v>
      </c>
      <c r="C67" s="731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27072.639999999996</v>
      </c>
      <c r="D67" s="731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1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82"/>
      <c r="G67" s="731">
        <f>IFERROR(VLOOKUP(B67,transmissorapiscofins[#All],2,FALSE),0)</f>
        <v>0</v>
      </c>
      <c r="H67" s="718">
        <f>SUMIF(BD!$A$41:$A$57,B67,BD!$C$41:$C$57)</f>
        <v>0</v>
      </c>
      <c r="I67" s="9"/>
      <c r="J67" s="9"/>
      <c r="K67" s="9"/>
      <c r="L67" s="17"/>
      <c r="M67" s="556"/>
      <c r="N67" s="73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2">
        <f>Indexador!B39</f>
        <v>44501</v>
      </c>
      <c r="C68" s="731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51073.250000000007</v>
      </c>
      <c r="D68" s="731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1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-15249.539999999999</v>
      </c>
      <c r="F68" s="1782"/>
      <c r="G68" s="731">
        <f>IFERROR(VLOOKUP(B68,transmissorapiscofins[#All],2,FALSE),0)</f>
        <v>0</v>
      </c>
      <c r="H68" s="718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2">
        <f>Indexador!B40</f>
        <v>44531</v>
      </c>
      <c r="C69" s="731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57059.76999999999</v>
      </c>
      <c r="D69" s="731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1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-41791.15</v>
      </c>
      <c r="F69" s="1782"/>
      <c r="G69" s="731">
        <f>IFERROR(VLOOKUP(B69,transmissorapiscofins[#All],2,FALSE),0)</f>
        <v>0</v>
      </c>
      <c r="H69" s="718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2">
        <f>Indexador!B41</f>
        <v>44562</v>
      </c>
      <c r="C70" s="731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63633.9</v>
      </c>
      <c r="D70" s="731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1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-19365.55</v>
      </c>
      <c r="F70" s="1782"/>
      <c r="G70" s="731">
        <f>IFERROR(VLOOKUP(B70,transmissorapiscofins[#All],2,FALSE),0)</f>
        <v>0</v>
      </c>
      <c r="H70" s="718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2">
        <f>Indexador!B42</f>
        <v>44593</v>
      </c>
      <c r="C71" s="731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87912.549999999988</v>
      </c>
      <c r="D71" s="731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1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-207890.80000000002</v>
      </c>
      <c r="F71" s="1782"/>
      <c r="G71" s="731">
        <f>IFERROR(VLOOKUP(B71,transmissorapiscofins[#All],2,FALSE),0)</f>
        <v>0</v>
      </c>
      <c r="H71" s="718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2">
        <f>Indexador!B43</f>
        <v>44621</v>
      </c>
      <c r="C72" s="731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44033.84</v>
      </c>
      <c r="D72" s="731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1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-17596.900000000001</v>
      </c>
      <c r="F72" s="1782"/>
      <c r="G72" s="731">
        <f>IFERROR(VLOOKUP(B72,transmissorapiscofins[#All],2,FALSE),0)</f>
        <v>0</v>
      </c>
      <c r="H72" s="718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2">
        <f>Indexador!B44</f>
        <v>44652</v>
      </c>
      <c r="C73" s="731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51041.06</v>
      </c>
      <c r="D73" s="731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1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-17184.739999999998</v>
      </c>
      <c r="F73" s="1782"/>
      <c r="G73" s="731">
        <f>IFERROR(VLOOKUP(B73,transmissorapiscofins[#All],2,FALSE),0)</f>
        <v>0</v>
      </c>
      <c r="H73" s="718">
        <f>SUMIF(BD!$A$41:$A$57,B73,BD!$C$41:$C$57)</f>
        <v>0</v>
      </c>
      <c r="J73" s="1000" t="str">
        <f ca="1">IFERROR(VLOOKUP(TRUE,BD!D41:F56,3,FALSE),"todos os meses")</f>
        <v>todos os meses</v>
      </c>
      <c r="K73" s="1001" t="s">
        <v>656</v>
      </c>
      <c r="L73" s="1002">
        <f ca="1">IF(Energia!F24*2/3=0,0.0000001,Energia!F24*2/3)</f>
        <v>6545609.9839250064</v>
      </c>
      <c r="M73" s="1003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2">
        <f>Indexador!B45</f>
        <v>44682</v>
      </c>
      <c r="C74" s="731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30347.249999999996</v>
      </c>
      <c r="D74" s="731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1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82"/>
      <c r="G74" s="731">
        <f>IFERROR(VLOOKUP(B74,transmissorapiscofins[#All],2,FALSE),0)</f>
        <v>0</v>
      </c>
      <c r="H74" s="718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2">
        <f>Indexador!B46</f>
        <v>44713</v>
      </c>
      <c r="C75" s="731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45676.740000000005</v>
      </c>
      <c r="D75" s="731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1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-61501.65</v>
      </c>
      <c r="F75" s="1782"/>
      <c r="G75" s="731">
        <f>IFERROR(VLOOKUP(B75,transmissorapiscofins[#All],2,FALSE),0)</f>
        <v>0</v>
      </c>
      <c r="H75" s="718">
        <f>SUMIF(BD!$A$41:$A$57,B75,BD!$C$41:$C$57)</f>
        <v>416731.8222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2">
        <f>Indexador!B47</f>
        <v>44743</v>
      </c>
      <c r="C76" s="731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57756.84</v>
      </c>
      <c r="D76" s="731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1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-1178.51</v>
      </c>
      <c r="F76" s="1782"/>
      <c r="G76" s="731">
        <f>IFERROR(VLOOKUP(B76,transmissorapiscofins[#All],2,FALSE),0)</f>
        <v>0</v>
      </c>
      <c r="H76" s="718">
        <f>SUMIF(BD!$A$41:$A$57,B76,BD!$C$41:$C$57)</f>
        <v>63031.052799999998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3">
        <f>Indexador!B48</f>
        <v>44774</v>
      </c>
      <c r="C77" s="733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76322.38</v>
      </c>
      <c r="D77" s="83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4">
        <f>IF($C$113="Não",SUMIFS(Faturas!H:H,Faturas!A:A,$K$12,Faturas!G:G,"DICFIC",Faturas!F:F,YEAR(CAPA!B77)*100+MONTH(CAPA!B77)),IF(B77&lt;$C$114,0,SUMIFS(Faturas!H:H,Faturas!A:A,$K$12,Faturas!G:G,"DICFIC",Faturas!F:F,YEAR(CAPA!B77)*100+MONTH(CAPA!B77))))</f>
        <v>-5188.0499999999993</v>
      </c>
      <c r="F77" s="1785"/>
      <c r="G77" s="831">
        <f>IFERROR(VLOOKUP(B77,transmissorapiscofins[#All],2,FALSE),0)</f>
        <v>0</v>
      </c>
      <c r="H77" s="823">
        <f>SUMIF(BD!$A$41:$A$57,B77,BD!$C$41:$C$57)</f>
        <v>-32.799999999999997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1750">
        <f>SUM(C66:C77)</f>
        <v>596054.21</v>
      </c>
      <c r="D78" s="233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D79" s="555"/>
      <c r="F79" s="1751"/>
      <c r="G79" s="1752"/>
      <c r="H79" s="1753"/>
      <c r="I79" s="1754"/>
      <c r="J79" s="1754"/>
      <c r="K79" s="515"/>
      <c r="L79" s="756"/>
      <c r="M79" s="735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5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G81" s="554"/>
      <c r="J81" s="564"/>
      <c r="L81" s="757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4"/>
      <c r="D82" s="1005"/>
      <c r="E82" s="1005"/>
      <c r="F82" s="1005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38"/>
      <c r="C83" s="1006"/>
      <c r="D83" s="1007"/>
      <c r="E83" s="1007"/>
      <c r="F83" s="1007"/>
      <c r="G83" s="376"/>
      <c r="H83" s="555"/>
      <c r="I83" s="750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38"/>
      <c r="C85" s="1008"/>
      <c r="D85" s="1009"/>
      <c r="E85" s="1009"/>
      <c r="F85" s="1009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0"/>
      <c r="D86" s="631"/>
      <c r="E86" s="631"/>
      <c r="F86" s="631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39"/>
      <c r="C87" s="1010"/>
      <c r="D87" s="1011"/>
      <c r="E87" s="1011"/>
      <c r="F87" s="1011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28/2008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30 de dezembro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de Prestação de Serviços Públicos de Distribuição de Energia Elétrica Senador Esteves Júnior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Cerej</v>
      </c>
      <c r="D91" s="527"/>
      <c r="E91" s="528"/>
      <c r="F91" s="527"/>
      <c r="H91" s="750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Biguaçu - SC</v>
      </c>
      <c r="D92" s="529" t="str">
        <f>VLOOKUP(LnkTXTSigla,Informacoes[],5,FALSE)</f>
        <v>Biguaçu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7250869.556640001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15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47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39" t="s">
        <v>207</v>
      </c>
      <c r="C109" s="1012" t="str">
        <f>IF(E109=0,"!vazio!"," e "&amp;E109)</f>
        <v>!vazio!</v>
      </c>
      <c r="D109" s="1013"/>
      <c r="E109" s="1013">
        <f>VLOOKUP(LnkTXTSigla,Informacoes[],13,FALSE)</f>
        <v>0</v>
      </c>
      <c r="F109" s="1013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39" t="s">
        <v>676</v>
      </c>
      <c r="C110" s="1012" t="str">
        <f ca="1">IF(AnoRevRea=VLOOKUP(LnkTXTSigla,Informacoes[],15,FALSE),"REVISÃO","REAJUSTE")</f>
        <v>REAJUSTE</v>
      </c>
      <c r="D110" s="1013"/>
      <c r="E110" s="1013"/>
      <c r="F110" s="1013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39" t="s">
        <v>677</v>
      </c>
      <c r="C111" s="1012" t="str">
        <f ca="1">IF(C110="Reajuste", "Reajuste Tarifário Anual - RTA", "Revisão Tarifária Periódica - RTP")</f>
        <v>Reajuste Tarifário Anual - RTA</v>
      </c>
      <c r="D111" s="1012"/>
      <c r="E111" s="1012"/>
      <c r="F111" s="1012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39"/>
      <c r="C112" s="743"/>
      <c r="D112" s="743"/>
      <c r="E112" s="743"/>
      <c r="F112" s="743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38" t="s">
        <v>678</v>
      </c>
      <c r="C113" s="741" t="str">
        <f>VLOOKUP(C9,Informacoes[],19,FALSE)</f>
        <v>Não</v>
      </c>
      <c r="D113" s="741"/>
      <c r="E113" s="741"/>
      <c r="F113" s="741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39" t="s">
        <v>679</v>
      </c>
      <c r="C114" s="742">
        <f>VLOOKUP(C9,Informacoes[],20,FALSE)</f>
        <v>0</v>
      </c>
      <c r="D114" s="742"/>
      <c r="E114" s="742"/>
      <c r="F114" s="742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4" t="s">
        <v>198</v>
      </c>
      <c r="C119" s="1014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5" t="str">
        <f>LnkTXTSigla</f>
        <v>Cerej</v>
      </c>
      <c r="C120" s="1016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topLeftCell="F1" zoomScaleNormal="100" workbookViewId="0">
      <selection activeCell="D10" sqref="D10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85546875" style="68" bestFit="1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7" t="s">
        <v>681</v>
      </c>
      <c r="C1" s="1018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Cerej - REAJUSTE 2022</v>
      </c>
      <c r="C2" s="70"/>
      <c r="D2" s="70"/>
      <c r="E2" s="70"/>
      <c r="F2" s="70"/>
      <c r="G2" s="75"/>
      <c r="H2" s="376" t="s">
        <v>682</v>
      </c>
      <c r="I2" s="656">
        <v>44816.65084490741</v>
      </c>
      <c r="K2" s="691" t="s">
        <v>683</v>
      </c>
      <c r="L2" s="692"/>
    </row>
    <row r="3" spans="1:15" ht="16.5" customHeight="1">
      <c r="A3" s="137"/>
      <c r="B3" s="933" t="s">
        <v>684</v>
      </c>
      <c r="C3" s="782"/>
      <c r="D3" s="75"/>
      <c r="E3" s="75"/>
      <c r="F3" s="75"/>
      <c r="G3" s="75"/>
      <c r="H3" s="657" t="s">
        <v>685</v>
      </c>
      <c r="I3" s="657">
        <v>13</v>
      </c>
      <c r="K3" s="693" t="s">
        <v>686</v>
      </c>
      <c r="L3" s="654">
        <v>7.1861843218078647E-2</v>
      </c>
    </row>
    <row r="4" spans="1:15" ht="16.5">
      <c r="A4" s="137"/>
      <c r="G4" s="75"/>
      <c r="J4" s="9"/>
      <c r="K4" s="693" t="s">
        <v>687</v>
      </c>
      <c r="L4" s="654">
        <v>0.12382029470366795</v>
      </c>
    </row>
    <row r="5" spans="1:15" ht="16.5" customHeight="1">
      <c r="A5" s="137"/>
      <c r="B5" s="1019" t="s">
        <v>688</v>
      </c>
      <c r="C5" s="1020">
        <f ca="1">D39+D34</f>
        <v>51580711.544247493</v>
      </c>
      <c r="D5" s="142"/>
      <c r="E5" s="79"/>
      <c r="G5" s="75"/>
      <c r="H5" s="655"/>
      <c r="J5" s="270"/>
      <c r="K5" s="694" t="s">
        <v>689</v>
      </c>
      <c r="L5" s="662">
        <v>0.11655023070304948</v>
      </c>
    </row>
    <row r="6" spans="1:15" ht="16.5" customHeight="1">
      <c r="A6" s="137"/>
      <c r="B6" s="76" t="s">
        <v>690</v>
      </c>
      <c r="C6" s="77">
        <f ca="1">Mercado_RA0_Reais</f>
        <v>46817003.733180009</v>
      </c>
      <c r="D6" s="77"/>
      <c r="E6" s="471"/>
      <c r="F6" s="75"/>
      <c r="G6" s="138"/>
      <c r="H6" s="81"/>
      <c r="J6" s="270"/>
      <c r="K6" s="695" t="s">
        <v>691</v>
      </c>
      <c r="L6" s="696">
        <v>686.02</v>
      </c>
      <c r="M6" s="79"/>
    </row>
    <row r="7" spans="1:15" ht="16.5" customHeight="1">
      <c r="A7" s="137"/>
      <c r="B7" s="1021" t="s">
        <v>2316</v>
      </c>
      <c r="C7" s="1022">
        <f ca="1">ROUND((C5/C6-1),4)</f>
        <v>0.1018</v>
      </c>
      <c r="D7" s="488"/>
      <c r="E7" s="75"/>
      <c r="F7" s="75"/>
      <c r="G7" s="75"/>
      <c r="H7" s="81"/>
      <c r="K7" s="49" t="s">
        <v>692</v>
      </c>
      <c r="L7" s="911">
        <f>L6/'Tabelas e Gráficos'!U39-1</f>
        <v>9.1172260219500423E-2</v>
      </c>
    </row>
    <row r="8" spans="1:15" ht="16.5" customHeight="1">
      <c r="A8" s="137"/>
      <c r="B8" s="78" t="s">
        <v>693</v>
      </c>
      <c r="C8" s="252">
        <f ca="1">ROUND(Financeiros!E7,4)</f>
        <v>-0.41349999999999998</v>
      </c>
      <c r="D8" s="489"/>
      <c r="E8" s="75"/>
      <c r="F8" s="486"/>
      <c r="G8" s="75"/>
      <c r="H8" s="81"/>
      <c r="K8" s="697" t="s">
        <v>694</v>
      </c>
      <c r="L8" s="698" t="s">
        <v>2038</v>
      </c>
      <c r="M8" s="658" t="s">
        <v>696</v>
      </c>
    </row>
    <row r="9" spans="1:15" ht="16.5" customHeight="1">
      <c r="A9" s="137"/>
      <c r="B9" s="1023" t="s">
        <v>2317</v>
      </c>
      <c r="C9" s="1024">
        <f ca="1">ROUND((C7+C8),5)</f>
        <v>-0.31169999999999998</v>
      </c>
      <c r="D9" s="488"/>
      <c r="E9" s="488"/>
      <c r="F9" s="75"/>
      <c r="G9" s="75"/>
      <c r="K9" s="693" t="s">
        <v>697</v>
      </c>
      <c r="L9" s="699">
        <f>Aj.Subsídio!G28*12</f>
        <v>0</v>
      </c>
      <c r="M9" s="699">
        <v>0</v>
      </c>
    </row>
    <row r="10" spans="1:15" ht="16.5" customHeight="1">
      <c r="A10" s="137"/>
      <c r="B10" s="1023" t="s">
        <v>698</v>
      </c>
      <c r="C10" s="1024">
        <f ca="1">ROUND((LnkTXTEfeito-LnkTXTIRTTotal),4)</f>
        <v>0.42830000000000001</v>
      </c>
      <c r="D10" s="702">
        <f ca="1">LnKTxTRA1+Financeiros!D5</f>
        <v>32221237.633204535</v>
      </c>
      <c r="E10" s="75"/>
      <c r="F10" s="75"/>
      <c r="G10" s="75"/>
      <c r="K10" s="693" t="s">
        <v>699</v>
      </c>
      <c r="L10" s="699">
        <f>Aj.Subsídio!G29*12</f>
        <v>0</v>
      </c>
      <c r="M10" s="699">
        <v>0</v>
      </c>
    </row>
    <row r="11" spans="1:15" ht="16.5" customHeight="1">
      <c r="A11" s="137"/>
      <c r="B11" s="933" t="s">
        <v>700</v>
      </c>
      <c r="C11" s="782"/>
      <c r="D11" s="1025"/>
      <c r="E11" s="1025"/>
      <c r="F11" s="1025"/>
      <c r="G11" s="75"/>
      <c r="K11" s="693" t="s">
        <v>701</v>
      </c>
      <c r="L11" s="699">
        <f>Aj.Subsídio!G30*12</f>
        <v>0</v>
      </c>
      <c r="M11" s="699">
        <v>0</v>
      </c>
    </row>
    <row r="12" spans="1:15" ht="16.5" customHeight="1">
      <c r="E12" s="1026"/>
      <c r="F12" s="1026"/>
      <c r="K12" s="693" t="s">
        <v>702</v>
      </c>
      <c r="L12" s="699">
        <f>Aj.Subsídio!G31*12</f>
        <v>1942.92</v>
      </c>
      <c r="M12" s="699">
        <v>1329.1645157067196</v>
      </c>
      <c r="O12" s="834"/>
    </row>
    <row r="13" spans="1:15" ht="15" customHeight="1">
      <c r="B13" s="1027"/>
      <c r="C13" s="1028" t="s">
        <v>695</v>
      </c>
      <c r="D13" s="1029" t="s">
        <v>696</v>
      </c>
      <c r="E13" s="1028" t="s">
        <v>703</v>
      </c>
      <c r="F13" s="1027" t="s">
        <v>704</v>
      </c>
      <c r="K13" s="693" t="s">
        <v>705</v>
      </c>
      <c r="L13" s="699">
        <f>Aj.Subsídio!G32*12</f>
        <v>1498713.96</v>
      </c>
      <c r="M13" s="699">
        <v>798559.64544101222</v>
      </c>
      <c r="O13" s="834"/>
    </row>
    <row r="14" spans="1:15" ht="14.25">
      <c r="B14" s="1030" t="s">
        <v>706</v>
      </c>
      <c r="C14" s="1031">
        <f ca="1">SUM(C15:C23)</f>
        <v>3592214.1104940725</v>
      </c>
      <c r="D14" s="1032">
        <f ca="1">SUM(D15:D23)</f>
        <v>5286689.2617199849</v>
      </c>
      <c r="E14" s="1033">
        <f t="shared" ref="E14:E34" ca="1" si="0">(D14-C14)/LnkTXTRA0</f>
        <v>3.6193583871430221E-2</v>
      </c>
      <c r="F14" s="1034">
        <f ca="1">IF(ISERROR(D14/C14-1),"-",D14/C14-1)</f>
        <v>0.47170772651768655</v>
      </c>
      <c r="G14" s="287"/>
      <c r="H14" s="100"/>
      <c r="K14" s="693" t="s">
        <v>707</v>
      </c>
      <c r="L14" s="699">
        <f>Aj.Subsídio!G33*12</f>
        <v>0</v>
      </c>
      <c r="M14" s="699">
        <v>0</v>
      </c>
      <c r="O14" s="834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2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2"/>
    </row>
    <row r="17" spans="2:14" ht="14.25">
      <c r="B17" s="78" t="s">
        <v>710</v>
      </c>
      <c r="C17" s="223">
        <f ca="1">Mercado_Faturado_Encargo_TFSEE_BRUTO</f>
        <v>106358.40848890002</v>
      </c>
      <c r="D17" s="131">
        <f ca="1">Encargos!C6</f>
        <v>118146.05586998828</v>
      </c>
      <c r="E17" s="221">
        <f t="shared" ca="1" si="0"/>
        <v>2.5178132817445031E-4</v>
      </c>
      <c r="F17" s="253">
        <f t="shared" ca="1" si="1"/>
        <v>0.11082948258217362</v>
      </c>
      <c r="G17" s="287"/>
    </row>
    <row r="18" spans="2:14" ht="14.25">
      <c r="B18" s="78" t="s">
        <v>711</v>
      </c>
      <c r="C18" s="224">
        <f ca="1">Mercado_Faturado_Encargo_CDE_BRUTO+Calc_Mercado!S75</f>
        <v>3009438.0217945594</v>
      </c>
      <c r="D18" s="225">
        <f ca="1">Encargos!C7</f>
        <v>4445152.1190699972</v>
      </c>
      <c r="E18" s="222">
        <f t="shared" ca="1" si="0"/>
        <v>3.0666509660846209E-2</v>
      </c>
      <c r="F18" s="253">
        <f t="shared" ca="1" si="1"/>
        <v>0.47707049850433747</v>
      </c>
      <c r="G18" s="287"/>
      <c r="H18" s="140"/>
      <c r="K18" s="49" t="s">
        <v>712</v>
      </c>
      <c r="L18" s="700">
        <v>44816.654027777775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3" t="s">
        <v>713</v>
      </c>
      <c r="L19" s="693"/>
      <c r="M19" s="693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3" t="s">
        <v>715</v>
      </c>
      <c r="L20" s="701"/>
      <c r="M20" s="701"/>
    </row>
    <row r="21" spans="2:14" ht="14.25">
      <c r="B21" s="78" t="s">
        <v>47</v>
      </c>
      <c r="C21" s="223">
        <f ca="1">Mercado_Faturado_Encargo_PROINFA_BRUTO</f>
        <v>476417.68021061312</v>
      </c>
      <c r="D21" s="131">
        <f ca="1">Encargos!C10</f>
        <v>723391.08677999966</v>
      </c>
      <c r="E21" s="221">
        <f t="shared" ca="1" si="0"/>
        <v>5.2752928824095656E-3</v>
      </c>
      <c r="F21" s="253">
        <f t="shared" ca="1" si="1"/>
        <v>0.51839681193234766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28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5" t="s">
        <v>717</v>
      </c>
      <c r="C24" s="1031">
        <f ca="1">SUM(C25:C32)</f>
        <v>6110787.8444840517</v>
      </c>
      <c r="D24" s="1032">
        <f>SUM(D25:D32)</f>
        <v>7250869.556640001</v>
      </c>
      <c r="E24" s="1033">
        <f t="shared" ca="1" si="0"/>
        <v>2.4351872636991376E-2</v>
      </c>
      <c r="F24" s="1034">
        <f t="shared" ca="1" si="1"/>
        <v>0.18656869476904725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28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C27" s="197"/>
      <c r="D27" s="1729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C28" s="197"/>
      <c r="D28" s="1729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29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29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28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6110787.8444840517</v>
      </c>
      <c r="D32" s="1728">
        <f>CUSD!C3</f>
        <v>7250869.556640001</v>
      </c>
      <c r="E32" s="221">
        <f t="shared" ca="1" si="2"/>
        <v>2.4351872636991376E-2</v>
      </c>
      <c r="F32" s="254">
        <f t="shared" ca="1" si="1"/>
        <v>0.18656869476904725</v>
      </c>
      <c r="G32" s="287"/>
    </row>
    <row r="33" spans="2:8" ht="14.25">
      <c r="B33" s="1035" t="s">
        <v>108</v>
      </c>
      <c r="C33" s="1031">
        <f ca="1">SUM(Calc_Mercado!C79:C84)</f>
        <v>10772016.038426597</v>
      </c>
      <c r="D33" s="1032">
        <f ca="1">Energia!F24</f>
        <v>9818414.9758875091</v>
      </c>
      <c r="E33" s="1033">
        <f t="shared" ca="1" si="0"/>
        <v>-2.03686905717816E-2</v>
      </c>
      <c r="F33" s="1034">
        <f ca="1">IF(ISERROR(D33/C33-1),"-",D33/C33-1)</f>
        <v>-8.8525774482450026E-2</v>
      </c>
      <c r="G33" s="287"/>
    </row>
    <row r="34" spans="2:8" ht="14.25">
      <c r="B34" s="1036" t="s">
        <v>722</v>
      </c>
      <c r="C34" s="1037">
        <f ca="1">C14+C24+C33</f>
        <v>20475017.99340472</v>
      </c>
      <c r="D34" s="1038">
        <f ca="1">D33+D24+D14</f>
        <v>22355973.794247493</v>
      </c>
      <c r="E34" s="1039">
        <f t="shared" ca="1" si="0"/>
        <v>4.0176765936639977E-2</v>
      </c>
      <c r="F34" s="1040">
        <f ca="1">IF(ISERROR(D34/C34-1),"-",D34/C34-1)</f>
        <v>9.1865892447501318E-2</v>
      </c>
      <c r="G34" s="287"/>
    </row>
    <row r="35" spans="2:8" ht="14.25">
      <c r="G35" s="69"/>
      <c r="H35" s="107"/>
    </row>
    <row r="36" spans="2:8" ht="14.25">
      <c r="B36" s="933" t="s">
        <v>104</v>
      </c>
      <c r="C36" s="782"/>
      <c r="D36" s="782"/>
      <c r="E36" s="1025"/>
      <c r="F36" s="1025"/>
      <c r="G36" s="69"/>
    </row>
    <row r="37" spans="2:8" ht="8.25" customHeight="1">
      <c r="G37" s="69"/>
      <c r="H37" s="140"/>
    </row>
    <row r="38" spans="2:8" ht="15.75" customHeight="1">
      <c r="B38" s="659"/>
      <c r="C38" s="659" t="s">
        <v>695</v>
      </c>
      <c r="D38" s="659" t="s">
        <v>696</v>
      </c>
      <c r="E38" s="1041" t="s">
        <v>703</v>
      </c>
      <c r="F38" s="659" t="s">
        <v>704</v>
      </c>
      <c r="G38" s="69"/>
      <c r="H38" s="141"/>
    </row>
    <row r="39" spans="2:8" ht="15.75" customHeight="1">
      <c r="B39" s="1042" t="s">
        <v>723</v>
      </c>
      <c r="C39" s="1043">
        <f ca="1">LnkTXTRA0-C34</f>
        <v>26341985.739775289</v>
      </c>
      <c r="D39" s="1044">
        <f>IFERROR(SMALL(IF(LnkTXTPBReq=0,CAPA!K29,LnkTXTPBReq):LNKTXTLImPB,1),0)</f>
        <v>29224737.75</v>
      </c>
      <c r="E39" s="1045">
        <f ca="1">(D39-C39)/LnkTXTRA0</f>
        <v>6.1574893315559528E-2</v>
      </c>
      <c r="F39" s="1046">
        <f ca="1">IF(ISERROR(D39/C39-1),"-",D39/C39-1)</f>
        <v>0.10943563779521281</v>
      </c>
      <c r="G39" s="69"/>
      <c r="H39" s="140"/>
    </row>
    <row r="40" spans="2:8" ht="14.25">
      <c r="B40" s="703"/>
      <c r="C40" s="704"/>
      <c r="D40" s="705"/>
      <c r="E40" s="703"/>
      <c r="F40" s="703"/>
    </row>
    <row r="41" spans="2:8" ht="14.25">
      <c r="B41" s="933" t="s">
        <v>724</v>
      </c>
      <c r="C41" s="782"/>
      <c r="D41" s="782"/>
      <c r="E41" s="1025"/>
      <c r="F41" s="1025"/>
    </row>
    <row r="42" spans="2:8" ht="9" customHeight="1">
      <c r="E42" s="75"/>
      <c r="F42" s="75"/>
    </row>
    <row r="43" spans="2:8" ht="15.75" customHeight="1">
      <c r="B43" s="703"/>
      <c r="C43" s="1027" t="s">
        <v>725</v>
      </c>
      <c r="D43" s="1027" t="s">
        <v>703</v>
      </c>
      <c r="E43" s="461" t="s">
        <v>726</v>
      </c>
      <c r="F43" s="461"/>
      <c r="G43" s="461"/>
    </row>
    <row r="44" spans="2:8" ht="15.75" customHeight="1">
      <c r="B44" s="1047" t="s">
        <v>727</v>
      </c>
      <c r="C44" s="1048">
        <f ca="1">SUM(C45:C85)</f>
        <v>-19359473.911042958</v>
      </c>
      <c r="D44" s="1738">
        <f ca="1">C44/Financeiros!D4</f>
        <v>-0.41351373149329862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611490.42636098247</v>
      </c>
      <c r="D45" s="466">
        <f ca="1">C45/Financeiros!$D$4</f>
        <v>1.3061289224017742E-2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-46691.575068666127</v>
      </c>
      <c r="D46" s="466">
        <f ca="1">C46/Financeiros!$D$4</f>
        <v>-9.9732087373150305E-4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-438582.27763182262</v>
      </c>
      <c r="D55" s="466">
        <f ca="1">C55/Financeiros!$D$4</f>
        <v>-9.3680125309042774E-3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-17867394.383257363</v>
      </c>
      <c r="D56" s="466">
        <f ca="1">C56/Financeiros!$D$4</f>
        <v>-0.38164326972070695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-494687.61716015736</v>
      </c>
      <c r="D57" s="466">
        <f ca="1">C57/Financeiros!$D$4</f>
        <v>-1.0566409161497958E-2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 xml:space="preserve">Repasse de ICMS 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customHeight="1">
      <c r="B66" s="82" t="str">
        <f>'Tabelas e Gráficos'!AM188</f>
        <v>Diferimento de PIS COFINS (2022)</v>
      </c>
      <c r="C66" s="447">
        <f ca="1">'Tabelas e Gráficos'!AN188</f>
        <v>-611490.42636098247</v>
      </c>
      <c r="D66" s="466">
        <f ca="1">C66/Financeiros!$D$4</f>
        <v>-1.3061289224017742E-2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customHeight="1">
      <c r="B73" s="82" t="str">
        <f>'Tabelas e Gráficos'!AM195</f>
        <v>Reversão do Diferimento de Pis Cofins TUSD e TE (Processo 2021)</v>
      </c>
      <c r="C73" s="447">
        <f>'Tabelas e Gráficos'!AN195</f>
        <v>687881.94207505044</v>
      </c>
      <c r="D73" s="466">
        <f ca="1">C73/Financeiros!$D$4</f>
        <v>1.4692993725002884E-2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 ca="1"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customHeight="1">
      <c r="B84" s="82" t="str">
        <f>'Tabelas e Gráficos'!AM206</f>
        <v>Diferimento CUSD</v>
      </c>
      <c r="C84" s="447">
        <f>'Tabelas e Gráficos'!AN206</f>
        <v>-1200000</v>
      </c>
      <c r="D84" s="466">
        <f ca="1">C84/Financeiros!$D$4</f>
        <v>-2.563171293146083E-2</v>
      </c>
      <c r="E84" s="461">
        <f t="shared" ca="1" si="3"/>
        <v>1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34"/>
      <c r="C86" s="1735"/>
      <c r="D86" s="1736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3"/>
      <c r="B102" s="1734"/>
      <c r="C102" s="1735"/>
      <c r="D102" s="1736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32" zoomScale="65" zoomScaleNormal="65" workbookViewId="0">
      <selection activeCell="C33" sqref="C33"/>
    </sheetView>
  </sheetViews>
  <sheetFormatPr defaultColWidth="9.140625" defaultRowHeight="12.75" customHeight="1"/>
  <cols>
    <col min="1" max="1" width="4.7109375" style="94" customWidth="1"/>
    <col min="2" max="2" width="22.85546875" style="94" bestFit="1" customWidth="1"/>
    <col min="3" max="3" width="20.425781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29" t="s">
        <v>872</v>
      </c>
      <c r="C1" s="1018"/>
      <c r="D1" s="930"/>
      <c r="E1" s="930"/>
      <c r="F1" s="930"/>
      <c r="G1" s="1128" t="s">
        <v>873</v>
      </c>
      <c r="H1" s="1129">
        <f ca="1">LnkTXTIRTEco</f>
        <v>0.1018</v>
      </c>
      <c r="I1" s="70"/>
      <c r="J1" s="70"/>
      <c r="P1" s="1130" t="s">
        <v>874</v>
      </c>
      <c r="Q1" s="1131"/>
      <c r="S1" s="1132" t="s">
        <v>875</v>
      </c>
      <c r="T1" s="1131" t="s">
        <v>876</v>
      </c>
      <c r="W1" s="1130" t="s">
        <v>875</v>
      </c>
      <c r="X1" s="1131" t="s">
        <v>876</v>
      </c>
    </row>
    <row r="2" spans="2:24" ht="14.25">
      <c r="B2" s="136" t="str">
        <f>CAPA!C9</f>
        <v>Cerej</v>
      </c>
      <c r="C2" s="70"/>
      <c r="D2" s="70"/>
      <c r="G2" s="120" t="s">
        <v>877</v>
      </c>
      <c r="H2" s="121">
        <f ca="1">LnkTXTIRTTotal</f>
        <v>-0.31169999999999998</v>
      </c>
      <c r="P2" s="1133">
        <f>DATE(YEAR(P4),MONTH(P4)-1,1)</f>
        <v>44440</v>
      </c>
      <c r="Q2" s="661"/>
      <c r="S2" s="660" t="s">
        <v>878</v>
      </c>
      <c r="T2" s="661" t="s">
        <v>879</v>
      </c>
      <c r="W2" s="660" t="s">
        <v>880</v>
      </c>
      <c r="X2" s="661" t="s">
        <v>879</v>
      </c>
    </row>
    <row r="3" spans="2:24" ht="14.25">
      <c r="P3" s="1130" t="s">
        <v>874</v>
      </c>
      <c r="Q3" s="1131"/>
      <c r="S3" s="1132" t="s">
        <v>875</v>
      </c>
      <c r="T3" s="1131" t="s">
        <v>876</v>
      </c>
      <c r="W3" s="1130" t="s">
        <v>875</v>
      </c>
      <c r="X3" s="1131" t="s">
        <v>876</v>
      </c>
    </row>
    <row r="4" spans="2:24" ht="14.25">
      <c r="P4" s="1133">
        <f>DATE(YEAR(P6),MONTH(P6)-1,1)</f>
        <v>44470</v>
      </c>
      <c r="Q4" s="661"/>
      <c r="S4" s="660" t="s">
        <v>538</v>
      </c>
      <c r="T4" s="661" t="s">
        <v>879</v>
      </c>
      <c r="W4" s="660" t="s">
        <v>880</v>
      </c>
      <c r="X4" s="661" t="s">
        <v>879</v>
      </c>
    </row>
    <row r="5" spans="2:24" ht="14.25">
      <c r="P5" s="1130" t="s">
        <v>874</v>
      </c>
      <c r="Q5" s="1131"/>
      <c r="S5" s="1130" t="s">
        <v>875</v>
      </c>
      <c r="T5" s="1131" t="s">
        <v>876</v>
      </c>
      <c r="V5" s="95"/>
      <c r="W5" s="1130" t="s">
        <v>875</v>
      </c>
      <c r="X5" s="1131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3">
        <f>DATE(YEAR(P8),MONTH(P8)-1,1)</f>
        <v>44501</v>
      </c>
      <c r="Q6" s="661"/>
      <c r="S6" s="660" t="str">
        <f>"=A3"</f>
        <v>=A3</v>
      </c>
      <c r="T6" s="661" t="s">
        <v>879</v>
      </c>
      <c r="W6" s="660" t="s">
        <v>880</v>
      </c>
      <c r="X6" s="661" t="s">
        <v>879</v>
      </c>
    </row>
    <row r="7" spans="2:24" ht="14.25">
      <c r="B7" s="1134" t="s">
        <v>778</v>
      </c>
      <c r="C7" s="1134" t="s">
        <v>108</v>
      </c>
      <c r="D7" s="1134" t="s">
        <v>884</v>
      </c>
      <c r="E7" s="96"/>
      <c r="F7" s="1134" t="s">
        <v>778</v>
      </c>
      <c r="G7" s="1134" t="s">
        <v>884</v>
      </c>
      <c r="I7" s="1135" t="s">
        <v>778</v>
      </c>
      <c r="J7" s="1135" t="s">
        <v>885</v>
      </c>
      <c r="L7" s="416" t="s">
        <v>886</v>
      </c>
      <c r="M7" s="416"/>
      <c r="N7" s="416" t="s">
        <v>725</v>
      </c>
      <c r="P7" s="1130" t="s">
        <v>874</v>
      </c>
      <c r="Q7" s="1131"/>
      <c r="S7" s="1130" t="s">
        <v>875</v>
      </c>
      <c r="T7" s="1131" t="s">
        <v>876</v>
      </c>
      <c r="W7" s="1130" t="s">
        <v>875</v>
      </c>
      <c r="X7" s="1131" t="s">
        <v>876</v>
      </c>
    </row>
    <row r="8" spans="2:24" ht="14.25">
      <c r="B8" s="1136" t="s">
        <v>887</v>
      </c>
      <c r="C8" s="1137">
        <f ca="1">SUM(C9:C15)</f>
        <v>51699.664999999972</v>
      </c>
      <c r="D8" s="1138">
        <f ca="1">SUM(D9:D15)</f>
        <v>46817003.733180009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0.21625368655874957</v>
      </c>
      <c r="L8" s="1139" t="s">
        <v>889</v>
      </c>
      <c r="M8" s="1140"/>
      <c r="N8" s="1141">
        <f>DSUM('BD MERCADO'!A2:AAA999998,"Total",S27:S28)</f>
        <v>16621529.486800006</v>
      </c>
      <c r="P8" s="1133">
        <f>DATE(YEAR(P10),MONTH(P10)-1,1)</f>
        <v>44531</v>
      </c>
      <c r="Q8" s="661"/>
      <c r="S8" s="660" t="str">
        <f>"=A3a"</f>
        <v>=A3a</v>
      </c>
      <c r="T8" s="661" t="s">
        <v>879</v>
      </c>
      <c r="W8" s="660" t="s">
        <v>880</v>
      </c>
      <c r="X8" s="661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2" t="s">
        <v>755</v>
      </c>
      <c r="J9" s="1143">
        <f ca="1">SUM(INDIRECT("dados_MercadoBase[[PisPasep]:[Cofins]]"))/SUM(INDIRECT("dados_MercadoBase[[PisPasep]:[ICMS]]"),INDIRECT("dados_MercadoBase[FinTotAj]"))</f>
        <v>2.8408015906946941E-3</v>
      </c>
      <c r="L9" s="96" t="s">
        <v>890</v>
      </c>
      <c r="M9" s="415"/>
      <c r="N9" s="115">
        <f>DSUM('BD MERCADO'!A2:AAA999998,"Total",S29:S30)</f>
        <v>957568.69709999976</v>
      </c>
      <c r="P9" s="1130" t="s">
        <v>874</v>
      </c>
      <c r="Q9" s="1131"/>
      <c r="S9" s="1130" t="s">
        <v>875</v>
      </c>
      <c r="T9" s="1131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6936613.8420100007</v>
      </c>
      <c r="P10" s="1133">
        <f>DATE(YEAR(P12),MONTH(P12)-1,1)</f>
        <v>44562</v>
      </c>
      <c r="Q10" s="661"/>
      <c r="S10" s="660" t="s">
        <v>533</v>
      </c>
      <c r="T10" s="661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476417.68021061312</v>
      </c>
      <c r="L11" s="96" t="s">
        <v>894</v>
      </c>
      <c r="M11" s="415"/>
      <c r="N11" s="115">
        <f>DSUM('BD MERCADO'!A2:AAA999998,"Total",S33:S34)</f>
        <v>19620678.6545</v>
      </c>
      <c r="P11" s="1130" t="s">
        <v>874</v>
      </c>
      <c r="Q11" s="1131"/>
      <c r="S11" s="1130" t="s">
        <v>875</v>
      </c>
      <c r="T11" s="1131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3009438.0217945557</v>
      </c>
      <c r="I12" s="111" t="s">
        <v>895</v>
      </c>
      <c r="L12" s="96" t="s">
        <v>896</v>
      </c>
      <c r="M12" s="415"/>
      <c r="N12" s="115">
        <f>DSUM('BD MERCADO'!A2:AAA999998,"Total",S35:S36)</f>
        <v>2339077.46673</v>
      </c>
      <c r="P12" s="1133">
        <f>DATE(YEAR(P14),MONTH(P14)-1,1)</f>
        <v>44593</v>
      </c>
      <c r="Q12" s="661"/>
      <c r="S12" s="660" t="s">
        <v>897</v>
      </c>
      <c r="T12" s="661" t="s">
        <v>879</v>
      </c>
      <c r="X12" s="97"/>
    </row>
    <row r="13" spans="2:24" ht="14.25">
      <c r="B13" s="112" t="s">
        <v>533</v>
      </c>
      <c r="C13" s="98">
        <f t="shared" ca="1" si="2"/>
        <v>9038.3070000000025</v>
      </c>
      <c r="D13" s="113">
        <f t="shared" ca="1" si="1"/>
        <v>5479494.0973199988</v>
      </c>
      <c r="E13" s="96"/>
      <c r="F13" s="96" t="s">
        <v>40</v>
      </c>
      <c r="G13" s="115">
        <f t="shared" ca="1" si="0"/>
        <v>106358.40848890008</v>
      </c>
      <c r="I13" s="1135" t="s">
        <v>778</v>
      </c>
      <c r="J13" s="1135" t="s">
        <v>898</v>
      </c>
      <c r="L13" s="96" t="s">
        <v>899</v>
      </c>
      <c r="M13" s="415"/>
      <c r="N13" s="115">
        <f>DSUM('BD MERCADO'!A2:AAA999998,"Total",S37:S38)</f>
        <v>268081.96184</v>
      </c>
      <c r="P13" s="1130" t="s">
        <v>874</v>
      </c>
      <c r="Q13" s="1131"/>
      <c r="S13" s="1130" t="s">
        <v>875</v>
      </c>
      <c r="T13" s="1131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4" t="s">
        <v>901</v>
      </c>
      <c r="J14" s="1145">
        <f>CAPA!D41</f>
        <v>50888.870999999999</v>
      </c>
      <c r="L14" s="96" t="s">
        <v>902</v>
      </c>
      <c r="M14" s="415"/>
      <c r="N14" s="115">
        <f>DSUM('BD MERCADO'!A2:AAA999998,"Total",S39:S40)</f>
        <v>65900.937080000003</v>
      </c>
      <c r="P14" s="1133">
        <f>DATE(YEAR(P16),MONTH(P16)-1,1)</f>
        <v>44621</v>
      </c>
      <c r="Q14" s="661"/>
      <c r="S14" s="660" t="s">
        <v>880</v>
      </c>
      <c r="T14" s="661" t="s">
        <v>879</v>
      </c>
      <c r="X14" s="97"/>
    </row>
    <row r="15" spans="2:24" ht="14.25">
      <c r="B15" s="112" t="s">
        <v>540</v>
      </c>
      <c r="C15" s="98">
        <f t="shared" ca="1" si="2"/>
        <v>42661.357999999971</v>
      </c>
      <c r="D15" s="113">
        <f t="shared" ca="1" si="1"/>
        <v>41337509.635860011</v>
      </c>
      <c r="E15" s="96"/>
      <c r="F15" s="96" t="s">
        <v>108</v>
      </c>
      <c r="G15" s="115">
        <f ca="1">SUM(C79:C84)</f>
        <v>10772016.038426597</v>
      </c>
      <c r="I15" s="1146" t="s">
        <v>831</v>
      </c>
      <c r="J15" s="1147">
        <f ca="1">IFERROR(Mercado_RA0_MWh/J14-1,0)</f>
        <v>1.5932638788547226E-2</v>
      </c>
      <c r="L15" s="1148" t="s">
        <v>903</v>
      </c>
      <c r="M15" s="1149"/>
      <c r="N15" s="1150">
        <f ca="1">D25-SUM(N8:N14)</f>
        <v>7552.6871200054884</v>
      </c>
      <c r="P15" s="1130" t="s">
        <v>874</v>
      </c>
      <c r="Q15" s="1131"/>
      <c r="S15" s="1130" t="s">
        <v>904</v>
      </c>
      <c r="T15" s="1131" t="s">
        <v>876</v>
      </c>
      <c r="X15" s="97"/>
    </row>
    <row r="16" spans="2:24" ht="14.25">
      <c r="B16" s="1136" t="s">
        <v>905</v>
      </c>
      <c r="C16" s="1151">
        <f ca="1">DSUM(MercadoBase,"TUSD_E",INDIRECT("Mercado_CriterioResBr"))</f>
        <v>504.25900000000001</v>
      </c>
      <c r="D16" s="1152">
        <f ca="1">DSUM(MercadoBase,"Total",INDIRECT("Mercado_CriterioResBr"))</f>
        <v>473680.73423999985</v>
      </c>
      <c r="E16" s="96"/>
      <c r="F16" s="96" t="s">
        <v>906</v>
      </c>
      <c r="G16" s="115">
        <f ca="1">SUM(C87:C97)</f>
        <v>32453006.364547737</v>
      </c>
      <c r="P16" s="1133">
        <f>DATE(YEAR(P18),MONTH(P18)-1,1)</f>
        <v>44652</v>
      </c>
      <c r="Q16" s="661"/>
      <c r="S16" s="660" t="s">
        <v>907</v>
      </c>
      <c r="T16" s="661" t="s">
        <v>879</v>
      </c>
      <c r="X16" s="97"/>
    </row>
    <row r="17" spans="2:24" ht="14.25">
      <c r="B17" s="1136" t="s">
        <v>908</v>
      </c>
      <c r="C17" s="1151">
        <f ca="1">DSUM(MercadoBase,"TUSD_E",INDIRECT("Mercado_Criterio"&amp;$B17))</f>
        <v>0</v>
      </c>
      <c r="D17" s="1152">
        <f ca="1">DSUM(MercadoBase,"Total",INDIRECT("Mercado_Criterio"&amp;$B17))</f>
        <v>0</v>
      </c>
      <c r="E17" s="96"/>
      <c r="F17" s="1153" t="s">
        <v>760</v>
      </c>
      <c r="G17" s="1154">
        <f ca="1">SUM(G8:G16)</f>
        <v>46817236.5134684</v>
      </c>
      <c r="I17" s="226" t="str">
        <f>"Dado referente à "&amp;TEXT(P20,"mmmm/aaaa")</f>
        <v>Dado referente à junho/2022</v>
      </c>
      <c r="L17" s="79"/>
      <c r="P17" s="1130" t="s">
        <v>874</v>
      </c>
      <c r="Q17" s="1131"/>
      <c r="S17" s="1130" t="s">
        <v>876</v>
      </c>
      <c r="T17" s="1131"/>
      <c r="X17" s="97"/>
    </row>
    <row r="18" spans="2:24" ht="14.25">
      <c r="B18" s="1136" t="s">
        <v>909</v>
      </c>
      <c r="C18" s="1151">
        <f ca="1">DSUM(MercadoBase,"TUSD_E",INDIRECT("Mercado_Criterio"&amp;$B18))</f>
        <v>0</v>
      </c>
      <c r="D18" s="1152">
        <f ca="1">DSUM(MercadoBase,"Total",INDIRECT("Mercado_Criterio"&amp;$B18))</f>
        <v>0</v>
      </c>
      <c r="E18" s="96"/>
      <c r="I18" s="1155" t="s">
        <v>910</v>
      </c>
      <c r="J18" s="1156">
        <f>DSUM('BD MERCADO'!B2:BU724,"UC",C101:C102)</f>
        <v>15038</v>
      </c>
      <c r="L18" s="79"/>
      <c r="P18" s="1133">
        <f>DATE(YEAR(P20),MONTH(P20)-1,1)</f>
        <v>44682</v>
      </c>
      <c r="Q18" s="661"/>
      <c r="S18" s="660" t="s">
        <v>790</v>
      </c>
      <c r="T18" s="661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0" t="s">
        <v>874</v>
      </c>
      <c r="Q19" s="1131"/>
      <c r="S19" s="1130" t="s">
        <v>876</v>
      </c>
      <c r="T19" s="1131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3">
        <f>DATE(YEAR(P22),MONTH(P22)-1,1)</f>
        <v>44713</v>
      </c>
      <c r="Q20" s="661"/>
      <c r="S20" s="660" t="s">
        <v>909</v>
      </c>
      <c r="T20" s="661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0" t="s">
        <v>874</v>
      </c>
      <c r="Q21" s="1131"/>
      <c r="S21" s="1130" t="s">
        <v>876</v>
      </c>
      <c r="T21" s="1131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3">
        <f>DATE(YEAR(P24),MONTH(P24)-1,1)</f>
        <v>44743</v>
      </c>
      <c r="Q22" s="661"/>
      <c r="S22" s="660" t="s">
        <v>752</v>
      </c>
      <c r="T22" s="661"/>
      <c r="X22" s="97"/>
    </row>
    <row r="23" spans="2:24" ht="14.25">
      <c r="B23" s="1136" t="s">
        <v>915</v>
      </c>
      <c r="C23" s="1151">
        <v>0</v>
      </c>
      <c r="D23" s="1152">
        <v>0</v>
      </c>
      <c r="E23" s="615"/>
      <c r="F23" s="617"/>
      <c r="G23" s="618"/>
      <c r="L23" s="79"/>
      <c r="M23" s="100"/>
      <c r="N23" s="97"/>
      <c r="O23" s="97"/>
      <c r="P23" s="1130" t="s">
        <v>874</v>
      </c>
      <c r="Q23" s="1131"/>
      <c r="S23" s="1130" t="s">
        <v>876</v>
      </c>
      <c r="T23" s="1131"/>
      <c r="X23" s="97"/>
    </row>
    <row r="24" spans="2:24" ht="14.25">
      <c r="B24" s="1136" t="s">
        <v>916</v>
      </c>
      <c r="C24" s="1157"/>
      <c r="D24" s="1158"/>
      <c r="E24" s="615"/>
      <c r="F24" s="617"/>
      <c r="G24" s="618"/>
      <c r="L24" s="79"/>
      <c r="P24" s="1133">
        <f>SAS_RA0_DataFim</f>
        <v>44774</v>
      </c>
      <c r="Q24" s="661"/>
      <c r="S24" s="660" t="s">
        <v>913</v>
      </c>
      <c r="T24" s="661"/>
      <c r="X24" s="97"/>
    </row>
    <row r="25" spans="2:24" ht="14.25">
      <c r="B25" s="1159" t="s">
        <v>760</v>
      </c>
      <c r="C25" s="1160">
        <f ca="1">C18+C8+C24+C20+C21+SuprimentoE</f>
        <v>51699.664999999972</v>
      </c>
      <c r="D25" s="1161">
        <f ca="1">D18+D8+D24+D20+D21+D17</f>
        <v>46817003.733180009</v>
      </c>
      <c r="E25" s="615"/>
      <c r="N25" s="69">
        <f>SUMIFS('BD MERCADO'!$P$3:$P$6000,'BD MERCADO'!$D$3:$D$6000,"A4",'BD MERCADO'!$I$3:$I$6000,U10)</f>
        <v>497.70600000000002</v>
      </c>
      <c r="S25" s="101" t="s">
        <v>876</v>
      </c>
      <c r="T25" s="102"/>
      <c r="X25" s="97"/>
    </row>
    <row r="26" spans="2:24" ht="14.25">
      <c r="F26" s="617"/>
      <c r="G26" s="618"/>
      <c r="S26" s="660" t="s">
        <v>917</v>
      </c>
      <c r="T26" s="661"/>
      <c r="X26" s="97"/>
    </row>
    <row r="27" spans="2:24" ht="14.25">
      <c r="F27" s="617"/>
      <c r="G27" s="618"/>
      <c r="I27" s="97"/>
      <c r="S27" s="1162" t="s">
        <v>524</v>
      </c>
      <c r="T27" s="1163"/>
      <c r="X27" s="97"/>
    </row>
    <row r="28" spans="2:24" ht="14.25">
      <c r="F28" s="226"/>
      <c r="G28" s="619"/>
      <c r="I28" s="97"/>
      <c r="S28" s="1164" t="s">
        <v>889</v>
      </c>
      <c r="T28" s="1165"/>
      <c r="X28" s="97"/>
    </row>
    <row r="29" spans="2:24" ht="14.25">
      <c r="I29" s="97"/>
      <c r="S29" s="1162" t="s">
        <v>524</v>
      </c>
      <c r="T29" s="1163"/>
    </row>
    <row r="30" spans="2:24" ht="14.25">
      <c r="I30" s="97"/>
      <c r="S30" s="1164" t="s">
        <v>890</v>
      </c>
      <c r="T30" s="1165"/>
    </row>
    <row r="31" spans="2:24" ht="16.5">
      <c r="B31"/>
      <c r="C31"/>
      <c r="H31" s="97"/>
      <c r="I31" s="97"/>
      <c r="S31" s="1162" t="s">
        <v>524</v>
      </c>
      <c r="T31" s="1163"/>
      <c r="X31" s="97"/>
    </row>
    <row r="32" spans="2:24" ht="14.25">
      <c r="H32" s="97"/>
      <c r="I32" s="97"/>
      <c r="S32" s="1164" t="s">
        <v>918</v>
      </c>
      <c r="T32" s="1165"/>
      <c r="X32" s="97"/>
    </row>
    <row r="33" spans="2:24" ht="16.5">
      <c r="B33" s="1755" t="s">
        <v>919</v>
      </c>
      <c r="C33" s="1756" t="s">
        <v>920</v>
      </c>
      <c r="D33"/>
      <c r="S33" s="1162" t="s">
        <v>524</v>
      </c>
      <c r="T33" s="1163"/>
      <c r="X33" s="97"/>
    </row>
    <row r="34" spans="2:24" ht="16.5">
      <c r="B34" s="1757">
        <v>44440</v>
      </c>
      <c r="C34" s="1758">
        <v>3975.6689999999999</v>
      </c>
      <c r="D34"/>
      <c r="S34" s="1164" t="s">
        <v>894</v>
      </c>
      <c r="T34" s="1165"/>
      <c r="X34" s="97"/>
    </row>
    <row r="35" spans="2:24" ht="16.5">
      <c r="B35" s="1757">
        <v>44470</v>
      </c>
      <c r="C35" s="1758">
        <v>4024.0090000000005</v>
      </c>
      <c r="D35"/>
      <c r="S35" s="1162" t="s">
        <v>524</v>
      </c>
      <c r="T35" s="1163"/>
    </row>
    <row r="36" spans="2:24" ht="16.5">
      <c r="B36" s="1757">
        <v>44501</v>
      </c>
      <c r="C36" s="1758">
        <v>4167.7719999999999</v>
      </c>
      <c r="D36"/>
      <c r="M36" s="97"/>
      <c r="S36" s="1164" t="s">
        <v>896</v>
      </c>
      <c r="T36" s="1165"/>
    </row>
    <row r="37" spans="2:24" ht="16.5">
      <c r="B37" s="1757">
        <v>44531</v>
      </c>
      <c r="C37" s="1758">
        <v>4298.76</v>
      </c>
      <c r="D37"/>
      <c r="M37" s="97"/>
      <c r="S37" s="1162" t="s">
        <v>524</v>
      </c>
      <c r="T37" s="1163"/>
    </row>
    <row r="38" spans="2:24" ht="16.5">
      <c r="B38" s="1757">
        <v>44562</v>
      </c>
      <c r="C38" s="1758">
        <v>5150.7080000000005</v>
      </c>
      <c r="D38"/>
      <c r="M38" s="97"/>
      <c r="S38" s="1164" t="s">
        <v>899</v>
      </c>
      <c r="T38" s="1165"/>
    </row>
    <row r="39" spans="2:24" ht="16.5">
      <c r="B39" s="1757">
        <v>44593</v>
      </c>
      <c r="C39" s="1758">
        <v>5094.6760000000004</v>
      </c>
      <c r="D39"/>
      <c r="S39" s="1162" t="s">
        <v>524</v>
      </c>
      <c r="T39" s="1163"/>
    </row>
    <row r="40" spans="2:24" ht="16.5">
      <c r="B40" s="1757">
        <v>44621</v>
      </c>
      <c r="C40" s="1758">
        <v>4552.5810000000001</v>
      </c>
      <c r="D40"/>
      <c r="S40" s="1164" t="s">
        <v>921</v>
      </c>
      <c r="T40" s="1165"/>
    </row>
    <row r="41" spans="2:24" ht="16.5">
      <c r="B41" s="1757">
        <v>44652</v>
      </c>
      <c r="C41" s="1758">
        <v>4261.3689999999997</v>
      </c>
      <c r="D41"/>
      <c r="N41" s="97"/>
      <c r="O41" s="97"/>
      <c r="P41" s="97"/>
      <c r="Q41" s="97"/>
      <c r="R41" s="97"/>
      <c r="S41" s="1162" t="s">
        <v>524</v>
      </c>
      <c r="T41" s="1163"/>
    </row>
    <row r="42" spans="2:24" ht="16.5">
      <c r="B42" s="1757">
        <v>44682</v>
      </c>
      <c r="C42" s="1758">
        <v>4030.1749999999997</v>
      </c>
      <c r="D42"/>
      <c r="N42" s="97"/>
      <c r="O42" s="97"/>
      <c r="P42" s="97"/>
      <c r="Q42" s="97"/>
      <c r="R42" s="97"/>
      <c r="S42" s="1164" t="s">
        <v>922</v>
      </c>
      <c r="T42" s="1165"/>
    </row>
    <row r="43" spans="2:24" ht="16.5">
      <c r="B43" s="1757">
        <v>44713</v>
      </c>
      <c r="C43" s="1758">
        <v>4033.8850000000007</v>
      </c>
      <c r="D43"/>
      <c r="N43" s="97"/>
      <c r="O43" s="97"/>
      <c r="P43" s="97"/>
      <c r="Q43" s="97"/>
      <c r="R43" s="97"/>
      <c r="S43" s="1130" t="s">
        <v>875</v>
      </c>
      <c r="T43" s="1131" t="s">
        <v>876</v>
      </c>
    </row>
    <row r="44" spans="2:24" ht="16.5">
      <c r="B44" s="1757">
        <v>44743</v>
      </c>
      <c r="C44" s="1758">
        <v>3867.0200000000004</v>
      </c>
      <c r="D44"/>
      <c r="S44" s="660" t="s">
        <v>538</v>
      </c>
      <c r="T44" s="661" t="s">
        <v>909</v>
      </c>
    </row>
    <row r="45" spans="2:24" ht="16.5">
      <c r="B45" s="1757">
        <v>44774</v>
      </c>
      <c r="C45" s="1758">
        <v>4243.0410000000002</v>
      </c>
      <c r="D45"/>
      <c r="S45" s="1130" t="s">
        <v>875</v>
      </c>
      <c r="T45" s="1131" t="s">
        <v>876</v>
      </c>
    </row>
    <row r="46" spans="2:24" ht="16.5">
      <c r="B46" s="1757" t="s">
        <v>923</v>
      </c>
      <c r="C46" s="1758">
        <v>51699.664999999994</v>
      </c>
      <c r="D46"/>
      <c r="S46" s="660" t="s">
        <v>535</v>
      </c>
      <c r="T46" s="661" t="s">
        <v>909</v>
      </c>
    </row>
    <row r="47" spans="2:24" ht="16.5">
      <c r="B47"/>
      <c r="C47"/>
      <c r="D47"/>
      <c r="S47" s="1130" t="s">
        <v>875</v>
      </c>
      <c r="T47" s="1131" t="s">
        <v>876</v>
      </c>
    </row>
    <row r="48" spans="2:24" ht="16.5">
      <c r="B48"/>
      <c r="C48"/>
      <c r="D48"/>
      <c r="S48" s="660" t="s">
        <v>537</v>
      </c>
      <c r="T48" s="661" t="s">
        <v>909</v>
      </c>
    </row>
    <row r="49" spans="2:21" ht="16.5">
      <c r="B49"/>
      <c r="C49"/>
      <c r="D49"/>
      <c r="S49" s="1130" t="s">
        <v>875</v>
      </c>
      <c r="T49" s="1131" t="s">
        <v>876</v>
      </c>
    </row>
    <row r="50" spans="2:21" ht="16.5">
      <c r="B50"/>
      <c r="C50"/>
      <c r="D50"/>
      <c r="S50" s="660" t="s">
        <v>533</v>
      </c>
      <c r="T50" s="661" t="s">
        <v>909</v>
      </c>
    </row>
    <row r="51" spans="2:21" ht="16.5">
      <c r="B51"/>
      <c r="C51"/>
      <c r="S51" s="1130" t="s">
        <v>875</v>
      </c>
      <c r="T51" s="1131" t="s">
        <v>876</v>
      </c>
    </row>
    <row r="52" spans="2:21" ht="16.5">
      <c r="B52"/>
      <c r="C52"/>
      <c r="S52" s="660" t="s">
        <v>880</v>
      </c>
      <c r="T52" s="661" t="s">
        <v>909</v>
      </c>
    </row>
    <row r="53" spans="2:21" ht="16.5">
      <c r="B53"/>
      <c r="C53"/>
      <c r="S53" s="1130" t="s">
        <v>875</v>
      </c>
      <c r="T53" s="1131" t="s">
        <v>876</v>
      </c>
    </row>
    <row r="54" spans="2:21" ht="14.25">
      <c r="S54" s="660" t="s">
        <v>897</v>
      </c>
      <c r="T54" s="661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6" t="s">
        <v>925</v>
      </c>
      <c r="C62" s="1166"/>
      <c r="D62" s="1166" t="s">
        <v>888</v>
      </c>
      <c r="E62" s="1166" t="s">
        <v>49</v>
      </c>
      <c r="F62" s="1166" t="s">
        <v>891</v>
      </c>
      <c r="G62" s="1166" t="s">
        <v>47</v>
      </c>
      <c r="H62" s="1166" t="s">
        <v>41</v>
      </c>
      <c r="I62" s="1166" t="s">
        <v>40</v>
      </c>
      <c r="J62" s="1166" t="s">
        <v>112</v>
      </c>
      <c r="K62" s="1166" t="s">
        <v>926</v>
      </c>
      <c r="L62" s="1166" t="s">
        <v>927</v>
      </c>
      <c r="M62" s="1166" t="s">
        <v>928</v>
      </c>
      <c r="N62" s="1166" t="s">
        <v>929</v>
      </c>
      <c r="O62" s="1166" t="s">
        <v>930</v>
      </c>
      <c r="P62" s="1166" t="s">
        <v>931</v>
      </c>
      <c r="Q62" s="1166" t="s">
        <v>932</v>
      </c>
      <c r="R62" s="1166" t="s">
        <v>933</v>
      </c>
      <c r="S62" s="1166" t="s">
        <v>2027</v>
      </c>
      <c r="T62" s="1166" t="s">
        <v>1053</v>
      </c>
      <c r="U62" s="1166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36673.019036731494</v>
      </c>
      <c r="H63" s="103">
        <f t="shared" ca="1" si="4"/>
        <v>231309.57880409845</v>
      </c>
      <c r="I63" s="103">
        <f t="shared" ca="1" si="4"/>
        <v>8114.2334249762362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334.21692000000058</v>
      </c>
      <c r="O63" s="103">
        <f t="shared" ca="1" si="4"/>
        <v>108140.75048000002</v>
      </c>
      <c r="P63" s="103">
        <f t="shared" ca="1" si="4"/>
        <v>0</v>
      </c>
      <c r="Q63" s="103">
        <f t="shared" ca="1" si="4"/>
        <v>5556.1411500000013</v>
      </c>
      <c r="R63" s="103">
        <f t="shared" ca="1" si="4"/>
        <v>2034013.5236807037</v>
      </c>
      <c r="S63" s="103">
        <f ca="1">DSUM(MercadoBase,S$62,INDIRECT("P"&amp;5+2*(ROW()-65)&amp;":P"&amp;6+2*(ROW()-65)))</f>
        <v>0</v>
      </c>
      <c r="T63" s="103">
        <f t="shared" ca="1" si="4"/>
        <v>-1268160.4803211237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37129.08168457928</v>
      </c>
      <c r="H64" s="103">
        <f t="shared" ca="1" si="4"/>
        <v>234392.85836953425</v>
      </c>
      <c r="I64" s="103">
        <f t="shared" ca="1" si="4"/>
        <v>8248.5315393698238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318.44912400000004</v>
      </c>
      <c r="O64" s="103">
        <f t="shared" ca="1" si="4"/>
        <v>112807.09167999998</v>
      </c>
      <c r="P64" s="103">
        <f t="shared" ca="1" si="4"/>
        <v>0</v>
      </c>
      <c r="Q64" s="103">
        <f t="shared" ca="1" si="4"/>
        <v>5538.3551100000013</v>
      </c>
      <c r="R64" s="103">
        <f t="shared" ca="1" si="4"/>
        <v>2038042.5029563131</v>
      </c>
      <c r="S64" s="103">
        <f t="shared" ca="1" si="4"/>
        <v>0</v>
      </c>
      <c r="T64" s="103">
        <f t="shared" ca="1" si="4"/>
        <v>-1270672.4558974293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38526.229167859638</v>
      </c>
      <c r="H65" s="103">
        <f t="shared" ca="1" si="4"/>
        <v>243014.36689571422</v>
      </c>
      <c r="I65" s="103">
        <f t="shared" ca="1" si="4"/>
        <v>8520.220900252516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279.97268400000036</v>
      </c>
      <c r="O65" s="103">
        <f t="shared" ca="1" si="4"/>
        <v>121085.34919999998</v>
      </c>
      <c r="P65" s="103">
        <f t="shared" ca="1" si="4"/>
        <v>0</v>
      </c>
      <c r="Q65" s="103">
        <f t="shared" ca="1" si="4"/>
        <v>5496.9523320000017</v>
      </c>
      <c r="R65" s="103">
        <f t="shared" ca="1" si="4"/>
        <v>2121199.3847539509</v>
      </c>
      <c r="S65" s="103">
        <f t="shared" ca="1" si="4"/>
        <v>0</v>
      </c>
      <c r="T65" s="103">
        <f t="shared" ca="1" si="4"/>
        <v>-1322518.8521650746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39775.788600209933</v>
      </c>
      <c r="H66" s="103">
        <f t="shared" ca="1" si="4"/>
        <v>251192.98720758589</v>
      </c>
      <c r="I66" s="103">
        <f t="shared" ca="1" si="4"/>
        <v>8846.1377555028866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259.90458000000012</v>
      </c>
      <c r="O66" s="103">
        <f t="shared" ca="1" si="4"/>
        <v>133424.61736</v>
      </c>
      <c r="P66" s="103">
        <f t="shared" ca="1" si="4"/>
        <v>0</v>
      </c>
      <c r="Q66" s="103">
        <f t="shared" ca="1" si="4"/>
        <v>5602.6525799999999</v>
      </c>
      <c r="R66" s="103">
        <f t="shared" ca="1" si="4"/>
        <v>2189277.8347230032</v>
      </c>
      <c r="S66" s="103">
        <f t="shared" ca="1" si="4"/>
        <v>0</v>
      </c>
      <c r="T66" s="103">
        <f t="shared" ca="1" si="4"/>
        <v>-1364964.1942471869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47934.553101300662</v>
      </c>
      <c r="H67" s="103">
        <f t="shared" ca="1" si="4"/>
        <v>304202.77266735409</v>
      </c>
      <c r="I67" s="103">
        <f t="shared" ca="1" si="4"/>
        <v>10901.893892611502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238.13898599999993</v>
      </c>
      <c r="O67" s="103">
        <f t="shared" ca="1" si="4"/>
        <v>171259.66336000001</v>
      </c>
      <c r="P67" s="103">
        <f t="shared" ca="1" si="4"/>
        <v>0</v>
      </c>
      <c r="Q67" s="103">
        <f t="shared" ca="1" si="4"/>
        <v>5740.7707500000015</v>
      </c>
      <c r="R67" s="103">
        <f t="shared" ca="1" si="4"/>
        <v>2704258.1504804678</v>
      </c>
      <c r="S67" s="103">
        <f t="shared" ca="1" si="4"/>
        <v>0</v>
      </c>
      <c r="T67" s="103">
        <f t="shared" ca="1" si="4"/>
        <v>-1686042.5336896488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47361.548101247681</v>
      </c>
      <c r="H68" s="103">
        <f t="shared" ca="1" si="4"/>
        <v>300775.72871407657</v>
      </c>
      <c r="I68" s="103">
        <f t="shared" ca="1" si="4"/>
        <v>10815.272006010293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162.92131800000021</v>
      </c>
      <c r="O68" s="103">
        <f t="shared" ca="1" si="4"/>
        <v>164126.20783999996</v>
      </c>
      <c r="P68" s="103">
        <f t="shared" ca="1" si="4"/>
        <v>0</v>
      </c>
      <c r="Q68" s="103">
        <f t="shared" ca="1" si="4"/>
        <v>5806.3389000000016</v>
      </c>
      <c r="R68" s="103">
        <f t="shared" ca="1" si="4"/>
        <v>2693393.5943949451</v>
      </c>
      <c r="S68" s="103">
        <f t="shared" ca="1" si="4"/>
        <v>0</v>
      </c>
      <c r="T68" s="103">
        <f t="shared" ca="1" si="4"/>
        <v>-1679268.7337598619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42106.301201316644</v>
      </c>
      <c r="H69" s="103">
        <f t="shared" ca="1" si="4"/>
        <v>266476.45641234185</v>
      </c>
      <c r="I69" s="103">
        <f t="shared" ca="1" si="4"/>
        <v>9481.4712178966547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122.93599800000018</v>
      </c>
      <c r="O69" s="103">
        <f t="shared" ca="1" si="4"/>
        <v>129636.8504</v>
      </c>
      <c r="P69" s="103">
        <f t="shared" ca="1" si="4"/>
        <v>0</v>
      </c>
      <c r="Q69" s="103">
        <f t="shared" ca="1" si="4"/>
        <v>6367.8915000000015</v>
      </c>
      <c r="R69" s="103">
        <f t="shared" ca="1" si="4"/>
        <v>2339134.9992063218</v>
      </c>
      <c r="S69" s="103">
        <f t="shared" ca="1" si="4"/>
        <v>0</v>
      </c>
      <c r="T69" s="103">
        <f t="shared" ca="1" si="4"/>
        <v>-1458396.6771083779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39050.287381292997</v>
      </c>
      <c r="H70" s="103">
        <f t="shared" ca="1" si="4"/>
        <v>246613.21043556739</v>
      </c>
      <c r="I70" s="103">
        <f t="shared" ca="1" si="4"/>
        <v>8776.3693604168984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132.51738600000013</v>
      </c>
      <c r="O70" s="103">
        <f t="shared" ca="1" si="4"/>
        <v>113437.31744000001</v>
      </c>
      <c r="P70" s="103">
        <f t="shared" ca="1" si="4"/>
        <v>0</v>
      </c>
      <c r="Q70" s="103">
        <f t="shared" ca="1" si="4"/>
        <v>10474.490253000002</v>
      </c>
      <c r="R70" s="103">
        <f t="shared" ca="1" si="4"/>
        <v>2166166.7455809284</v>
      </c>
      <c r="S70" s="103">
        <f t="shared" ca="1" si="4"/>
        <v>0</v>
      </c>
      <c r="T70" s="103">
        <f t="shared" ca="1" si="4"/>
        <v>-1350554.963646733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37030.297819394429</v>
      </c>
      <c r="H71" s="103">
        <f t="shared" ca="1" si="4"/>
        <v>233315.77268151788</v>
      </c>
      <c r="I71" s="103">
        <f t="shared" ca="1" si="4"/>
        <v>8190.8554438521733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164.76969600000004</v>
      </c>
      <c r="O71" s="103">
        <f t="shared" ca="1" si="4"/>
        <v>106292.69679999999</v>
      </c>
      <c r="P71" s="103">
        <f t="shared" ca="1" si="4"/>
        <v>0</v>
      </c>
      <c r="Q71" s="103">
        <f t="shared" ca="1" si="4"/>
        <v>7792.7240280000005</v>
      </c>
      <c r="R71" s="103">
        <f t="shared" ca="1" si="4"/>
        <v>2018046.9136549481</v>
      </c>
      <c r="S71" s="103">
        <f t="shared" ca="1" si="4"/>
        <v>0</v>
      </c>
      <c r="T71" s="103">
        <f t="shared" ca="1" si="4"/>
        <v>-1258205.6675317171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36841.733696260293</v>
      </c>
      <c r="H72" s="103">
        <f t="shared" ca="1" si="4"/>
        <v>232647.2086819071</v>
      </c>
      <c r="I72" s="103">
        <f t="shared" ca="1" si="4"/>
        <v>8240.8933365307294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148.39834800000003</v>
      </c>
      <c r="O72" s="103">
        <f t="shared" ca="1" si="4"/>
        <v>103074.04919999999</v>
      </c>
      <c r="P72" s="103">
        <f t="shared" ca="1" si="4"/>
        <v>0</v>
      </c>
      <c r="Q72" s="103">
        <f t="shared" ca="1" si="4"/>
        <v>7823.0390400000015</v>
      </c>
      <c r="R72" s="103">
        <f t="shared" ca="1" si="4"/>
        <v>2032092.3786828755</v>
      </c>
      <c r="S72" s="103">
        <f t="shared" ca="1" si="4"/>
        <v>0</v>
      </c>
      <c r="T72" s="103">
        <f t="shared" ca="1" si="4"/>
        <v>-1266962.6907612965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35174.734292078901</v>
      </c>
      <c r="H73" s="103">
        <f t="shared" ca="1" si="4"/>
        <v>220970.00396212365</v>
      </c>
      <c r="I73" s="103">
        <f t="shared" ca="1" si="4"/>
        <v>7665.9051937351232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137.42124600000014</v>
      </c>
      <c r="O73" s="103">
        <f t="shared" ca="1" si="4"/>
        <v>94500.368640000001</v>
      </c>
      <c r="P73" s="103">
        <f t="shared" ca="1" si="4"/>
        <v>0</v>
      </c>
      <c r="Q73" s="103">
        <f t="shared" ca="1" si="4"/>
        <v>7465.6561200000015</v>
      </c>
      <c r="R73" s="103">
        <f t="shared" ca="1" si="4"/>
        <v>1907450.2527988239</v>
      </c>
      <c r="S73" s="103">
        <f t="shared" ca="1" si="4"/>
        <v>0</v>
      </c>
      <c r="T73" s="103">
        <f t="shared" ca="1" si="4"/>
        <v>-1189251.2024210757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38814.106128341104</v>
      </c>
      <c r="H74" s="103">
        <f t="shared" ca="1" si="4"/>
        <v>244527.07696273812</v>
      </c>
      <c r="I74" s="103">
        <f t="shared" ca="1" si="4"/>
        <v>8556.6244177452027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136.55364000000003</v>
      </c>
      <c r="O74" s="103">
        <f t="shared" ca="1" si="4"/>
        <v>105801.95959999999</v>
      </c>
      <c r="P74" s="103">
        <f t="shared" ca="1" si="4"/>
        <v>0</v>
      </c>
      <c r="Q74" s="103">
        <f t="shared" ca="1" si="4"/>
        <v>6270.4324800000013</v>
      </c>
      <c r="R74" s="103">
        <f t="shared" ca="1" si="4"/>
        <v>2099142.2391504152</v>
      </c>
      <c r="S74" s="103">
        <f t="shared" ca="1" si="4"/>
        <v>0</v>
      </c>
      <c r="T74" s="103">
        <f t="shared" ca="1" si="4"/>
        <v>-1308766.7310324302</v>
      </c>
      <c r="U74" s="103">
        <f t="shared" ca="1" si="4"/>
        <v>0</v>
      </c>
    </row>
    <row r="75" spans="2:21" ht="14.25">
      <c r="B75" s="1167" t="s">
        <v>934</v>
      </c>
      <c r="C75" s="1168"/>
      <c r="D75" s="1168">
        <f t="shared" ref="D75:Q75" ca="1" si="5">SUM(D63:D74)</f>
        <v>0</v>
      </c>
      <c r="E75" s="1168">
        <f t="shared" ca="1" si="5"/>
        <v>0</v>
      </c>
      <c r="F75" s="1168">
        <f t="shared" ca="1" si="5"/>
        <v>0</v>
      </c>
      <c r="G75" s="1168">
        <f t="shared" ca="1" si="5"/>
        <v>476417.68021061312</v>
      </c>
      <c r="H75" s="1168">
        <f t="shared" ca="1" si="5"/>
        <v>3009438.0217945594</v>
      </c>
      <c r="I75" s="1168">
        <f t="shared" ca="1" si="5"/>
        <v>106358.40848890002</v>
      </c>
      <c r="J75" s="1168">
        <f t="shared" ca="1" si="5"/>
        <v>0</v>
      </c>
      <c r="K75" s="1168">
        <f t="shared" ca="1" si="5"/>
        <v>0</v>
      </c>
      <c r="L75" s="1168">
        <f t="shared" ca="1" si="5"/>
        <v>0</v>
      </c>
      <c r="M75" s="1168">
        <f t="shared" ca="1" si="5"/>
        <v>0</v>
      </c>
      <c r="N75" s="1168">
        <f t="shared" ca="1" si="5"/>
        <v>2436.1999260000021</v>
      </c>
      <c r="O75" s="1168">
        <f t="shared" ca="1" si="5"/>
        <v>1463586.9219999998</v>
      </c>
      <c r="P75" s="1168">
        <f t="shared" ca="1" si="5"/>
        <v>0</v>
      </c>
      <c r="Q75" s="1168">
        <f t="shared" ca="1" si="5"/>
        <v>79935.44424300002</v>
      </c>
      <c r="R75" s="1168">
        <f t="shared" ref="R75:S75" ca="1" si="6">SUM(R63:R74)</f>
        <v>26342218.520063698</v>
      </c>
      <c r="S75" s="1168">
        <f t="shared" ca="1" si="6"/>
        <v>0</v>
      </c>
      <c r="T75" s="1168">
        <f t="shared" ref="T75:U75" ca="1" si="7">SUM(T63:T74)</f>
        <v>-16423765.182581954</v>
      </c>
      <c r="U75" s="116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6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0" t="s">
        <v>937</v>
      </c>
      <c r="C79" s="1171">
        <f t="shared" ref="C79:C84" ca="1" si="8">SUM(INDIRECT("dados_MercadoBase["&amp;B79&amp;"]"))</f>
        <v>9277895.6152846888</v>
      </c>
      <c r="J79" s="94" t="s">
        <v>938</v>
      </c>
      <c r="K79" s="1172"/>
      <c r="L79" s="1172"/>
      <c r="M79" s="1172">
        <f>SUMIFS(M63:M74,$B$63:$B$74,42826)</f>
        <v>0</v>
      </c>
      <c r="N79" s="1172">
        <f>SUMIFS(N63:N74,$B$63:$B$74,42826)</f>
        <v>0</v>
      </c>
      <c r="O79" s="1172">
        <f>SUMIFS(O63:O74,$B$63:$B$74,42826)</f>
        <v>0</v>
      </c>
      <c r="P79" s="1172">
        <f>SUMIFS(P63:P74,$B$63:$B$74,42826)</f>
        <v>0</v>
      </c>
      <c r="Q79" s="1172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1494120.4231419072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3"/>
      <c r="C85" s="1174"/>
    </row>
    <row r="86" spans="2:13" ht="14.25"/>
    <row r="87" spans="2:13" ht="14.25">
      <c r="B87" s="1170" t="s">
        <v>943</v>
      </c>
      <c r="C87" s="1171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6110787.8444840517</v>
      </c>
      <c r="E96" s="105"/>
      <c r="G96" s="105"/>
    </row>
    <row r="97" spans="1:7" ht="14.25">
      <c r="B97" s="1173" t="s">
        <v>953</v>
      </c>
      <c r="C97" s="1174">
        <f t="shared" ca="1" si="9"/>
        <v>26342218.520063687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2" t="s">
        <v>955</v>
      </c>
      <c r="C101" s="1163" t="s">
        <v>874</v>
      </c>
      <c r="D101" s="230"/>
    </row>
    <row r="102" spans="1:7" ht="12.75" customHeight="1">
      <c r="A102" s="230"/>
      <c r="B102" s="1164" t="s">
        <v>956</v>
      </c>
      <c r="C102" s="1175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4" t="s">
        <v>778</v>
      </c>
      <c r="C111" s="1134" t="s">
        <v>108</v>
      </c>
      <c r="D111" s="1134" t="s">
        <v>884</v>
      </c>
    </row>
    <row r="112" spans="1:7" ht="12.75" customHeight="1">
      <c r="B112" s="1136" t="s">
        <v>909</v>
      </c>
      <c r="C112" s="1137"/>
      <c r="D112" s="1138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59" t="s">
        <v>769</v>
      </c>
      <c r="C120" s="1160">
        <f ca="1">SUM(C114:C119)</f>
        <v>0</v>
      </c>
      <c r="D120" s="1161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440" activePane="bottomLeft" state="frozen"/>
      <selection pane="bottomLeft" activeCell="F2" sqref="F2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2027</v>
      </c>
      <c r="EQ2" s="261" t="s">
        <v>2028</v>
      </c>
      <c r="ER2" s="261" t="s">
        <v>2029</v>
      </c>
      <c r="ES2" s="261" t="s">
        <v>2030</v>
      </c>
      <c r="ET2" s="261" t="s">
        <v>2031</v>
      </c>
      <c r="EU2" s="261" t="s">
        <v>2032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1821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2326</v>
      </c>
      <c r="K3" s="786">
        <v>44440</v>
      </c>
      <c r="L3" s="399">
        <v>0</v>
      </c>
      <c r="M3" s="399">
        <v>0</v>
      </c>
      <c r="N3" s="399">
        <v>1219.5219999999999</v>
      </c>
      <c r="O3" s="399">
        <v>1219.5219999999999</v>
      </c>
      <c r="P3" s="399">
        <v>1219.5219999999999</v>
      </c>
      <c r="Q3" s="399">
        <v>1219.5219999999999</v>
      </c>
      <c r="R3" s="399"/>
      <c r="S3" s="399">
        <v>825.6</v>
      </c>
      <c r="T3" s="399">
        <v>185.74</v>
      </c>
      <c r="U3" s="399"/>
      <c r="V3" s="399">
        <v>1233351.3794800001</v>
      </c>
      <c r="W3" s="399">
        <v>1233351.3794800001</v>
      </c>
      <c r="X3" s="399">
        <v>766713.48139999993</v>
      </c>
      <c r="Y3" s="399">
        <v>0</v>
      </c>
      <c r="Z3" s="399">
        <v>76031.301638104313</v>
      </c>
      <c r="AA3" s="399">
        <v>0</v>
      </c>
      <c r="AB3" s="399">
        <v>0</v>
      </c>
      <c r="AC3" s="399">
        <v>0</v>
      </c>
      <c r="AD3" s="399">
        <v>158942.38307083203</v>
      </c>
      <c r="AE3" s="399">
        <v>716188.41984514787</v>
      </c>
      <c r="AF3" s="399">
        <v>226519.24551529516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11750.331321247977</v>
      </c>
      <c r="AM3" s="399"/>
      <c r="AN3" s="399">
        <v>2891.3248902934752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41037.523909457326</v>
      </c>
      <c r="BH3" s="399">
        <v>0</v>
      </c>
      <c r="BI3" s="399">
        <v>602.61</v>
      </c>
      <c r="BJ3" s="399">
        <v>3213.27</v>
      </c>
      <c r="BK3" s="399">
        <v>182353.77</v>
      </c>
      <c r="BL3" s="399">
        <v>7983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267556.76942475251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766712.22399999993</v>
      </c>
      <c r="CJ3" s="399">
        <v>-466639.18548000022</v>
      </c>
      <c r="CK3" s="399"/>
      <c r="CL3" s="399"/>
      <c r="CM3" s="399"/>
      <c r="CN3" s="399"/>
      <c r="CO3" s="399">
        <v>-466637.89808000001</v>
      </c>
      <c r="CP3" s="399">
        <v>0</v>
      </c>
      <c r="CQ3" s="399">
        <v>30</v>
      </c>
      <c r="CR3" s="399">
        <v>-20114.258333304257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-14631.697756113921</v>
      </c>
      <c r="DA3" s="399">
        <v>0</v>
      </c>
      <c r="DB3" s="399">
        <v>0</v>
      </c>
      <c r="DC3" s="399">
        <v>0</v>
      </c>
      <c r="DD3" s="399">
        <v>0</v>
      </c>
      <c r="DE3" s="399">
        <v>0</v>
      </c>
      <c r="DF3" s="399">
        <v>0</v>
      </c>
      <c r="DG3" s="399">
        <v>0</v>
      </c>
      <c r="DH3" s="399">
        <v>0</v>
      </c>
      <c r="DI3" s="399">
        <v>-4702.4360368790803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-629.96340590787986</v>
      </c>
      <c r="DP3" s="399">
        <v>-150.16113440336267</v>
      </c>
      <c r="DQ3" s="399">
        <v>0</v>
      </c>
      <c r="DR3" s="399">
        <v>0</v>
      </c>
      <c r="DS3" s="399"/>
      <c r="DT3" s="399"/>
      <c r="DU3" s="399"/>
      <c r="DV3" s="399">
        <v>716188.41984514787</v>
      </c>
      <c r="DW3" s="399">
        <v>0</v>
      </c>
      <c r="DX3" s="399">
        <v>0</v>
      </c>
      <c r="DY3" s="399">
        <v>-466637.89808000007</v>
      </c>
      <c r="DZ3" s="399">
        <v>0</v>
      </c>
      <c r="EA3" s="399">
        <v>0</v>
      </c>
      <c r="EB3" s="399">
        <v>0</v>
      </c>
      <c r="EC3" s="399">
        <v>-446526.94779910607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221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2329</v>
      </c>
      <c r="C4" s="399" t="s">
        <v>2328</v>
      </c>
      <c r="D4" s="399" t="s">
        <v>1821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2326</v>
      </c>
      <c r="K4" s="786">
        <v>44440</v>
      </c>
      <c r="L4" s="399">
        <v>0</v>
      </c>
      <c r="M4" s="399">
        <v>0</v>
      </c>
      <c r="N4" s="399">
        <v>-4.1749999999999998</v>
      </c>
      <c r="O4" s="399">
        <v>-4.1749999999999998</v>
      </c>
      <c r="P4" s="399">
        <v>-4.1749999999999998</v>
      </c>
      <c r="Q4" s="399">
        <v>-4.1749999999999998</v>
      </c>
      <c r="R4" s="399"/>
      <c r="S4" s="399">
        <v>825.6</v>
      </c>
      <c r="T4" s="399">
        <v>185.74</v>
      </c>
      <c r="U4" s="399"/>
      <c r="V4" s="399">
        <v>-4222.3445000000002</v>
      </c>
      <c r="W4" s="399">
        <v>-4222.3445000000002</v>
      </c>
      <c r="X4" s="399">
        <v>-2624.8225000000002</v>
      </c>
      <c r="Y4" s="399">
        <v>0</v>
      </c>
      <c r="Z4" s="399">
        <v>-260.29106841786006</v>
      </c>
      <c r="AA4" s="399">
        <v>0</v>
      </c>
      <c r="AB4" s="399">
        <v>0</v>
      </c>
      <c r="AC4" s="399">
        <v>0</v>
      </c>
      <c r="AD4" s="399">
        <v>-544.13487359860972</v>
      </c>
      <c r="AE4" s="399">
        <v>-2451.8513424550706</v>
      </c>
      <c r="AF4" s="399">
        <v>-775.48240214309976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-40.226935853728186</v>
      </c>
      <c r="AM4" s="399"/>
      <c r="AN4" s="399">
        <v>-9.8983711790154327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-140.49083355772535</v>
      </c>
      <c r="BH4" s="399">
        <v>0</v>
      </c>
      <c r="BI4" s="399">
        <v>-2.36</v>
      </c>
      <c r="BJ4" s="399">
        <v>-11.6</v>
      </c>
      <c r="BK4" s="399">
        <v>-912.09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-915.97323570082517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-2627.9659999999994</v>
      </c>
      <c r="CJ4" s="399">
        <v>1594.3485000000001</v>
      </c>
      <c r="CK4" s="399"/>
      <c r="CL4" s="399"/>
      <c r="CM4" s="399"/>
      <c r="CN4" s="399"/>
      <c r="CO4" s="399">
        <v>1597.5220000000002</v>
      </c>
      <c r="CP4" s="399">
        <v>0</v>
      </c>
      <c r="CQ4" s="399">
        <v>30</v>
      </c>
      <c r="CR4" s="399">
        <v>68.860609764764831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50.091214534691119</v>
      </c>
      <c r="DA4" s="399">
        <v>0</v>
      </c>
      <c r="DB4" s="399">
        <v>0</v>
      </c>
      <c r="DC4" s="399">
        <v>0</v>
      </c>
      <c r="DD4" s="399">
        <v>0</v>
      </c>
      <c r="DE4" s="399">
        <v>0</v>
      </c>
      <c r="DF4" s="399">
        <v>0</v>
      </c>
      <c r="DG4" s="399">
        <v>0</v>
      </c>
      <c r="DH4" s="399">
        <v>0</v>
      </c>
      <c r="DI4" s="399">
        <v>16.098660339026395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2.1566623805600855</v>
      </c>
      <c r="DP4" s="399">
        <v>0.51407251048692792</v>
      </c>
      <c r="DQ4" s="399">
        <v>0</v>
      </c>
      <c r="DR4" s="399">
        <v>0</v>
      </c>
      <c r="DS4" s="399"/>
      <c r="DT4" s="399"/>
      <c r="DU4" s="399"/>
      <c r="DV4" s="399">
        <v>-2451.8513424550706</v>
      </c>
      <c r="DW4" s="399">
        <v>0</v>
      </c>
      <c r="DX4" s="399">
        <v>0</v>
      </c>
      <c r="DY4" s="399">
        <v>1597.5220000000002</v>
      </c>
      <c r="DZ4" s="399">
        <v>0</v>
      </c>
      <c r="EA4" s="399">
        <v>0</v>
      </c>
      <c r="EB4" s="399">
        <v>0</v>
      </c>
      <c r="EC4" s="399">
        <v>1528.672715261609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221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2330</v>
      </c>
      <c r="C5" s="399" t="s">
        <v>2328</v>
      </c>
      <c r="D5" s="399" t="s">
        <v>1821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2326</v>
      </c>
      <c r="K5" s="786">
        <v>44440</v>
      </c>
      <c r="L5" s="399">
        <v>0</v>
      </c>
      <c r="M5" s="399">
        <v>0</v>
      </c>
      <c r="N5" s="399">
        <v>9.0389999999999997</v>
      </c>
      <c r="O5" s="399">
        <v>9.0389999999999997</v>
      </c>
      <c r="P5" s="399">
        <v>9.0389999999999997</v>
      </c>
      <c r="Q5" s="399">
        <v>9.0389999999999997</v>
      </c>
      <c r="R5" s="399"/>
      <c r="S5" s="399">
        <v>825.6</v>
      </c>
      <c r="T5" s="399">
        <v>185.74</v>
      </c>
      <c r="U5" s="399"/>
      <c r="V5" s="399">
        <v>9141.5022599999993</v>
      </c>
      <c r="W5" s="399">
        <v>9141.5022599999993</v>
      </c>
      <c r="X5" s="399">
        <v>5682.8193000000001</v>
      </c>
      <c r="Y5" s="399">
        <v>0</v>
      </c>
      <c r="Z5" s="399">
        <v>563.53795627042803</v>
      </c>
      <c r="AA5" s="399">
        <v>0</v>
      </c>
      <c r="AB5" s="399">
        <v>0</v>
      </c>
      <c r="AC5" s="399">
        <v>0</v>
      </c>
      <c r="AD5" s="399">
        <v>1178.0682928042713</v>
      </c>
      <c r="AE5" s="399">
        <v>5308.3315651380562</v>
      </c>
      <c r="AF5" s="399">
        <v>1678.9426186758033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87.092520522598576</v>
      </c>
      <c r="AM5" s="399"/>
      <c r="AN5" s="399">
        <v>21.430269960986948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304.16686096485734</v>
      </c>
      <c r="BH5" s="399">
        <v>0</v>
      </c>
      <c r="BI5" s="399">
        <v>4.8099999999999996</v>
      </c>
      <c r="BJ5" s="399">
        <v>25.17</v>
      </c>
      <c r="BK5" s="399">
        <v>3219.73</v>
      </c>
      <c r="BL5" s="399">
        <v>45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1983.1094796406605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5683.4479999999994</v>
      </c>
      <c r="CJ5" s="399">
        <v>-3458.0842600000005</v>
      </c>
      <c r="CK5" s="399"/>
      <c r="CL5" s="399"/>
      <c r="CM5" s="399"/>
      <c r="CN5" s="399"/>
      <c r="CO5" s="399">
        <v>-3458.6829600000001</v>
      </c>
      <c r="CP5" s="399">
        <v>0</v>
      </c>
      <c r="CQ5" s="399">
        <v>30</v>
      </c>
      <c r="CR5" s="399">
        <v>-149.08528183561793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-108.44897920456833</v>
      </c>
      <c r="DA5" s="399">
        <v>0</v>
      </c>
      <c r="DB5" s="399">
        <v>0</v>
      </c>
      <c r="DC5" s="399">
        <v>0</v>
      </c>
      <c r="DD5" s="399">
        <v>0</v>
      </c>
      <c r="DE5" s="399">
        <v>0</v>
      </c>
      <c r="DF5" s="399">
        <v>0</v>
      </c>
      <c r="DG5" s="399">
        <v>0</v>
      </c>
      <c r="DH5" s="399">
        <v>0</v>
      </c>
      <c r="DI5" s="399">
        <v>-34.854081629810707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-4.6692386246425457</v>
      </c>
      <c r="DP5" s="399">
        <v>-1.1129823765967295</v>
      </c>
      <c r="DQ5" s="399">
        <v>0</v>
      </c>
      <c r="DR5" s="399">
        <v>0</v>
      </c>
      <c r="DS5" s="399"/>
      <c r="DT5" s="399"/>
      <c r="DU5" s="399"/>
      <c r="DV5" s="399">
        <v>5308.3315651380562</v>
      </c>
      <c r="DW5" s="399">
        <v>0</v>
      </c>
      <c r="DX5" s="399">
        <v>0</v>
      </c>
      <c r="DY5" s="399">
        <v>-3458.6829600000001</v>
      </c>
      <c r="DZ5" s="399">
        <v>0</v>
      </c>
      <c r="EA5" s="399">
        <v>0</v>
      </c>
      <c r="EB5" s="399">
        <v>0</v>
      </c>
      <c r="EC5" s="399">
        <v>-3309.6221971855534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221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1821</v>
      </c>
      <c r="E6" s="399" t="s">
        <v>889</v>
      </c>
      <c r="F6" s="399" t="s">
        <v>2331</v>
      </c>
      <c r="G6" s="399" t="s">
        <v>1239</v>
      </c>
      <c r="H6" s="399" t="s">
        <v>1239</v>
      </c>
      <c r="I6" s="399" t="s">
        <v>1239</v>
      </c>
      <c r="J6" s="399" t="s">
        <v>2326</v>
      </c>
      <c r="K6" s="786">
        <v>44440</v>
      </c>
      <c r="L6" s="399">
        <v>0</v>
      </c>
      <c r="M6" s="399">
        <v>0</v>
      </c>
      <c r="N6" s="399">
        <v>6.03</v>
      </c>
      <c r="O6" s="399">
        <v>6.03</v>
      </c>
      <c r="P6" s="399">
        <v>6.03</v>
      </c>
      <c r="Q6" s="399">
        <v>6.03</v>
      </c>
      <c r="R6" s="399"/>
      <c r="S6" s="399">
        <v>753.62</v>
      </c>
      <c r="T6" s="399">
        <v>185.74</v>
      </c>
      <c r="U6" s="399"/>
      <c r="V6" s="399">
        <v>5664.3407999999999</v>
      </c>
      <c r="W6" s="399">
        <v>5664.3407999999999</v>
      </c>
      <c r="X6" s="399">
        <v>3383.3727000000003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785.90018869451899</v>
      </c>
      <c r="AE6" s="399">
        <v>3541.2367892225334</v>
      </c>
      <c r="AF6" s="399">
        <v>1120.0380562689561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14.296330110051034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202.91250930612787</v>
      </c>
      <c r="BH6" s="399">
        <v>0</v>
      </c>
      <c r="BI6" s="399">
        <v>0</v>
      </c>
      <c r="BJ6" s="399">
        <v>4.1500000000000004</v>
      </c>
      <c r="BK6" s="399">
        <v>161.85</v>
      </c>
      <c r="BL6" s="399">
        <v>13</v>
      </c>
      <c r="BM6" s="399"/>
      <c r="BN6" s="399"/>
      <c r="BO6" s="399"/>
      <c r="BP6" s="399"/>
      <c r="BQ6" s="399"/>
      <c r="BR6" s="399"/>
      <c r="BS6" s="399"/>
      <c r="BT6" s="399">
        <v>2199.2013000000002</v>
      </c>
      <c r="BU6" s="399"/>
      <c r="BV6" s="399">
        <v>1322.9505655750841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1184.1714000000002</v>
      </c>
      <c r="CJ6" s="399">
        <v>-798.40199999999982</v>
      </c>
      <c r="CK6" s="399"/>
      <c r="CL6" s="399"/>
      <c r="CM6" s="399"/>
      <c r="CN6" s="399"/>
      <c r="CO6" s="399">
        <v>-2280.9681</v>
      </c>
      <c r="CP6" s="399">
        <v>0</v>
      </c>
      <c r="CQ6" s="399">
        <v>30</v>
      </c>
      <c r="CR6" s="399">
        <v>-73.089791828125726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-72.347311052500004</v>
      </c>
      <c r="DA6" s="399">
        <v>0</v>
      </c>
      <c r="DB6" s="399">
        <v>0</v>
      </c>
      <c r="DC6" s="399">
        <v>0</v>
      </c>
      <c r="DD6" s="399">
        <v>0</v>
      </c>
      <c r="DE6" s="399">
        <v>0</v>
      </c>
      <c r="DF6" s="399">
        <v>0</v>
      </c>
      <c r="DG6" s="399">
        <v>0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-0.74248077562543102</v>
      </c>
      <c r="DQ6" s="399">
        <v>0</v>
      </c>
      <c r="DR6" s="399">
        <v>0</v>
      </c>
      <c r="DS6" s="399"/>
      <c r="DT6" s="399"/>
      <c r="DU6" s="399"/>
      <c r="DV6" s="399">
        <v>3541.2367892225334</v>
      </c>
      <c r="DW6" s="399">
        <v>0</v>
      </c>
      <c r="DX6" s="399">
        <v>0</v>
      </c>
      <c r="DY6" s="399">
        <v>-2280.9680999999996</v>
      </c>
      <c r="DZ6" s="399">
        <v>0</v>
      </c>
      <c r="EA6" s="399">
        <v>0</v>
      </c>
      <c r="EB6" s="399">
        <v>0</v>
      </c>
      <c r="EC6" s="399">
        <v>-2207.8793947371264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221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1821</v>
      </c>
      <c r="E7" s="399" t="s">
        <v>889</v>
      </c>
      <c r="F7" s="399" t="s">
        <v>2332</v>
      </c>
      <c r="G7" s="399" t="s">
        <v>1239</v>
      </c>
      <c r="H7" s="399" t="s">
        <v>1239</v>
      </c>
      <c r="I7" s="399" t="s">
        <v>1239</v>
      </c>
      <c r="J7" s="399" t="s">
        <v>2326</v>
      </c>
      <c r="K7" s="786">
        <v>44440</v>
      </c>
      <c r="L7" s="399">
        <v>0</v>
      </c>
      <c r="M7" s="399">
        <v>0</v>
      </c>
      <c r="N7" s="399">
        <v>12.154999999999999</v>
      </c>
      <c r="O7" s="399">
        <v>12.154999999999999</v>
      </c>
      <c r="P7" s="399">
        <v>12.154999999999999</v>
      </c>
      <c r="Q7" s="399">
        <v>12.154999999999999</v>
      </c>
      <c r="R7" s="399"/>
      <c r="S7" s="399">
        <v>753.62</v>
      </c>
      <c r="T7" s="399">
        <v>185.74</v>
      </c>
      <c r="U7" s="399"/>
      <c r="V7" s="399">
        <v>11417.9208</v>
      </c>
      <c r="W7" s="399">
        <v>11417.9208</v>
      </c>
      <c r="X7" s="399">
        <v>6820.0489500000003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1584.1818894828984</v>
      </c>
      <c r="AE7" s="399">
        <v>7138.2642077943428</v>
      </c>
      <c r="AF7" s="399">
        <v>2257.7218198920664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28.817892618187447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409.02181602255126</v>
      </c>
      <c r="BH7" s="399">
        <v>0</v>
      </c>
      <c r="BI7" s="399">
        <v>2.29</v>
      </c>
      <c r="BJ7" s="399">
        <v>14.38</v>
      </c>
      <c r="BK7" s="399">
        <v>582.26</v>
      </c>
      <c r="BL7" s="399">
        <v>36</v>
      </c>
      <c r="BM7" s="399"/>
      <c r="BN7" s="399"/>
      <c r="BO7" s="399"/>
      <c r="BP7" s="399"/>
      <c r="BQ7" s="399"/>
      <c r="BR7" s="399"/>
      <c r="BS7" s="399"/>
      <c r="BT7" s="399">
        <v>2727.9466499999999</v>
      </c>
      <c r="BU7" s="399"/>
      <c r="BV7" s="399">
        <v>2666.7436359146177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4093.7856000000002</v>
      </c>
      <c r="CJ7" s="399">
        <v>-2757.0455000000002</v>
      </c>
      <c r="CK7" s="399"/>
      <c r="CL7" s="399"/>
      <c r="CM7" s="399"/>
      <c r="CN7" s="399"/>
      <c r="CO7" s="399">
        <v>-4597.8718499999995</v>
      </c>
      <c r="CP7" s="399">
        <v>0</v>
      </c>
      <c r="CQ7" s="399">
        <v>30</v>
      </c>
      <c r="CR7" s="399">
        <v>-147.33108120578163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-145.83442219620861</v>
      </c>
      <c r="DA7" s="399">
        <v>0</v>
      </c>
      <c r="DB7" s="399">
        <v>0</v>
      </c>
      <c r="DC7" s="399">
        <v>0</v>
      </c>
      <c r="DD7" s="399">
        <v>0</v>
      </c>
      <c r="DE7" s="399">
        <v>0</v>
      </c>
      <c r="DF7" s="399">
        <v>0</v>
      </c>
      <c r="DG7" s="399">
        <v>0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-1.4966590095733174</v>
      </c>
      <c r="DQ7" s="399">
        <v>0</v>
      </c>
      <c r="DR7" s="399">
        <v>0</v>
      </c>
      <c r="DS7" s="399"/>
      <c r="DT7" s="399"/>
      <c r="DU7" s="399"/>
      <c r="DV7" s="399">
        <v>7138.2642077943428</v>
      </c>
      <c r="DW7" s="399">
        <v>0</v>
      </c>
      <c r="DX7" s="399">
        <v>0</v>
      </c>
      <c r="DY7" s="399">
        <v>-4597.8718499999995</v>
      </c>
      <c r="DZ7" s="399">
        <v>0</v>
      </c>
      <c r="EA7" s="399">
        <v>0</v>
      </c>
      <c r="EB7" s="399">
        <v>0</v>
      </c>
      <c r="EC7" s="399">
        <v>-4450.5429590430795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221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1821</v>
      </c>
      <c r="E8" s="399" t="s">
        <v>889</v>
      </c>
      <c r="F8" s="399" t="s">
        <v>2333</v>
      </c>
      <c r="G8" s="399" t="s">
        <v>1239</v>
      </c>
      <c r="H8" s="399" t="s">
        <v>1239</v>
      </c>
      <c r="I8" s="399" t="s">
        <v>1239</v>
      </c>
      <c r="J8" s="399" t="s">
        <v>2326</v>
      </c>
      <c r="K8" s="786">
        <v>44440</v>
      </c>
      <c r="L8" s="399">
        <v>0</v>
      </c>
      <c r="M8" s="399">
        <v>0</v>
      </c>
      <c r="N8" s="399">
        <v>11.212</v>
      </c>
      <c r="O8" s="399">
        <v>11.212</v>
      </c>
      <c r="P8" s="399">
        <v>11.212</v>
      </c>
      <c r="Q8" s="399">
        <v>11.212</v>
      </c>
      <c r="R8" s="399"/>
      <c r="S8" s="399">
        <v>753.62</v>
      </c>
      <c r="T8" s="399">
        <v>185.74</v>
      </c>
      <c r="U8" s="399"/>
      <c r="V8" s="399">
        <v>10532.104319999999</v>
      </c>
      <c r="W8" s="399">
        <v>10532.104319999999</v>
      </c>
      <c r="X8" s="399">
        <v>6290.9410800000005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1461.2790904880508</v>
      </c>
      <c r="AE8" s="399">
        <v>6584.4688027799402</v>
      </c>
      <c r="AF8" s="399">
        <v>2082.5649563660922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26.582164708771508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377.28939541298604</v>
      </c>
      <c r="BH8" s="399">
        <v>0</v>
      </c>
      <c r="BI8" s="399">
        <v>5.81</v>
      </c>
      <c r="BJ8" s="399">
        <v>26.31</v>
      </c>
      <c r="BK8" s="399">
        <v>1517.95</v>
      </c>
      <c r="BL8" s="399">
        <v>114</v>
      </c>
      <c r="BM8" s="399"/>
      <c r="BN8" s="399"/>
      <c r="BO8" s="399"/>
      <c r="BP8" s="399"/>
      <c r="BQ8" s="399"/>
      <c r="BR8" s="399"/>
      <c r="BS8" s="399"/>
      <c r="BT8" s="399">
        <v>628.99320000000057</v>
      </c>
      <c r="BU8" s="399"/>
      <c r="BV8" s="399">
        <v>2459.8543517790781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5660.9379000000008</v>
      </c>
      <c r="CJ8" s="399">
        <v>-3818.0532599999988</v>
      </c>
      <c r="CK8" s="399"/>
      <c r="CL8" s="399"/>
      <c r="CM8" s="399"/>
      <c r="CN8" s="399"/>
      <c r="CO8" s="399">
        <v>-4241.1632399999999</v>
      </c>
      <c r="CP8" s="399">
        <v>0</v>
      </c>
      <c r="CQ8" s="399">
        <v>30</v>
      </c>
      <c r="CR8" s="399">
        <v>-135.90095289833198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-134.52040655400151</v>
      </c>
      <c r="DA8" s="399">
        <v>0</v>
      </c>
      <c r="DB8" s="399">
        <v>0</v>
      </c>
      <c r="DC8" s="399">
        <v>0</v>
      </c>
      <c r="DD8" s="399">
        <v>0</v>
      </c>
      <c r="DE8" s="399">
        <v>0</v>
      </c>
      <c r="DF8" s="399">
        <v>0</v>
      </c>
      <c r="DG8" s="399">
        <v>0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-1.3805463443304049</v>
      </c>
      <c r="DQ8" s="399">
        <v>0</v>
      </c>
      <c r="DR8" s="399">
        <v>0</v>
      </c>
      <c r="DS8" s="399"/>
      <c r="DT8" s="399"/>
      <c r="DU8" s="399"/>
      <c r="DV8" s="399">
        <v>6584.4688027799402</v>
      </c>
      <c r="DW8" s="399">
        <v>0</v>
      </c>
      <c r="DX8" s="399">
        <v>0</v>
      </c>
      <c r="DY8" s="399">
        <v>-4241.163239999999</v>
      </c>
      <c r="DZ8" s="399">
        <v>0</v>
      </c>
      <c r="EA8" s="399">
        <v>0</v>
      </c>
      <c r="EB8" s="399">
        <v>0</v>
      </c>
      <c r="EC8" s="399">
        <v>-4105.2643074283014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221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2328</v>
      </c>
      <c r="D9" s="399" t="s">
        <v>1821</v>
      </c>
      <c r="E9" s="399" t="s">
        <v>889</v>
      </c>
      <c r="F9" s="399" t="s">
        <v>2334</v>
      </c>
      <c r="G9" s="399" t="s">
        <v>1239</v>
      </c>
      <c r="H9" s="399" t="s">
        <v>1239</v>
      </c>
      <c r="I9" s="399" t="s">
        <v>1239</v>
      </c>
      <c r="J9" s="399" t="s">
        <v>2326</v>
      </c>
      <c r="K9" s="786">
        <v>44440</v>
      </c>
      <c r="L9" s="399">
        <v>0</v>
      </c>
      <c r="M9" s="399">
        <v>0</v>
      </c>
      <c r="N9" s="399">
        <v>2.7719999999999998</v>
      </c>
      <c r="O9" s="399">
        <v>2.7719999999999998</v>
      </c>
      <c r="P9" s="399">
        <v>2.7719999999999998</v>
      </c>
      <c r="Q9" s="399">
        <v>2.7719999999999998</v>
      </c>
      <c r="R9" s="399"/>
      <c r="S9" s="399">
        <v>753.62</v>
      </c>
      <c r="T9" s="399">
        <v>185.74</v>
      </c>
      <c r="U9" s="399"/>
      <c r="V9" s="399">
        <v>2603.9059199999997</v>
      </c>
      <c r="W9" s="399">
        <v>2603.9059199999997</v>
      </c>
      <c r="X9" s="399">
        <v>1555.34148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361.27948972822662</v>
      </c>
      <c r="AE9" s="399">
        <v>1627.9118374336419</v>
      </c>
      <c r="AF9" s="399">
        <v>514.88316616543057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6.5720442893965947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93.279183382518482</v>
      </c>
      <c r="BH9" s="399">
        <v>0</v>
      </c>
      <c r="BI9" s="399">
        <v>1.91</v>
      </c>
      <c r="BJ9" s="399">
        <v>10.18</v>
      </c>
      <c r="BK9" s="399">
        <v>755.43</v>
      </c>
      <c r="BL9" s="399">
        <v>38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608.16234954794902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1554.2193000000002</v>
      </c>
      <c r="CJ9" s="399">
        <v>-1049.7166200000001</v>
      </c>
      <c r="CK9" s="399"/>
      <c r="CL9" s="399"/>
      <c r="CM9" s="399"/>
      <c r="CN9" s="399"/>
      <c r="CO9" s="399">
        <v>-1048.5644399999999</v>
      </c>
      <c r="CP9" s="399">
        <v>0</v>
      </c>
      <c r="CQ9" s="399">
        <v>30</v>
      </c>
      <c r="CR9" s="399">
        <v>-33.599486392630865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-33.258166871895526</v>
      </c>
      <c r="DA9" s="399">
        <v>0</v>
      </c>
      <c r="DB9" s="399">
        <v>0</v>
      </c>
      <c r="DC9" s="399">
        <v>0</v>
      </c>
      <c r="DD9" s="399">
        <v>0</v>
      </c>
      <c r="DE9" s="399">
        <v>0</v>
      </c>
      <c r="DF9" s="399">
        <v>0</v>
      </c>
      <c r="DG9" s="399">
        <v>0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-0.34131952073527305</v>
      </c>
      <c r="DQ9" s="399">
        <v>0</v>
      </c>
      <c r="DR9" s="399">
        <v>0</v>
      </c>
      <c r="DS9" s="399"/>
      <c r="DT9" s="399"/>
      <c r="DU9" s="399"/>
      <c r="DV9" s="399">
        <v>1627.9118374336419</v>
      </c>
      <c r="DW9" s="399">
        <v>0</v>
      </c>
      <c r="DX9" s="399">
        <v>0</v>
      </c>
      <c r="DY9" s="399">
        <v>-1048.5644399999999</v>
      </c>
      <c r="DZ9" s="399">
        <v>0</v>
      </c>
      <c r="EA9" s="399">
        <v>0</v>
      </c>
      <c r="EB9" s="399">
        <v>0</v>
      </c>
      <c r="EC9" s="399">
        <v>-1014.965453103037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221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2335</v>
      </c>
      <c r="D10" s="399" t="s">
        <v>1821</v>
      </c>
      <c r="E10" s="399" t="s">
        <v>889</v>
      </c>
      <c r="F10" s="399" t="s">
        <v>889</v>
      </c>
      <c r="G10" s="399" t="s">
        <v>1239</v>
      </c>
      <c r="H10" s="399" t="s">
        <v>1239</v>
      </c>
      <c r="I10" s="399" t="s">
        <v>2323</v>
      </c>
      <c r="J10" s="399" t="s">
        <v>2326</v>
      </c>
      <c r="K10" s="786">
        <v>44440</v>
      </c>
      <c r="L10" s="399">
        <v>0</v>
      </c>
      <c r="M10" s="399">
        <v>0</v>
      </c>
      <c r="N10" s="399">
        <v>0.15</v>
      </c>
      <c r="O10" s="399">
        <v>0.15</v>
      </c>
      <c r="P10" s="399">
        <v>0.15</v>
      </c>
      <c r="Q10" s="399">
        <v>0.15</v>
      </c>
      <c r="R10" s="399"/>
      <c r="S10" s="399">
        <v>495.6</v>
      </c>
      <c r="T10" s="399">
        <v>185.74</v>
      </c>
      <c r="U10" s="399"/>
      <c r="V10" s="399">
        <v>102.20100000000001</v>
      </c>
      <c r="W10" s="399">
        <v>102.20100000000001</v>
      </c>
      <c r="X10" s="399">
        <v>70.896000000000001</v>
      </c>
      <c r="Y10" s="399">
        <v>0</v>
      </c>
      <c r="Z10" s="399">
        <v>9.3517749132165289</v>
      </c>
      <c r="AA10" s="399">
        <v>0</v>
      </c>
      <c r="AB10" s="399">
        <v>0</v>
      </c>
      <c r="AC10" s="399">
        <v>0</v>
      </c>
      <c r="AD10" s="399">
        <v>10.571356846674226</v>
      </c>
      <c r="AE10" s="399">
        <v>47.568800451134699</v>
      </c>
      <c r="AF10" s="399">
        <v>27.861643190770049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1.445279132469276</v>
      </c>
      <c r="AM10" s="399"/>
      <c r="AN10" s="399">
        <v>0.35563010224007546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5.04757485836139</v>
      </c>
      <c r="BH10" s="399">
        <v>0</v>
      </c>
      <c r="BI10" s="399">
        <v>0</v>
      </c>
      <c r="BJ10" s="399">
        <v>0</v>
      </c>
      <c r="BK10" s="399">
        <v>0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32.909218049131439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70.896000000000001</v>
      </c>
      <c r="CJ10" s="399">
        <v>-31.335000000000022</v>
      </c>
      <c r="CK10" s="399"/>
      <c r="CL10" s="399"/>
      <c r="CM10" s="399"/>
      <c r="CN10" s="399"/>
      <c r="CO10" s="399">
        <v>-31.305000000000007</v>
      </c>
      <c r="CP10" s="399">
        <v>0</v>
      </c>
      <c r="CQ10" s="399">
        <v>30</v>
      </c>
      <c r="CR10" s="399">
        <v>-1.6475128558595742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-0.97316332663537608</v>
      </c>
      <c r="DA10" s="399">
        <v>0</v>
      </c>
      <c r="DB10" s="399">
        <v>0</v>
      </c>
      <c r="DC10" s="399">
        <v>0</v>
      </c>
      <c r="DD10" s="399">
        <v>0</v>
      </c>
      <c r="DE10" s="399">
        <v>0</v>
      </c>
      <c r="DF10" s="399">
        <v>0</v>
      </c>
      <c r="DG10" s="399">
        <v>0</v>
      </c>
      <c r="DH10" s="399">
        <v>0</v>
      </c>
      <c r="DI10" s="399">
        <v>-0.5783949822404697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-7.7484875948266474E-2</v>
      </c>
      <c r="DP10" s="399">
        <v>-1.846967103545849E-2</v>
      </c>
      <c r="DQ10" s="399">
        <v>0</v>
      </c>
      <c r="DR10" s="399">
        <v>0</v>
      </c>
      <c r="DS10" s="399"/>
      <c r="DT10" s="399"/>
      <c r="DU10" s="399"/>
      <c r="DV10" s="399">
        <v>47.568800451134699</v>
      </c>
      <c r="DW10" s="399">
        <v>0</v>
      </c>
      <c r="DX10" s="399">
        <v>0</v>
      </c>
      <c r="DY10" s="399">
        <v>-31.305000000000007</v>
      </c>
      <c r="DZ10" s="399">
        <v>0</v>
      </c>
      <c r="EA10" s="399">
        <v>0</v>
      </c>
      <c r="EB10" s="399">
        <v>0</v>
      </c>
      <c r="EC10" s="399">
        <v>-29.65804903757385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221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2335</v>
      </c>
      <c r="D11" s="399" t="s">
        <v>1821</v>
      </c>
      <c r="E11" s="399" t="s">
        <v>889</v>
      </c>
      <c r="F11" s="399" t="s">
        <v>889</v>
      </c>
      <c r="G11" s="399" t="s">
        <v>1239</v>
      </c>
      <c r="H11" s="399" t="s">
        <v>1239</v>
      </c>
      <c r="I11" s="399" t="s">
        <v>1239</v>
      </c>
      <c r="J11" s="399" t="s">
        <v>2326</v>
      </c>
      <c r="K11" s="786">
        <v>44440</v>
      </c>
      <c r="L11" s="399">
        <v>0</v>
      </c>
      <c r="M11" s="399">
        <v>0</v>
      </c>
      <c r="N11" s="399">
        <v>0</v>
      </c>
      <c r="O11" s="399">
        <v>0</v>
      </c>
      <c r="P11" s="399">
        <v>0</v>
      </c>
      <c r="Q11" s="399">
        <v>0</v>
      </c>
      <c r="R11" s="399"/>
      <c r="S11" s="399"/>
      <c r="T11" s="399"/>
      <c r="U11" s="399"/>
      <c r="V11" s="399"/>
      <c r="W11" s="399"/>
      <c r="X11" s="399"/>
      <c r="Y11" s="399"/>
      <c r="Z11" s="399"/>
      <c r="AA11" s="399">
        <v>0</v>
      </c>
      <c r="AB11" s="399"/>
      <c r="AC11" s="399"/>
      <c r="AD11" s="399"/>
      <c r="AE11" s="399"/>
      <c r="AF11" s="399"/>
      <c r="AG11" s="399"/>
      <c r="AH11" s="399"/>
      <c r="AI11" s="399"/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>
        <v>0</v>
      </c>
      <c r="BA11" s="399"/>
      <c r="BB11" s="399"/>
      <c r="BC11" s="399"/>
      <c r="BD11" s="399"/>
      <c r="BE11" s="399"/>
      <c r="BF11" s="399"/>
      <c r="BG11" s="399"/>
      <c r="BH11" s="399"/>
      <c r="BI11" s="399">
        <v>0.05</v>
      </c>
      <c r="BJ11" s="399">
        <v>0.26</v>
      </c>
      <c r="BK11" s="399">
        <v>10.48</v>
      </c>
      <c r="BL11" s="399">
        <v>1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/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/>
      <c r="CJ11" s="399">
        <v>-0.03</v>
      </c>
      <c r="CK11" s="399"/>
      <c r="CL11" s="399"/>
      <c r="CM11" s="399"/>
      <c r="CN11" s="399"/>
      <c r="CO11" s="399">
        <v>0</v>
      </c>
      <c r="CP11" s="399">
        <v>0</v>
      </c>
      <c r="CQ11" s="399">
        <v>30</v>
      </c>
      <c r="CR11" s="399"/>
      <c r="CS11" s="399"/>
      <c r="CT11" s="399"/>
      <c r="CU11" s="399"/>
      <c r="CV11" s="399"/>
      <c r="CW11" s="399"/>
      <c r="CX11" s="399"/>
      <c r="CY11" s="399"/>
      <c r="CZ11" s="399"/>
      <c r="DA11" s="399"/>
      <c r="DB11" s="399"/>
      <c r="DC11" s="399"/>
      <c r="DD11" s="399"/>
      <c r="DE11" s="399"/>
      <c r="DF11" s="399"/>
      <c r="DG11" s="399"/>
      <c r="DH11" s="399"/>
      <c r="DI11" s="399"/>
      <c r="DJ11" s="399"/>
      <c r="DK11" s="399">
        <v>0</v>
      </c>
      <c r="DL11" s="399"/>
      <c r="DM11" s="399"/>
      <c r="DN11" s="399"/>
      <c r="DO11" s="399"/>
      <c r="DP11" s="399"/>
      <c r="DQ11" s="399"/>
      <c r="DR11" s="399"/>
      <c r="DS11" s="399"/>
      <c r="DT11" s="399"/>
      <c r="DU11" s="399"/>
      <c r="DV11" s="399"/>
      <c r="DW11" s="399"/>
      <c r="DX11" s="399"/>
      <c r="DY11" s="399"/>
      <c r="DZ11" s="399"/>
      <c r="EA11" s="399"/>
      <c r="EB11" s="399"/>
      <c r="EC11" s="399"/>
      <c r="ED11" s="399"/>
      <c r="EE11" s="399"/>
      <c r="EF11" s="399"/>
      <c r="EG11" s="399"/>
      <c r="EH11" s="399"/>
      <c r="EI11" s="399"/>
      <c r="EJ11" s="399"/>
      <c r="EK11" s="399"/>
      <c r="EL11" s="399"/>
      <c r="EM11" s="399"/>
      <c r="EN11" s="399"/>
      <c r="EO11" s="399"/>
      <c r="EP11" s="399"/>
      <c r="EQ11" s="399"/>
      <c r="ER11" s="399"/>
      <c r="ES11" s="399"/>
      <c r="ET11" s="399"/>
      <c r="EU11" s="399"/>
      <c r="EV11" s="399">
        <v>221</v>
      </c>
      <c r="EW11" s="399"/>
      <c r="EX11" s="399"/>
      <c r="EY11" s="399"/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2328</v>
      </c>
      <c r="D12" s="399" t="s">
        <v>1824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1239</v>
      </c>
      <c r="J12" s="399" t="s">
        <v>2326</v>
      </c>
      <c r="K12" s="786">
        <v>44440</v>
      </c>
      <c r="L12" s="399">
        <v>0</v>
      </c>
      <c r="M12" s="399">
        <v>0</v>
      </c>
      <c r="N12" s="399">
        <v>42.145000000000003</v>
      </c>
      <c r="O12" s="399">
        <v>42.145000000000003</v>
      </c>
      <c r="P12" s="399">
        <v>42.145000000000003</v>
      </c>
      <c r="Q12" s="399">
        <v>42.145000000000003</v>
      </c>
      <c r="R12" s="399"/>
      <c r="S12" s="399">
        <v>825.6</v>
      </c>
      <c r="T12" s="399">
        <v>185.74</v>
      </c>
      <c r="U12" s="399"/>
      <c r="V12" s="399">
        <v>42622.924300000006</v>
      </c>
      <c r="W12" s="399">
        <v>42622.924300000006</v>
      </c>
      <c r="X12" s="399">
        <v>26496.561500000003</v>
      </c>
      <c r="Y12" s="399">
        <v>0</v>
      </c>
      <c r="Z12" s="399">
        <v>2627.5370247834044</v>
      </c>
      <c r="AA12" s="399">
        <v>0</v>
      </c>
      <c r="AB12" s="399">
        <v>0</v>
      </c>
      <c r="AC12" s="399">
        <v>0</v>
      </c>
      <c r="AD12" s="399">
        <v>5492.8297599553071</v>
      </c>
      <c r="AE12" s="399">
        <v>24750.484988687178</v>
      </c>
      <c r="AF12" s="399">
        <v>7828.1930151666929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406.07526025278429</v>
      </c>
      <c r="AM12" s="399"/>
      <c r="AN12" s="399">
        <v>99.920204392719882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1418.200282704272</v>
      </c>
      <c r="BH12" s="399">
        <v>0</v>
      </c>
      <c r="BI12" s="399">
        <v>24.44</v>
      </c>
      <c r="BJ12" s="399">
        <v>123.76</v>
      </c>
      <c r="BK12" s="399">
        <v>10307.870000000001</v>
      </c>
      <c r="BL12" s="399">
        <v>51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9246.3932978709654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26499.704999999998</v>
      </c>
      <c r="CJ12" s="399">
        <v>-16123.249300000014</v>
      </c>
      <c r="CK12" s="399"/>
      <c r="CL12" s="399"/>
      <c r="CM12" s="399"/>
      <c r="CN12" s="399"/>
      <c r="CO12" s="399">
        <v>-16126.362800000003</v>
      </c>
      <c r="CP12" s="399">
        <v>0</v>
      </c>
      <c r="CQ12" s="399">
        <v>30</v>
      </c>
      <c r="CR12" s="399">
        <v>-695.12105354155574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-505.65131414719872</v>
      </c>
      <c r="DA12" s="399">
        <v>0</v>
      </c>
      <c r="DB12" s="399">
        <v>0</v>
      </c>
      <c r="DC12" s="399">
        <v>0</v>
      </c>
      <c r="DD12" s="399">
        <v>0</v>
      </c>
      <c r="DE12" s="399">
        <v>0</v>
      </c>
      <c r="DF12" s="399">
        <v>0</v>
      </c>
      <c r="DG12" s="399">
        <v>0</v>
      </c>
      <c r="DH12" s="399">
        <v>0</v>
      </c>
      <c r="DI12" s="399">
        <v>-162.50971017683059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-21.770667312264607</v>
      </c>
      <c r="DP12" s="399">
        <v>-5.1893619052626576</v>
      </c>
      <c r="DQ12" s="399">
        <v>0</v>
      </c>
      <c r="DR12" s="399">
        <v>0</v>
      </c>
      <c r="DS12" s="399"/>
      <c r="DT12" s="399"/>
      <c r="DU12" s="399"/>
      <c r="DV12" s="399">
        <v>24750.484988687178</v>
      </c>
      <c r="DW12" s="399">
        <v>0</v>
      </c>
      <c r="DX12" s="399">
        <v>0</v>
      </c>
      <c r="DY12" s="399">
        <v>-16126.362800000003</v>
      </c>
      <c r="DZ12" s="399">
        <v>0</v>
      </c>
      <c r="EA12" s="399">
        <v>0</v>
      </c>
      <c r="EB12" s="399">
        <v>0</v>
      </c>
      <c r="EC12" s="399">
        <v>-15431.356068191742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221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2330</v>
      </c>
      <c r="C13" s="399" t="s">
        <v>2328</v>
      </c>
      <c r="D13" s="399" t="s">
        <v>1824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1239</v>
      </c>
      <c r="J13" s="399" t="s">
        <v>2326</v>
      </c>
      <c r="K13" s="786">
        <v>44440</v>
      </c>
      <c r="L13" s="399">
        <v>0</v>
      </c>
      <c r="M13" s="399">
        <v>0</v>
      </c>
      <c r="N13" s="399">
        <v>104.965</v>
      </c>
      <c r="O13" s="399">
        <v>104.965</v>
      </c>
      <c r="P13" s="399">
        <v>104.965</v>
      </c>
      <c r="Q13" s="399">
        <v>104.965</v>
      </c>
      <c r="R13" s="399"/>
      <c r="S13" s="399">
        <v>825.6</v>
      </c>
      <c r="T13" s="399">
        <v>185.74</v>
      </c>
      <c r="U13" s="399"/>
      <c r="V13" s="399">
        <v>106155.3031</v>
      </c>
      <c r="W13" s="399">
        <v>106155.3031</v>
      </c>
      <c r="X13" s="399">
        <v>65991.495500000005</v>
      </c>
      <c r="Y13" s="399">
        <v>0</v>
      </c>
      <c r="Z13" s="399">
        <v>6544.0603584384871</v>
      </c>
      <c r="AA13" s="399">
        <v>0</v>
      </c>
      <c r="AB13" s="399">
        <v>0</v>
      </c>
      <c r="AC13" s="399">
        <v>0</v>
      </c>
      <c r="AD13" s="399">
        <v>13680.267546653431</v>
      </c>
      <c r="AE13" s="399">
        <v>61642.772733124912</v>
      </c>
      <c r="AF13" s="399">
        <v>19496.649183461192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1011.3581609309172</v>
      </c>
      <c r="AM13" s="399"/>
      <c r="AN13" s="399">
        <v>248.85809121086348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3532.1246333860222</v>
      </c>
      <c r="BH13" s="399">
        <v>0</v>
      </c>
      <c r="BI13" s="399">
        <v>61.49</v>
      </c>
      <c r="BJ13" s="399">
        <v>307.48</v>
      </c>
      <c r="BK13" s="399">
        <v>26379.88</v>
      </c>
      <c r="BL13" s="399">
        <v>2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23028.773816847213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65994.638999999996</v>
      </c>
      <c r="CJ13" s="399">
        <v>-40160.694099999993</v>
      </c>
      <c r="CK13" s="399"/>
      <c r="CL13" s="399"/>
      <c r="CM13" s="399"/>
      <c r="CN13" s="399"/>
      <c r="CO13" s="399">
        <v>-40163.807600000007</v>
      </c>
      <c r="CP13" s="399">
        <v>0</v>
      </c>
      <c r="CQ13" s="399">
        <v>30</v>
      </c>
      <c r="CR13" s="399">
        <v>-1731.2464440619224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-1259.3591218284691</v>
      </c>
      <c r="DA13" s="399">
        <v>0</v>
      </c>
      <c r="DB13" s="399">
        <v>0</v>
      </c>
      <c r="DC13" s="399">
        <v>0</v>
      </c>
      <c r="DD13" s="399">
        <v>0</v>
      </c>
      <c r="DE13" s="399">
        <v>0</v>
      </c>
      <c r="DF13" s="399">
        <v>0</v>
      </c>
      <c r="DG13" s="399">
        <v>0</v>
      </c>
      <c r="DH13" s="399">
        <v>0</v>
      </c>
      <c r="DI13" s="399">
        <v>-404.74152873913954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-54.221333359398614</v>
      </c>
      <c r="DP13" s="399">
        <v>-12.924460134912664</v>
      </c>
      <c r="DQ13" s="399">
        <v>0</v>
      </c>
      <c r="DR13" s="399">
        <v>0</v>
      </c>
      <c r="DS13" s="399"/>
      <c r="DT13" s="399"/>
      <c r="DU13" s="399"/>
      <c r="DV13" s="399">
        <v>61642.772733124912</v>
      </c>
      <c r="DW13" s="399">
        <v>0</v>
      </c>
      <c r="DX13" s="399">
        <v>0</v>
      </c>
      <c r="DY13" s="399">
        <v>-40163.807600000007</v>
      </c>
      <c r="DZ13" s="399">
        <v>0</v>
      </c>
      <c r="EA13" s="399">
        <v>0</v>
      </c>
      <c r="EB13" s="399">
        <v>0</v>
      </c>
      <c r="EC13" s="399">
        <v>-38432.845882020309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221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2330</v>
      </c>
      <c r="C14" s="399" t="s">
        <v>2328</v>
      </c>
      <c r="D14" s="399" t="s">
        <v>1824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2326</v>
      </c>
      <c r="K14" s="786">
        <v>44440</v>
      </c>
      <c r="L14" s="399">
        <v>0</v>
      </c>
      <c r="M14" s="399">
        <v>0</v>
      </c>
      <c r="N14" s="399">
        <v>-99.763000000000005</v>
      </c>
      <c r="O14" s="399">
        <v>-99.763000000000005</v>
      </c>
      <c r="P14" s="399">
        <v>-99.763000000000005</v>
      </c>
      <c r="Q14" s="399">
        <v>-99.763000000000005</v>
      </c>
      <c r="R14" s="399"/>
      <c r="S14" s="399">
        <v>825.6</v>
      </c>
      <c r="T14" s="399">
        <v>185.74</v>
      </c>
      <c r="U14" s="399"/>
      <c r="V14" s="399">
        <v>-100894.31242</v>
      </c>
      <c r="W14" s="399">
        <v>-100894.31242</v>
      </c>
      <c r="X14" s="399">
        <v>-62720.998099999997</v>
      </c>
      <c r="Y14" s="399">
        <v>0</v>
      </c>
      <c r="Z14" s="399">
        <v>-6219.7408044481381</v>
      </c>
      <c r="AA14" s="399">
        <v>0</v>
      </c>
      <c r="AB14" s="399">
        <v>0</v>
      </c>
      <c r="AC14" s="399">
        <v>0</v>
      </c>
      <c r="AD14" s="399">
        <v>-13002.282010734876</v>
      </c>
      <c r="AE14" s="399">
        <v>-58587.795323915023</v>
      </c>
      <c r="AF14" s="399">
        <v>-18530.407397605286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-961.2358806168827</v>
      </c>
      <c r="AM14" s="399"/>
      <c r="AN14" s="399">
        <v>-236.52483926517769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-3357.0747372980491</v>
      </c>
      <c r="BH14" s="399">
        <v>0</v>
      </c>
      <c r="BI14" s="399">
        <v>-58.45</v>
      </c>
      <c r="BJ14" s="399">
        <v>-292.23</v>
      </c>
      <c r="BK14" s="399">
        <v>-24352.66</v>
      </c>
      <c r="BL14" s="399">
        <v>1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-21887.482134903334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-62719.112000000001</v>
      </c>
      <c r="CJ14" s="399">
        <v>38175.170420000017</v>
      </c>
      <c r="CK14" s="399"/>
      <c r="CL14" s="399"/>
      <c r="CM14" s="399"/>
      <c r="CN14" s="399"/>
      <c r="CO14" s="399">
        <v>38173.314320000005</v>
      </c>
      <c r="CP14" s="399">
        <v>0</v>
      </c>
      <c r="CQ14" s="399">
        <v>30</v>
      </c>
      <c r="CR14" s="399">
        <v>1645.4469489729818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1196.9460684130281</v>
      </c>
      <c r="DA14" s="399">
        <v>0</v>
      </c>
      <c r="DB14" s="399">
        <v>0</v>
      </c>
      <c r="DC14" s="399">
        <v>0</v>
      </c>
      <c r="DD14" s="399">
        <v>0</v>
      </c>
      <c r="DE14" s="399">
        <v>0</v>
      </c>
      <c r="DF14" s="399">
        <v>0</v>
      </c>
      <c r="DG14" s="399">
        <v>0</v>
      </c>
      <c r="DH14" s="399">
        <v>0</v>
      </c>
      <c r="DI14" s="399">
        <v>384.6827907550396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51.534157861512767</v>
      </c>
      <c r="DP14" s="399">
        <v>12.28393194340299</v>
      </c>
      <c r="DQ14" s="399">
        <v>0</v>
      </c>
      <c r="DR14" s="399">
        <v>0</v>
      </c>
      <c r="DS14" s="399"/>
      <c r="DT14" s="399"/>
      <c r="DU14" s="399"/>
      <c r="DV14" s="399">
        <v>-58587.795323915023</v>
      </c>
      <c r="DW14" s="399">
        <v>0</v>
      </c>
      <c r="DX14" s="399">
        <v>0</v>
      </c>
      <c r="DY14" s="399">
        <v>38173.314320000005</v>
      </c>
      <c r="DZ14" s="399">
        <v>0</v>
      </c>
      <c r="EA14" s="399">
        <v>0</v>
      </c>
      <c r="EB14" s="399">
        <v>0</v>
      </c>
      <c r="EC14" s="399">
        <v>36528.137986262009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221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2325</v>
      </c>
      <c r="D15" s="399" t="s">
        <v>533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893</v>
      </c>
      <c r="J15" s="399" t="s">
        <v>2326</v>
      </c>
      <c r="K15" s="786">
        <v>44440</v>
      </c>
      <c r="L15" s="399">
        <v>0</v>
      </c>
      <c r="M15" s="399">
        <v>0</v>
      </c>
      <c r="N15" s="399">
        <v>2.9660000000000002</v>
      </c>
      <c r="O15" s="399">
        <v>2.9660000000000002</v>
      </c>
      <c r="P15" s="399">
        <v>2.9660000000000002</v>
      </c>
      <c r="Q15" s="399">
        <v>2.9660000000000002</v>
      </c>
      <c r="R15" s="399"/>
      <c r="S15" s="399">
        <v>4433.21</v>
      </c>
      <c r="T15" s="399">
        <v>185.74</v>
      </c>
      <c r="U15" s="399"/>
      <c r="V15" s="399">
        <v>13699.805700000001</v>
      </c>
      <c r="W15" s="399">
        <v>13699.805700000001</v>
      </c>
      <c r="X15" s="399">
        <v>7149.8989200000005</v>
      </c>
      <c r="Y15" s="399">
        <v>0</v>
      </c>
      <c r="Z15" s="399">
        <v>160.87671347708113</v>
      </c>
      <c r="AA15" s="399">
        <v>0</v>
      </c>
      <c r="AB15" s="399">
        <v>0</v>
      </c>
      <c r="AC15" s="399">
        <v>0</v>
      </c>
      <c r="AD15" s="399">
        <v>2852.1737436360536</v>
      </c>
      <c r="AE15" s="399">
        <v>10065.66542839413</v>
      </c>
      <c r="AF15" s="399">
        <v>550.91755802549324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28.577986046025821</v>
      </c>
      <c r="AM15" s="399"/>
      <c r="AN15" s="399">
        <v>3.0724243022930784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38.53478748329632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589.45234550878956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7159.5414000000001</v>
      </c>
      <c r="CJ15" s="399">
        <v>-6540.2943000000014</v>
      </c>
      <c r="CK15" s="399"/>
      <c r="CL15" s="399"/>
      <c r="CM15" s="399"/>
      <c r="CN15" s="399"/>
      <c r="CO15" s="399">
        <v>-6549.9067800000003</v>
      </c>
      <c r="CP15" s="399">
        <v>0</v>
      </c>
      <c r="CQ15" s="399">
        <v>30</v>
      </c>
      <c r="CR15" s="399">
        <v>-274.2031740862808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-262.56146006197378</v>
      </c>
      <c r="DA15" s="399">
        <v>0</v>
      </c>
      <c r="DB15" s="399">
        <v>0</v>
      </c>
      <c r="DC15" s="399">
        <v>0</v>
      </c>
      <c r="DD15" s="399">
        <v>0</v>
      </c>
      <c r="DE15" s="399">
        <v>0</v>
      </c>
      <c r="DF15" s="399">
        <v>0</v>
      </c>
      <c r="DG15" s="399">
        <v>0</v>
      </c>
      <c r="DH15" s="399">
        <v>0</v>
      </c>
      <c r="DI15" s="399">
        <v>-9.9500132004862962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-1.5321342804170541</v>
      </c>
      <c r="DP15" s="399">
        <v>-0.15956654340354826</v>
      </c>
      <c r="DQ15" s="399">
        <v>0</v>
      </c>
      <c r="DR15" s="399">
        <v>0</v>
      </c>
      <c r="DS15" s="399"/>
      <c r="DT15" s="399"/>
      <c r="DU15" s="399"/>
      <c r="DV15" s="399">
        <v>10065.66542839413</v>
      </c>
      <c r="DW15" s="399">
        <v>0</v>
      </c>
      <c r="DX15" s="399">
        <v>0</v>
      </c>
      <c r="DY15" s="399">
        <v>-6549.9067800000012</v>
      </c>
      <c r="DZ15" s="399">
        <v>0</v>
      </c>
      <c r="EA15" s="399">
        <v>0</v>
      </c>
      <c r="EB15" s="399">
        <v>0</v>
      </c>
      <c r="EC15" s="399">
        <v>-6275.7100460792308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221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2325</v>
      </c>
      <c r="D16" s="399" t="s">
        <v>533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2323</v>
      </c>
      <c r="J16" s="399" t="s">
        <v>2326</v>
      </c>
      <c r="K16" s="786">
        <v>44440</v>
      </c>
      <c r="L16" s="399">
        <v>0</v>
      </c>
      <c r="M16" s="399">
        <v>0</v>
      </c>
      <c r="N16" s="399">
        <v>56.646000000000001</v>
      </c>
      <c r="O16" s="399">
        <v>56.646000000000001</v>
      </c>
      <c r="P16" s="399">
        <v>56.646000000000001</v>
      </c>
      <c r="Q16" s="399">
        <v>56.646000000000001</v>
      </c>
      <c r="R16" s="399"/>
      <c r="S16" s="399">
        <v>77.900000000000006</v>
      </c>
      <c r="T16" s="399">
        <v>185.74</v>
      </c>
      <c r="U16" s="399"/>
      <c r="V16" s="399">
        <v>14934.151440000001</v>
      </c>
      <c r="W16" s="399">
        <v>14934.151440000001</v>
      </c>
      <c r="X16" s="399">
        <v>14712.099120000001</v>
      </c>
      <c r="Y16" s="399">
        <v>0</v>
      </c>
      <c r="Z16" s="399">
        <v>3072.4957220575643</v>
      </c>
      <c r="AA16" s="399">
        <v>0</v>
      </c>
      <c r="AB16" s="399">
        <v>0</v>
      </c>
      <c r="AC16" s="399">
        <v>0</v>
      </c>
      <c r="AD16" s="399">
        <v>0</v>
      </c>
      <c r="AE16" s="399">
        <v>0</v>
      </c>
      <c r="AF16" s="399">
        <v>10521.670934562402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545.79521158569742</v>
      </c>
      <c r="AM16" s="399"/>
      <c r="AN16" s="399">
        <v>58.678539119249393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735.95467693149124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11257.625611493893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14713.138000000001</v>
      </c>
      <c r="CJ16" s="399">
        <v>-221.04344000000128</v>
      </c>
      <c r="CK16" s="399"/>
      <c r="CL16" s="399"/>
      <c r="CM16" s="399"/>
      <c r="CN16" s="399"/>
      <c r="CO16" s="399">
        <v>-222.05232000000009</v>
      </c>
      <c r="CP16" s="399">
        <v>0</v>
      </c>
      <c r="CQ16" s="399">
        <v>30</v>
      </c>
      <c r="CR16" s="399">
        <v>-222.33868260987583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</v>
      </c>
      <c r="DA16" s="399">
        <v>0</v>
      </c>
      <c r="DB16" s="399">
        <v>0</v>
      </c>
      <c r="DC16" s="399">
        <v>0</v>
      </c>
      <c r="DD16" s="399">
        <v>0</v>
      </c>
      <c r="DE16" s="399">
        <v>0</v>
      </c>
      <c r="DF16" s="399">
        <v>0</v>
      </c>
      <c r="DG16" s="399">
        <v>0</v>
      </c>
      <c r="DH16" s="399">
        <v>0</v>
      </c>
      <c r="DI16" s="399">
        <v>-190.02982055116127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-29.261388553103302</v>
      </c>
      <c r="DP16" s="399">
        <v>-3.0474735056093678</v>
      </c>
      <c r="DQ16" s="399">
        <v>0</v>
      </c>
      <c r="DR16" s="399">
        <v>0</v>
      </c>
      <c r="DS16" s="399"/>
      <c r="DT16" s="399"/>
      <c r="DU16" s="399"/>
      <c r="DV16" s="399">
        <v>0</v>
      </c>
      <c r="DW16" s="399">
        <v>0</v>
      </c>
      <c r="DX16" s="399">
        <v>0</v>
      </c>
      <c r="DY16" s="399">
        <v>-222.05232000000069</v>
      </c>
      <c r="DZ16" s="399">
        <v>0</v>
      </c>
      <c r="EA16" s="399">
        <v>0</v>
      </c>
      <c r="EB16" s="399">
        <v>0</v>
      </c>
      <c r="EC16" s="399">
        <v>0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221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2325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1239</v>
      </c>
      <c r="J17" s="399" t="s">
        <v>2326</v>
      </c>
      <c r="K17" s="786">
        <v>44440</v>
      </c>
      <c r="L17" s="399">
        <v>329</v>
      </c>
      <c r="M17" s="399">
        <v>329</v>
      </c>
      <c r="N17" s="399">
        <v>0</v>
      </c>
      <c r="O17" s="399">
        <v>0</v>
      </c>
      <c r="P17" s="399">
        <v>0</v>
      </c>
      <c r="Q17" s="399">
        <v>0</v>
      </c>
      <c r="R17" s="399">
        <v>55.59</v>
      </c>
      <c r="S17" s="399"/>
      <c r="T17" s="399"/>
      <c r="U17" s="399">
        <v>18289.11</v>
      </c>
      <c r="V17" s="399"/>
      <c r="W17" s="399">
        <v>18289.11</v>
      </c>
      <c r="X17" s="399">
        <v>9708.7900000000009</v>
      </c>
      <c r="Y17" s="399">
        <v>0</v>
      </c>
      <c r="Z17" s="399">
        <v>0</v>
      </c>
      <c r="AA17" s="399">
        <v>0</v>
      </c>
      <c r="AB17" s="399">
        <v>0</v>
      </c>
      <c r="AC17" s="399">
        <v>0</v>
      </c>
      <c r="AD17" s="399">
        <v>5314.8867023382381</v>
      </c>
      <c r="AE17" s="399">
        <v>12972.707911929458</v>
      </c>
      <c r="AF17" s="399"/>
      <c r="AG17" s="399"/>
      <c r="AH17" s="399"/>
      <c r="AI17" s="399">
        <v>0</v>
      </c>
      <c r="AJ17" s="399">
        <v>0</v>
      </c>
      <c r="AK17" s="399">
        <v>0</v>
      </c>
      <c r="AL17" s="399">
        <v>0</v>
      </c>
      <c r="AM17" s="399"/>
      <c r="AN17" s="399">
        <v>0</v>
      </c>
      <c r="AO17" s="399">
        <v>0</v>
      </c>
      <c r="AP17" s="399">
        <v>0</v>
      </c>
      <c r="AQ17" s="399">
        <v>0</v>
      </c>
      <c r="AR17" s="399">
        <v>0</v>
      </c>
      <c r="AS17" s="399"/>
      <c r="AT17" s="399"/>
      <c r="AU17" s="399">
        <v>0</v>
      </c>
      <c r="AV17" s="399">
        <v>0</v>
      </c>
      <c r="AW17" s="399">
        <v>0</v>
      </c>
      <c r="AX17" s="399"/>
      <c r="AY17" s="399"/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/>
      <c r="BG17" s="399">
        <v>0</v>
      </c>
      <c r="BH17" s="399">
        <v>0</v>
      </c>
      <c r="BI17" s="399">
        <v>30.48</v>
      </c>
      <c r="BJ17" s="399">
        <v>152.58000000000001</v>
      </c>
      <c r="BK17" s="399">
        <v>12280.74</v>
      </c>
      <c r="BL17" s="399">
        <v>5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0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9708.7900000000009</v>
      </c>
      <c r="CJ17" s="399">
        <v>-8580.3499999999949</v>
      </c>
      <c r="CK17" s="399"/>
      <c r="CL17" s="399"/>
      <c r="CM17" s="399"/>
      <c r="CN17" s="399"/>
      <c r="CO17" s="399">
        <v>-8580.32</v>
      </c>
      <c r="CP17" s="399">
        <v>0</v>
      </c>
      <c r="CQ17" s="399">
        <v>30</v>
      </c>
      <c r="CR17" s="399">
        <v>-489.27047861078972</v>
      </c>
      <c r="CS17" s="399">
        <v>0</v>
      </c>
      <c r="CT17" s="399">
        <v>0</v>
      </c>
      <c r="CU17" s="399">
        <v>0</v>
      </c>
      <c r="CV17" s="399">
        <v>0</v>
      </c>
      <c r="CW17" s="399"/>
      <c r="CX17" s="399"/>
      <c r="CY17" s="399"/>
      <c r="CZ17" s="399">
        <v>-489.27047861078972</v>
      </c>
      <c r="DA17" s="399">
        <v>0</v>
      </c>
      <c r="DB17" s="399">
        <v>0</v>
      </c>
      <c r="DC17" s="399"/>
      <c r="DD17" s="399"/>
      <c r="DE17" s="399">
        <v>0</v>
      </c>
      <c r="DF17" s="399">
        <v>0</v>
      </c>
      <c r="DG17" s="399">
        <v>0</v>
      </c>
      <c r="DH17" s="399">
        <v>0</v>
      </c>
      <c r="DI17" s="399">
        <v>0</v>
      </c>
      <c r="DJ17" s="399"/>
      <c r="DK17" s="399">
        <v>0</v>
      </c>
      <c r="DL17" s="399">
        <v>0</v>
      </c>
      <c r="DM17" s="399"/>
      <c r="DN17" s="399">
        <v>0</v>
      </c>
      <c r="DO17" s="399">
        <v>0</v>
      </c>
      <c r="DP17" s="399">
        <v>0</v>
      </c>
      <c r="DQ17" s="399">
        <v>0</v>
      </c>
      <c r="DR17" s="399">
        <v>0</v>
      </c>
      <c r="DS17" s="399"/>
      <c r="DT17" s="399"/>
      <c r="DU17" s="399">
        <v>12972.707911929458</v>
      </c>
      <c r="DV17" s="399"/>
      <c r="DW17" s="399">
        <v>0</v>
      </c>
      <c r="DX17" s="399">
        <v>0</v>
      </c>
      <c r="DY17" s="399">
        <v>-8580.32</v>
      </c>
      <c r="DZ17" s="399"/>
      <c r="EA17" s="399">
        <v>0</v>
      </c>
      <c r="EB17" s="399"/>
      <c r="EC17" s="399">
        <v>-8088.1839305020294</v>
      </c>
      <c r="ED17" s="399"/>
      <c r="EE17" s="399">
        <v>0</v>
      </c>
      <c r="EF17" s="399">
        <v>0</v>
      </c>
      <c r="EG17" s="399"/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/>
      <c r="EN17" s="399"/>
      <c r="EO17" s="399">
        <v>0</v>
      </c>
      <c r="EP17" s="399">
        <v>0</v>
      </c>
      <c r="EQ17" s="399"/>
      <c r="ER17" s="399">
        <v>0</v>
      </c>
      <c r="ES17" s="399"/>
      <c r="ET17" s="399">
        <v>0</v>
      </c>
      <c r="EU17" s="399"/>
      <c r="EV17" s="399">
        <v>221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2328</v>
      </c>
      <c r="D18" s="399" t="s">
        <v>1824</v>
      </c>
      <c r="E18" s="399" t="s">
        <v>918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2326</v>
      </c>
      <c r="K18" s="786">
        <v>44440</v>
      </c>
      <c r="L18" s="399">
        <v>0</v>
      </c>
      <c r="M18" s="399">
        <v>0</v>
      </c>
      <c r="N18" s="399">
        <v>141.58799999999999</v>
      </c>
      <c r="O18" s="399">
        <v>141.58799999999999</v>
      </c>
      <c r="P18" s="399">
        <v>141.58799999999999</v>
      </c>
      <c r="Q18" s="399">
        <v>141.58799999999999</v>
      </c>
      <c r="R18" s="399"/>
      <c r="S18" s="399">
        <v>825.6</v>
      </c>
      <c r="T18" s="399">
        <v>185.74</v>
      </c>
      <c r="U18" s="399"/>
      <c r="V18" s="399">
        <v>143193.60792000001</v>
      </c>
      <c r="W18" s="399">
        <v>143193.60792000001</v>
      </c>
      <c r="X18" s="399">
        <v>89016.375599999999</v>
      </c>
      <c r="Y18" s="399">
        <v>0</v>
      </c>
      <c r="Z18" s="399">
        <v>8827.3273760833454</v>
      </c>
      <c r="AA18" s="399">
        <v>0</v>
      </c>
      <c r="AB18" s="399">
        <v>0</v>
      </c>
      <c r="AC18" s="399">
        <v>0</v>
      </c>
      <c r="AD18" s="399">
        <v>18453.405624689807</v>
      </c>
      <c r="AE18" s="399">
        <v>83150.353982162531</v>
      </c>
      <c r="AF18" s="399">
        <v>26299.162240631667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1364.2278787203991</v>
      </c>
      <c r="AM18" s="399"/>
      <c r="AN18" s="399">
        <v>335.686366106452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4764.5068603044829</v>
      </c>
      <c r="BH18" s="399">
        <v>0</v>
      </c>
      <c r="BI18" s="399">
        <v>79.8</v>
      </c>
      <c r="BJ18" s="399">
        <v>409.09</v>
      </c>
      <c r="BK18" s="399">
        <v>33086.589999999997</v>
      </c>
      <c r="BL18" s="399">
        <v>365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31063.669100936149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89017.633000000002</v>
      </c>
      <c r="CJ18" s="399">
        <v>-54176.004920000007</v>
      </c>
      <c r="CK18" s="399"/>
      <c r="CL18" s="399"/>
      <c r="CM18" s="399"/>
      <c r="CN18" s="399"/>
      <c r="CO18" s="399">
        <v>-54177.232320000003</v>
      </c>
      <c r="CP18" s="399">
        <v>0</v>
      </c>
      <c r="CQ18" s="399">
        <v>30</v>
      </c>
      <c r="CR18" s="399">
        <v>-2335.2900635625047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-1698.7580559372072</v>
      </c>
      <c r="DA18" s="399">
        <v>0</v>
      </c>
      <c r="DB18" s="399">
        <v>0</v>
      </c>
      <c r="DC18" s="399">
        <v>0</v>
      </c>
      <c r="DD18" s="399">
        <v>0</v>
      </c>
      <c r="DE18" s="399">
        <v>0</v>
      </c>
      <c r="DF18" s="399">
        <v>0</v>
      </c>
      <c r="DG18" s="399">
        <v>0</v>
      </c>
      <c r="DH18" s="399">
        <v>0</v>
      </c>
      <c r="DI18" s="399">
        <v>-545.95859163642308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-73.13952410508773</v>
      </c>
      <c r="DP18" s="399">
        <v>-17.433891883789954</v>
      </c>
      <c r="DQ18" s="399">
        <v>0</v>
      </c>
      <c r="DR18" s="399">
        <v>0</v>
      </c>
      <c r="DS18" s="399"/>
      <c r="DT18" s="399"/>
      <c r="DU18" s="399"/>
      <c r="DV18" s="399">
        <v>83150.353982162531</v>
      </c>
      <c r="DW18" s="399">
        <v>0</v>
      </c>
      <c r="DX18" s="399">
        <v>0</v>
      </c>
      <c r="DY18" s="399">
        <v>-54177.23232000001</v>
      </c>
      <c r="DZ18" s="399">
        <v>0</v>
      </c>
      <c r="EA18" s="399">
        <v>0</v>
      </c>
      <c r="EB18" s="399">
        <v>0</v>
      </c>
      <c r="EC18" s="399">
        <v>-51842.326325379814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221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2330</v>
      </c>
      <c r="C19" s="399" t="s">
        <v>2328</v>
      </c>
      <c r="D19" s="399" t="s">
        <v>1824</v>
      </c>
      <c r="E19" s="399" t="s">
        <v>918</v>
      </c>
      <c r="F19" s="399" t="s">
        <v>1239</v>
      </c>
      <c r="G19" s="399" t="s">
        <v>1239</v>
      </c>
      <c r="H19" s="399" t="s">
        <v>1239</v>
      </c>
      <c r="I19" s="399" t="s">
        <v>1239</v>
      </c>
      <c r="J19" s="399" t="s">
        <v>2326</v>
      </c>
      <c r="K19" s="786">
        <v>44440</v>
      </c>
      <c r="L19" s="399">
        <v>0</v>
      </c>
      <c r="M19" s="399">
        <v>0</v>
      </c>
      <c r="N19" s="399">
        <v>6.593</v>
      </c>
      <c r="O19" s="399">
        <v>6.593</v>
      </c>
      <c r="P19" s="399">
        <v>6.593</v>
      </c>
      <c r="Q19" s="399">
        <v>6.593</v>
      </c>
      <c r="R19" s="399"/>
      <c r="S19" s="399">
        <v>825.6</v>
      </c>
      <c r="T19" s="399">
        <v>185.74</v>
      </c>
      <c r="U19" s="399"/>
      <c r="V19" s="399">
        <v>6667.7646199999999</v>
      </c>
      <c r="W19" s="399">
        <v>6667.7646199999999</v>
      </c>
      <c r="X19" s="399">
        <v>4145.0190999999995</v>
      </c>
      <c r="Y19" s="399">
        <v>0</v>
      </c>
      <c r="Z19" s="399">
        <v>411.04168001891054</v>
      </c>
      <c r="AA19" s="399">
        <v>0</v>
      </c>
      <c r="AB19" s="399">
        <v>0</v>
      </c>
      <c r="AC19" s="399">
        <v>0</v>
      </c>
      <c r="AD19" s="399">
        <v>859.27693931392434</v>
      </c>
      <c r="AE19" s="399">
        <v>3871.8696768398277</v>
      </c>
      <c r="AF19" s="399">
        <v>1224.612090378313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63.524835469132917</v>
      </c>
      <c r="AM19" s="399"/>
      <c r="AN19" s="399">
        <v>15.63112842712545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221.85774027451097</v>
      </c>
      <c r="BH19" s="399">
        <v>0</v>
      </c>
      <c r="BI19" s="399">
        <v>3.73</v>
      </c>
      <c r="BJ19" s="399">
        <v>19.010000000000002</v>
      </c>
      <c r="BK19" s="399">
        <v>3098.65</v>
      </c>
      <c r="BL19" s="399">
        <v>10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1446.4698306528239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4143.1329999999998</v>
      </c>
      <c r="CJ19" s="399">
        <v>-2524.6616200000008</v>
      </c>
      <c r="CK19" s="399"/>
      <c r="CL19" s="399"/>
      <c r="CM19" s="399"/>
      <c r="CN19" s="399"/>
      <c r="CO19" s="399">
        <v>-2522.7455200000004</v>
      </c>
      <c r="CP19" s="399">
        <v>0</v>
      </c>
      <c r="CQ19" s="399">
        <v>30</v>
      </c>
      <c r="CR19" s="399">
        <v>-108.74203597103997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-79.102126329872704</v>
      </c>
      <c r="DA19" s="399">
        <v>0</v>
      </c>
      <c r="DB19" s="399">
        <v>0</v>
      </c>
      <c r="DC19" s="399">
        <v>0</v>
      </c>
      <c r="DD19" s="399">
        <v>0</v>
      </c>
      <c r="DE19" s="399">
        <v>0</v>
      </c>
      <c r="DF19" s="399">
        <v>0</v>
      </c>
      <c r="DG19" s="399">
        <v>0</v>
      </c>
      <c r="DH19" s="399">
        <v>0</v>
      </c>
      <c r="DI19" s="399">
        <v>-25.422387452742782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-3.4057185808461412</v>
      </c>
      <c r="DP19" s="399">
        <v>-0.81180360757851844</v>
      </c>
      <c r="DQ19" s="399">
        <v>0</v>
      </c>
      <c r="DR19" s="399">
        <v>0</v>
      </c>
      <c r="DS19" s="399"/>
      <c r="DT19" s="399"/>
      <c r="DU19" s="399"/>
      <c r="DV19" s="399">
        <v>3871.8696768398277</v>
      </c>
      <c r="DW19" s="399">
        <v>0</v>
      </c>
      <c r="DX19" s="399">
        <v>0</v>
      </c>
      <c r="DY19" s="399">
        <v>-2522.7455200000004</v>
      </c>
      <c r="DZ19" s="399">
        <v>0</v>
      </c>
      <c r="EA19" s="399">
        <v>0</v>
      </c>
      <c r="EB19" s="399">
        <v>0</v>
      </c>
      <c r="EC19" s="399">
        <v>-2414.021368076596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221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2577</v>
      </c>
      <c r="D20" s="399" t="s">
        <v>533</v>
      </c>
      <c r="E20" s="399" t="s">
        <v>918</v>
      </c>
      <c r="F20" s="399" t="s">
        <v>1239</v>
      </c>
      <c r="G20" s="399" t="s">
        <v>1239</v>
      </c>
      <c r="H20" s="399" t="s">
        <v>1239</v>
      </c>
      <c r="I20" s="399" t="s">
        <v>893</v>
      </c>
      <c r="J20" s="399" t="s">
        <v>2326</v>
      </c>
      <c r="K20" s="786">
        <v>44440</v>
      </c>
      <c r="L20" s="399">
        <v>550</v>
      </c>
      <c r="M20" s="399">
        <v>550</v>
      </c>
      <c r="N20" s="399">
        <v>29.044</v>
      </c>
      <c r="O20" s="399">
        <v>29.044</v>
      </c>
      <c r="P20" s="399">
        <v>29.044</v>
      </c>
      <c r="Q20" s="399">
        <v>29.044</v>
      </c>
      <c r="R20" s="399">
        <v>181.08</v>
      </c>
      <c r="S20" s="399">
        <v>77.900000000000006</v>
      </c>
      <c r="T20" s="399">
        <v>185.74</v>
      </c>
      <c r="U20" s="399">
        <v>99594</v>
      </c>
      <c r="V20" s="399">
        <v>7657.1601600000004</v>
      </c>
      <c r="W20" s="399">
        <v>107251.16016</v>
      </c>
      <c r="X20" s="399">
        <v>56724.307679999998</v>
      </c>
      <c r="Y20" s="399">
        <v>0</v>
      </c>
      <c r="Z20" s="399">
        <v>1575.355113360871</v>
      </c>
      <c r="AA20" s="399">
        <v>0</v>
      </c>
      <c r="AB20" s="399">
        <v>0</v>
      </c>
      <c r="AC20" s="399">
        <v>0</v>
      </c>
      <c r="AD20" s="399">
        <v>21982.629867597301</v>
      </c>
      <c r="AE20" s="399">
        <v>77610.169912486206</v>
      </c>
      <c r="AF20" s="399">
        <v>5394.7570988848356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279.84458082291769</v>
      </c>
      <c r="AM20" s="399"/>
      <c r="AN20" s="399">
        <v>30.086140066014888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377.34469577372158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5772.1017946585571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56723.268800000005</v>
      </c>
      <c r="CJ20" s="399">
        <v>-50527.921359999978</v>
      </c>
      <c r="CK20" s="399"/>
      <c r="CL20" s="399"/>
      <c r="CM20" s="399"/>
      <c r="CN20" s="399"/>
      <c r="CO20" s="399">
        <v>-50526.852480000009</v>
      </c>
      <c r="CP20" s="399">
        <v>0</v>
      </c>
      <c r="CQ20" s="399">
        <v>30</v>
      </c>
      <c r="CR20" s="399">
        <v>-2137.6457992834257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-2023.6464931060946</v>
      </c>
      <c r="DA20" s="399">
        <v>0</v>
      </c>
      <c r="DB20" s="399">
        <v>0</v>
      </c>
      <c r="DC20" s="399">
        <v>0</v>
      </c>
      <c r="DD20" s="399">
        <v>0</v>
      </c>
      <c r="DE20" s="399">
        <v>0</v>
      </c>
      <c r="DF20" s="399">
        <v>0</v>
      </c>
      <c r="DG20" s="399">
        <v>0</v>
      </c>
      <c r="DH20" s="399">
        <v>0</v>
      </c>
      <c r="DI20" s="399">
        <v>-97.43364241231393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-15.003138246942967</v>
      </c>
      <c r="DP20" s="399">
        <v>-1.5625255180757414</v>
      </c>
      <c r="DQ20" s="399">
        <v>0</v>
      </c>
      <c r="DR20" s="399">
        <v>0</v>
      </c>
      <c r="DS20" s="399"/>
      <c r="DT20" s="399"/>
      <c r="DU20" s="399">
        <v>77610.169912486206</v>
      </c>
      <c r="DV20" s="399">
        <v>0</v>
      </c>
      <c r="DW20" s="399">
        <v>0</v>
      </c>
      <c r="DX20" s="399">
        <v>0</v>
      </c>
      <c r="DY20" s="399">
        <v>-50526.852480000001</v>
      </c>
      <c r="DZ20" s="399">
        <v>0</v>
      </c>
      <c r="EA20" s="399">
        <v>0</v>
      </c>
      <c r="EB20" s="399">
        <v>0</v>
      </c>
      <c r="EC20" s="399">
        <v>-48388.149443529837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221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2577</v>
      </c>
      <c r="D21" s="399" t="s">
        <v>533</v>
      </c>
      <c r="E21" s="399" t="s">
        <v>918</v>
      </c>
      <c r="F21" s="399" t="s">
        <v>1239</v>
      </c>
      <c r="G21" s="399" t="s">
        <v>1239</v>
      </c>
      <c r="H21" s="399" t="s">
        <v>1239</v>
      </c>
      <c r="I21" s="399" t="s">
        <v>2323</v>
      </c>
      <c r="J21" s="399" t="s">
        <v>2326</v>
      </c>
      <c r="K21" s="786">
        <v>44440</v>
      </c>
      <c r="L21" s="399">
        <v>555</v>
      </c>
      <c r="M21" s="399">
        <v>555</v>
      </c>
      <c r="N21" s="399">
        <v>288.81400000000002</v>
      </c>
      <c r="O21" s="399">
        <v>288.81400000000002</v>
      </c>
      <c r="P21" s="399">
        <v>288.81400000000002</v>
      </c>
      <c r="Q21" s="399">
        <v>288.81400000000002</v>
      </c>
      <c r="R21" s="399">
        <v>55.59</v>
      </c>
      <c r="S21" s="399">
        <v>77.900000000000006</v>
      </c>
      <c r="T21" s="399">
        <v>185.74</v>
      </c>
      <c r="U21" s="399">
        <v>30852.45</v>
      </c>
      <c r="V21" s="399">
        <v>76142.922960000011</v>
      </c>
      <c r="W21" s="399">
        <v>106995.37296000001</v>
      </c>
      <c r="X21" s="399">
        <v>91388.822080000013</v>
      </c>
      <c r="Y21" s="399">
        <v>0</v>
      </c>
      <c r="Z21" s="399">
        <v>15665.356414757149</v>
      </c>
      <c r="AA21" s="399">
        <v>0</v>
      </c>
      <c r="AB21" s="399">
        <v>0</v>
      </c>
      <c r="AC21" s="399">
        <v>0</v>
      </c>
      <c r="AD21" s="399">
        <v>8965.8423094155678</v>
      </c>
      <c r="AE21" s="399">
        <v>21884.051340792852</v>
      </c>
      <c r="AF21" s="399">
        <v>53645.550776660413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2782.7789824332103</v>
      </c>
      <c r="AM21" s="399"/>
      <c r="AN21" s="399">
        <v>299.1770574654326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3752.3216831425298</v>
      </c>
      <c r="BH21" s="399">
        <v>0</v>
      </c>
      <c r="BI21" s="399">
        <v>0</v>
      </c>
      <c r="BJ21" s="399">
        <v>0</v>
      </c>
      <c r="BK21" s="399">
        <v>0</v>
      </c>
      <c r="BL21" s="399">
        <v>0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57397.872459802944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91387.783200000005</v>
      </c>
      <c r="CJ21" s="399">
        <v>-15607.619760000001</v>
      </c>
      <c r="CK21" s="399"/>
      <c r="CL21" s="399"/>
      <c r="CM21" s="399"/>
      <c r="CN21" s="399"/>
      <c r="CO21" s="399">
        <v>-15606.550880000003</v>
      </c>
      <c r="CP21" s="399">
        <v>0</v>
      </c>
      <c r="CQ21" s="399">
        <v>30</v>
      </c>
      <c r="CR21" s="399">
        <v>-1958.9760149502981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-825.36509309722805</v>
      </c>
      <c r="DA21" s="399">
        <v>0</v>
      </c>
      <c r="DB21" s="399">
        <v>0</v>
      </c>
      <c r="DC21" s="399">
        <v>0</v>
      </c>
      <c r="DD21" s="399">
        <v>0</v>
      </c>
      <c r="DE21" s="399">
        <v>0</v>
      </c>
      <c r="DF21" s="399">
        <v>0</v>
      </c>
      <c r="DG21" s="399">
        <v>0</v>
      </c>
      <c r="DH21" s="399">
        <v>0</v>
      </c>
      <c r="DI21" s="399">
        <v>-968.88169672462573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-149.19144641415096</v>
      </c>
      <c r="DP21" s="399">
        <v>-15.537778714279284</v>
      </c>
      <c r="DQ21" s="399">
        <v>0</v>
      </c>
      <c r="DR21" s="399">
        <v>0</v>
      </c>
      <c r="DS21" s="399"/>
      <c r="DT21" s="399"/>
      <c r="DU21" s="399">
        <v>21884.051340792852</v>
      </c>
      <c r="DV21" s="399">
        <v>0</v>
      </c>
      <c r="DW21" s="399">
        <v>0</v>
      </c>
      <c r="DX21" s="399">
        <v>0</v>
      </c>
      <c r="DY21" s="399">
        <v>-15606.550880000003</v>
      </c>
      <c r="DZ21" s="399">
        <v>0</v>
      </c>
      <c r="EA21" s="399">
        <v>0</v>
      </c>
      <c r="EB21" s="399">
        <v>0</v>
      </c>
      <c r="EC21" s="399">
        <v>-13644.200855406156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221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2577</v>
      </c>
      <c r="D22" s="399" t="s">
        <v>533</v>
      </c>
      <c r="E22" s="399" t="s">
        <v>918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2326</v>
      </c>
      <c r="K22" s="786">
        <v>44440</v>
      </c>
      <c r="L22" s="399">
        <v>0</v>
      </c>
      <c r="M22" s="399">
        <v>0</v>
      </c>
      <c r="N22" s="399">
        <v>0</v>
      </c>
      <c r="O22" s="399">
        <v>0</v>
      </c>
      <c r="P22" s="399">
        <v>0</v>
      </c>
      <c r="Q22" s="399">
        <v>0</v>
      </c>
      <c r="R22" s="399"/>
      <c r="S22" s="399"/>
      <c r="T22" s="399"/>
      <c r="U22" s="399"/>
      <c r="V22" s="399"/>
      <c r="W22" s="399"/>
      <c r="X22" s="399"/>
      <c r="Y22" s="399"/>
      <c r="Z22" s="399"/>
      <c r="AA22" s="399">
        <v>0</v>
      </c>
      <c r="AB22" s="399"/>
      <c r="AC22" s="399"/>
      <c r="AD22" s="399"/>
      <c r="AE22" s="399"/>
      <c r="AF22" s="399"/>
      <c r="AG22" s="399"/>
      <c r="AH22" s="399"/>
      <c r="AI22" s="399"/>
      <c r="AJ22" s="399"/>
      <c r="AK22" s="399"/>
      <c r="AL22" s="399"/>
      <c r="AM22" s="399"/>
      <c r="AN22" s="399"/>
      <c r="AO22" s="399"/>
      <c r="AP22" s="399"/>
      <c r="AQ22" s="399"/>
      <c r="AR22" s="399"/>
      <c r="AS22" s="399"/>
      <c r="AT22" s="399"/>
      <c r="AU22" s="399"/>
      <c r="AV22" s="399"/>
      <c r="AW22" s="399"/>
      <c r="AX22" s="399"/>
      <c r="AY22" s="399"/>
      <c r="AZ22" s="399">
        <v>0</v>
      </c>
      <c r="BA22" s="399"/>
      <c r="BB22" s="399"/>
      <c r="BC22" s="399"/>
      <c r="BD22" s="399"/>
      <c r="BE22" s="399"/>
      <c r="BF22" s="399"/>
      <c r="BG22" s="399"/>
      <c r="BH22" s="399"/>
      <c r="BI22" s="399">
        <v>141.82</v>
      </c>
      <c r="BJ22" s="399">
        <v>709.13</v>
      </c>
      <c r="BK22" s="399">
        <v>59094.02</v>
      </c>
      <c r="BL22" s="399">
        <v>1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/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/>
      <c r="CJ22" s="399">
        <v>-0.03</v>
      </c>
      <c r="CK22" s="399"/>
      <c r="CL22" s="399"/>
      <c r="CM22" s="399"/>
      <c r="CN22" s="399"/>
      <c r="CO22" s="399">
        <v>0</v>
      </c>
      <c r="CP22" s="399">
        <v>0</v>
      </c>
      <c r="CQ22" s="399">
        <v>30</v>
      </c>
      <c r="CR22" s="399"/>
      <c r="CS22" s="399"/>
      <c r="CT22" s="399"/>
      <c r="CU22" s="399"/>
      <c r="CV22" s="399"/>
      <c r="CW22" s="399"/>
      <c r="CX22" s="399"/>
      <c r="CY22" s="399"/>
      <c r="CZ22" s="399"/>
      <c r="DA22" s="399"/>
      <c r="DB22" s="399"/>
      <c r="DC22" s="399"/>
      <c r="DD22" s="399"/>
      <c r="DE22" s="399"/>
      <c r="DF22" s="399"/>
      <c r="DG22" s="399"/>
      <c r="DH22" s="399"/>
      <c r="DI22" s="399"/>
      <c r="DJ22" s="399"/>
      <c r="DK22" s="399">
        <v>0</v>
      </c>
      <c r="DL22" s="399"/>
      <c r="DM22" s="399"/>
      <c r="DN22" s="399"/>
      <c r="DO22" s="399"/>
      <c r="DP22" s="399"/>
      <c r="DQ22" s="399"/>
      <c r="DR22" s="399"/>
      <c r="DS22" s="399"/>
      <c r="DT22" s="399"/>
      <c r="DU22" s="399"/>
      <c r="DV22" s="399"/>
      <c r="DW22" s="399"/>
      <c r="DX22" s="399"/>
      <c r="DY22" s="399"/>
      <c r="DZ22" s="399"/>
      <c r="EA22" s="399"/>
      <c r="EB22" s="399"/>
      <c r="EC22" s="399"/>
      <c r="ED22" s="399"/>
      <c r="EE22" s="399"/>
      <c r="EF22" s="399"/>
      <c r="EG22" s="399"/>
      <c r="EH22" s="399"/>
      <c r="EI22" s="399"/>
      <c r="EJ22" s="399"/>
      <c r="EK22" s="399"/>
      <c r="EL22" s="399"/>
      <c r="EM22" s="399"/>
      <c r="EN22" s="399"/>
      <c r="EO22" s="399"/>
      <c r="EP22" s="399"/>
      <c r="EQ22" s="399"/>
      <c r="ER22" s="399"/>
      <c r="ES22" s="399"/>
      <c r="ET22" s="399"/>
      <c r="EU22" s="399"/>
      <c r="EV22" s="399">
        <v>221</v>
      </c>
      <c r="EW22" s="399"/>
      <c r="EX22" s="399"/>
      <c r="EY22" s="399"/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2325</v>
      </c>
      <c r="D23" s="399" t="s">
        <v>533</v>
      </c>
      <c r="E23" s="399" t="s">
        <v>918</v>
      </c>
      <c r="F23" s="399" t="s">
        <v>1239</v>
      </c>
      <c r="G23" s="399" t="s">
        <v>1239</v>
      </c>
      <c r="H23" s="399" t="s">
        <v>1239</v>
      </c>
      <c r="I23" s="399" t="s">
        <v>893</v>
      </c>
      <c r="J23" s="399" t="s">
        <v>2326</v>
      </c>
      <c r="K23" s="786">
        <v>44440</v>
      </c>
      <c r="L23" s="399">
        <v>0</v>
      </c>
      <c r="M23" s="399">
        <v>0</v>
      </c>
      <c r="N23" s="399">
        <v>13.968</v>
      </c>
      <c r="O23" s="399">
        <v>13.968</v>
      </c>
      <c r="P23" s="399">
        <v>13.968</v>
      </c>
      <c r="Q23" s="399">
        <v>13.968</v>
      </c>
      <c r="R23" s="399"/>
      <c r="S23" s="399">
        <v>4433.21</v>
      </c>
      <c r="T23" s="399">
        <v>185.74</v>
      </c>
      <c r="U23" s="399"/>
      <c r="V23" s="399">
        <v>64517.493600000002</v>
      </c>
      <c r="W23" s="399">
        <v>64517.493600000002</v>
      </c>
      <c r="X23" s="399">
        <v>33671.540160000004</v>
      </c>
      <c r="Y23" s="399">
        <v>0</v>
      </c>
      <c r="Z23" s="399">
        <v>757.62843352928826</v>
      </c>
      <c r="AA23" s="399">
        <v>0</v>
      </c>
      <c r="AB23" s="399">
        <v>0</v>
      </c>
      <c r="AC23" s="399">
        <v>0</v>
      </c>
      <c r="AD23" s="399">
        <v>13431.949713792446</v>
      </c>
      <c r="AE23" s="399">
        <v>47402.971916321374</v>
      </c>
      <c r="AF23" s="399">
        <v>2594.4762139245072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134.58439281553899</v>
      </c>
      <c r="AM23" s="399"/>
      <c r="AN23" s="399">
        <v>14.469191724352568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181.47468360306235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2775.9508975275694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33676.361400000002</v>
      </c>
      <c r="CJ23" s="399">
        <v>-30841.162200000006</v>
      </c>
      <c r="CK23" s="399"/>
      <c r="CL23" s="399"/>
      <c r="CM23" s="399"/>
      <c r="CN23" s="399"/>
      <c r="CO23" s="399">
        <v>-30845.953439999997</v>
      </c>
      <c r="CP23" s="399">
        <v>0</v>
      </c>
      <c r="CQ23" s="399">
        <v>30</v>
      </c>
      <c r="CR23" s="399">
        <v>-1291.3249951575017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-1236.4998227058823</v>
      </c>
      <c r="DA23" s="399">
        <v>0</v>
      </c>
      <c r="DB23" s="399">
        <v>0</v>
      </c>
      <c r="DC23" s="399">
        <v>0</v>
      </c>
      <c r="DD23" s="399">
        <v>0</v>
      </c>
      <c r="DE23" s="399">
        <v>0</v>
      </c>
      <c r="DF23" s="399">
        <v>0</v>
      </c>
      <c r="DG23" s="399">
        <v>0</v>
      </c>
      <c r="DH23" s="399">
        <v>0</v>
      </c>
      <c r="DI23" s="399">
        <v>-46.858322449221987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-7.2153916483025711</v>
      </c>
      <c r="DP23" s="399">
        <v>-0.75145835410005368</v>
      </c>
      <c r="DQ23" s="399">
        <v>0</v>
      </c>
      <c r="DR23" s="399">
        <v>0</v>
      </c>
      <c r="DS23" s="399"/>
      <c r="DT23" s="399"/>
      <c r="DU23" s="399"/>
      <c r="DV23" s="399">
        <v>47402.971916321374</v>
      </c>
      <c r="DW23" s="399">
        <v>0</v>
      </c>
      <c r="DX23" s="399">
        <v>0</v>
      </c>
      <c r="DY23" s="399">
        <v>-30845.953439999997</v>
      </c>
      <c r="DZ23" s="399">
        <v>0</v>
      </c>
      <c r="EA23" s="399">
        <v>0</v>
      </c>
      <c r="EB23" s="399">
        <v>0</v>
      </c>
      <c r="EC23" s="399">
        <v>-29554.658773983374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221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2325</v>
      </c>
      <c r="D24" s="399" t="s">
        <v>533</v>
      </c>
      <c r="E24" s="399" t="s">
        <v>918</v>
      </c>
      <c r="F24" s="399" t="s">
        <v>1239</v>
      </c>
      <c r="G24" s="399" t="s">
        <v>1239</v>
      </c>
      <c r="H24" s="399" t="s">
        <v>1239</v>
      </c>
      <c r="I24" s="399" t="s">
        <v>2323</v>
      </c>
      <c r="J24" s="399" t="s">
        <v>2326</v>
      </c>
      <c r="K24" s="786">
        <v>44440</v>
      </c>
      <c r="L24" s="399">
        <v>0</v>
      </c>
      <c r="M24" s="399">
        <v>0</v>
      </c>
      <c r="N24" s="399">
        <v>347.08499999999998</v>
      </c>
      <c r="O24" s="399">
        <v>347.08499999999998</v>
      </c>
      <c r="P24" s="399">
        <v>347.08499999999998</v>
      </c>
      <c r="Q24" s="399">
        <v>347.08499999999998</v>
      </c>
      <c r="R24" s="399"/>
      <c r="S24" s="399">
        <v>77.900000000000006</v>
      </c>
      <c r="T24" s="399">
        <v>185.74</v>
      </c>
      <c r="U24" s="399"/>
      <c r="V24" s="399">
        <v>91505.489400000006</v>
      </c>
      <c r="W24" s="399">
        <v>91505.489400000006</v>
      </c>
      <c r="X24" s="399">
        <v>90144.916200000007</v>
      </c>
      <c r="Y24" s="399">
        <v>0</v>
      </c>
      <c r="Z24" s="399">
        <v>18825.992615371779</v>
      </c>
      <c r="AA24" s="399">
        <v>0</v>
      </c>
      <c r="AB24" s="399">
        <v>0</v>
      </c>
      <c r="AC24" s="399">
        <v>0</v>
      </c>
      <c r="AD24" s="399">
        <v>0</v>
      </c>
      <c r="AE24" s="399">
        <v>0</v>
      </c>
      <c r="AF24" s="399">
        <v>64469.056179122817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3344.231384620658</v>
      </c>
      <c r="AM24" s="399"/>
      <c r="AN24" s="399">
        <v>359.53890389797471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4509.3886424949096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68978.444821617726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90146.214800000002</v>
      </c>
      <c r="CJ24" s="399">
        <v>-1359.3045999999886</v>
      </c>
      <c r="CK24" s="399"/>
      <c r="CL24" s="399"/>
      <c r="CM24" s="399"/>
      <c r="CN24" s="399"/>
      <c r="CO24" s="399">
        <v>-1360.5732000000005</v>
      </c>
      <c r="CP24" s="399">
        <v>0</v>
      </c>
      <c r="CQ24" s="399">
        <v>30</v>
      </c>
      <c r="CR24" s="399">
        <v>-1362.327819327882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0</v>
      </c>
      <c r="DA24" s="399">
        <v>0</v>
      </c>
      <c r="DB24" s="399">
        <v>0</v>
      </c>
      <c r="DC24" s="399">
        <v>0</v>
      </c>
      <c r="DD24" s="399">
        <v>0</v>
      </c>
      <c r="DE24" s="399">
        <v>0</v>
      </c>
      <c r="DF24" s="399">
        <v>0</v>
      </c>
      <c r="DG24" s="399">
        <v>0</v>
      </c>
      <c r="DH24" s="399">
        <v>0</v>
      </c>
      <c r="DI24" s="399">
        <v>-1164.3628899834075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-179.29225445669408</v>
      </c>
      <c r="DP24" s="399">
        <v>-18.672674887801918</v>
      </c>
      <c r="DQ24" s="399">
        <v>0</v>
      </c>
      <c r="DR24" s="399">
        <v>0</v>
      </c>
      <c r="DS24" s="399"/>
      <c r="DT24" s="399"/>
      <c r="DU24" s="399"/>
      <c r="DV24" s="399">
        <v>0</v>
      </c>
      <c r="DW24" s="399">
        <v>0</v>
      </c>
      <c r="DX24" s="399">
        <v>0</v>
      </c>
      <c r="DY24" s="399">
        <v>-1360.5731999999989</v>
      </c>
      <c r="DZ24" s="399">
        <v>0</v>
      </c>
      <c r="EA24" s="399">
        <v>0</v>
      </c>
      <c r="EB24" s="399">
        <v>0</v>
      </c>
      <c r="EC24" s="399">
        <v>0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221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2325</v>
      </c>
      <c r="D25" s="399" t="s">
        <v>533</v>
      </c>
      <c r="E25" s="399" t="s">
        <v>918</v>
      </c>
      <c r="F25" s="399" t="s">
        <v>1239</v>
      </c>
      <c r="G25" s="399" t="s">
        <v>1239</v>
      </c>
      <c r="H25" s="399" t="s">
        <v>1239</v>
      </c>
      <c r="I25" s="399" t="s">
        <v>1239</v>
      </c>
      <c r="J25" s="399" t="s">
        <v>2326</v>
      </c>
      <c r="K25" s="786">
        <v>44440</v>
      </c>
      <c r="L25" s="399">
        <v>1108</v>
      </c>
      <c r="M25" s="399">
        <v>1108</v>
      </c>
      <c r="N25" s="399">
        <v>0</v>
      </c>
      <c r="O25" s="399">
        <v>0</v>
      </c>
      <c r="P25" s="399">
        <v>0</v>
      </c>
      <c r="Q25" s="399">
        <v>0</v>
      </c>
      <c r="R25" s="399">
        <v>55.59</v>
      </c>
      <c r="S25" s="399"/>
      <c r="T25" s="399"/>
      <c r="U25" s="399">
        <v>61593.72</v>
      </c>
      <c r="V25" s="399"/>
      <c r="W25" s="399">
        <v>61593.72</v>
      </c>
      <c r="X25" s="399">
        <v>32697.08</v>
      </c>
      <c r="Y25" s="399">
        <v>0</v>
      </c>
      <c r="Z25" s="399">
        <v>0</v>
      </c>
      <c r="AA25" s="399">
        <v>0</v>
      </c>
      <c r="AB25" s="399">
        <v>0</v>
      </c>
      <c r="AC25" s="399">
        <v>0</v>
      </c>
      <c r="AD25" s="399">
        <v>17899.375277175586</v>
      </c>
      <c r="AE25" s="399">
        <v>43689.241235312576</v>
      </c>
      <c r="AF25" s="399"/>
      <c r="AG25" s="399"/>
      <c r="AH25" s="399"/>
      <c r="AI25" s="399">
        <v>0</v>
      </c>
      <c r="AJ25" s="399">
        <v>0</v>
      </c>
      <c r="AK25" s="399">
        <v>0</v>
      </c>
      <c r="AL25" s="399">
        <v>0</v>
      </c>
      <c r="AM25" s="399"/>
      <c r="AN25" s="399">
        <v>0</v>
      </c>
      <c r="AO25" s="399">
        <v>0</v>
      </c>
      <c r="AP25" s="399">
        <v>0</v>
      </c>
      <c r="AQ25" s="399">
        <v>0</v>
      </c>
      <c r="AR25" s="399">
        <v>0</v>
      </c>
      <c r="AS25" s="399"/>
      <c r="AT25" s="399"/>
      <c r="AU25" s="399">
        <v>0</v>
      </c>
      <c r="AV25" s="399">
        <v>0</v>
      </c>
      <c r="AW25" s="399">
        <v>0</v>
      </c>
      <c r="AX25" s="399"/>
      <c r="AY25" s="399"/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/>
      <c r="BG25" s="399">
        <v>0</v>
      </c>
      <c r="BH25" s="399">
        <v>0</v>
      </c>
      <c r="BI25" s="399">
        <v>147.11000000000001</v>
      </c>
      <c r="BJ25" s="399">
        <v>735.62</v>
      </c>
      <c r="BK25" s="399">
        <v>59414.71</v>
      </c>
      <c r="BL25" s="399">
        <v>5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0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32697.08</v>
      </c>
      <c r="CJ25" s="399">
        <v>-28896.670000000006</v>
      </c>
      <c r="CK25" s="399"/>
      <c r="CL25" s="399"/>
      <c r="CM25" s="399"/>
      <c r="CN25" s="399"/>
      <c r="CO25" s="399">
        <v>-28896.640000000003</v>
      </c>
      <c r="CP25" s="399">
        <v>0</v>
      </c>
      <c r="CQ25" s="399">
        <v>30</v>
      </c>
      <c r="CR25" s="399">
        <v>-1647.7558975706852</v>
      </c>
      <c r="CS25" s="399">
        <v>0</v>
      </c>
      <c r="CT25" s="399">
        <v>0</v>
      </c>
      <c r="CU25" s="399">
        <v>0</v>
      </c>
      <c r="CV25" s="399">
        <v>0</v>
      </c>
      <c r="CW25" s="399"/>
      <c r="CX25" s="399"/>
      <c r="CY25" s="399"/>
      <c r="CZ25" s="399">
        <v>-1647.7558975706852</v>
      </c>
      <c r="DA25" s="399">
        <v>0</v>
      </c>
      <c r="DB25" s="399">
        <v>0</v>
      </c>
      <c r="DC25" s="399"/>
      <c r="DD25" s="399"/>
      <c r="DE25" s="399">
        <v>0</v>
      </c>
      <c r="DF25" s="399">
        <v>0</v>
      </c>
      <c r="DG25" s="399">
        <v>0</v>
      </c>
      <c r="DH25" s="399">
        <v>0</v>
      </c>
      <c r="DI25" s="399">
        <v>0</v>
      </c>
      <c r="DJ25" s="399"/>
      <c r="DK25" s="399">
        <v>0</v>
      </c>
      <c r="DL25" s="399">
        <v>0</v>
      </c>
      <c r="DM25" s="399"/>
      <c r="DN25" s="399">
        <v>0</v>
      </c>
      <c r="DO25" s="399">
        <v>0</v>
      </c>
      <c r="DP25" s="399">
        <v>0</v>
      </c>
      <c r="DQ25" s="399">
        <v>0</v>
      </c>
      <c r="DR25" s="399">
        <v>0</v>
      </c>
      <c r="DS25" s="399"/>
      <c r="DT25" s="399"/>
      <c r="DU25" s="399">
        <v>43689.241235312576</v>
      </c>
      <c r="DV25" s="399"/>
      <c r="DW25" s="399">
        <v>0</v>
      </c>
      <c r="DX25" s="399">
        <v>0</v>
      </c>
      <c r="DY25" s="399">
        <v>-28896.639999999999</v>
      </c>
      <c r="DZ25" s="399"/>
      <c r="EA25" s="399">
        <v>0</v>
      </c>
      <c r="EB25" s="399"/>
      <c r="EC25" s="399">
        <v>-27239.23341944148</v>
      </c>
      <c r="ED25" s="399"/>
      <c r="EE25" s="399">
        <v>0</v>
      </c>
      <c r="EF25" s="399">
        <v>0</v>
      </c>
      <c r="EG25" s="399"/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/>
      <c r="EN25" s="399"/>
      <c r="EO25" s="399">
        <v>0</v>
      </c>
      <c r="EP25" s="399">
        <v>0</v>
      </c>
      <c r="EQ25" s="399"/>
      <c r="ER25" s="399">
        <v>0</v>
      </c>
      <c r="ES25" s="399"/>
      <c r="ET25" s="399">
        <v>0</v>
      </c>
      <c r="EU25" s="399"/>
      <c r="EV25" s="399">
        <v>221</v>
      </c>
      <c r="EW25" s="399"/>
      <c r="EX25" s="399"/>
      <c r="EY25" s="399"/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2335</v>
      </c>
      <c r="D26" s="399" t="s">
        <v>1824</v>
      </c>
      <c r="E26" s="399" t="s">
        <v>918</v>
      </c>
      <c r="F26" s="399" t="s">
        <v>1239</v>
      </c>
      <c r="G26" s="399" t="s">
        <v>1239</v>
      </c>
      <c r="H26" s="399" t="s">
        <v>1239</v>
      </c>
      <c r="I26" s="399" t="s">
        <v>893</v>
      </c>
      <c r="J26" s="399" t="s">
        <v>2326</v>
      </c>
      <c r="K26" s="786">
        <v>44440</v>
      </c>
      <c r="L26" s="399">
        <v>0</v>
      </c>
      <c r="M26" s="399">
        <v>0</v>
      </c>
      <c r="N26" s="399">
        <v>0.109</v>
      </c>
      <c r="O26" s="399">
        <v>0.109</v>
      </c>
      <c r="P26" s="399">
        <v>0.109</v>
      </c>
      <c r="Q26" s="399">
        <v>0.109</v>
      </c>
      <c r="R26" s="399"/>
      <c r="S26" s="399">
        <v>2583.84</v>
      </c>
      <c r="T26" s="399">
        <v>185.74</v>
      </c>
      <c r="U26" s="399"/>
      <c r="V26" s="399">
        <v>301.88422000000003</v>
      </c>
      <c r="W26" s="399">
        <v>301.88422000000003</v>
      </c>
      <c r="X26" s="399">
        <v>159.19123000000002</v>
      </c>
      <c r="Y26" s="399">
        <v>0</v>
      </c>
      <c r="Z26" s="399">
        <v>6.7956231036040116</v>
      </c>
      <c r="AA26" s="399">
        <v>0</v>
      </c>
      <c r="AB26" s="399">
        <v>0</v>
      </c>
      <c r="AC26" s="399">
        <v>0</v>
      </c>
      <c r="AD26" s="399">
        <v>49.023520992135829</v>
      </c>
      <c r="AE26" s="399">
        <v>220.84271107189392</v>
      </c>
      <c r="AF26" s="399">
        <v>20.246127385292905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1.0502361695943407</v>
      </c>
      <c r="AM26" s="399"/>
      <c r="AN26" s="399">
        <v>0.2584245409611215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3.6679043970759433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23.914031782368848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160.65170000000001</v>
      </c>
      <c r="CJ26" s="399">
        <v>-141.26251999999999</v>
      </c>
      <c r="CK26" s="399"/>
      <c r="CL26" s="399"/>
      <c r="CM26" s="399"/>
      <c r="CN26" s="399"/>
      <c r="CO26" s="399">
        <v>-142.69299000000001</v>
      </c>
      <c r="CP26" s="399">
        <v>0</v>
      </c>
      <c r="CQ26" s="399">
        <v>30</v>
      </c>
      <c r="CR26" s="399">
        <v>-5.0029667195815364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-4.5129393950119621</v>
      </c>
      <c r="DA26" s="399">
        <v>0</v>
      </c>
      <c r="DB26" s="399">
        <v>0</v>
      </c>
      <c r="DC26" s="399">
        <v>0</v>
      </c>
      <c r="DD26" s="399">
        <v>0</v>
      </c>
      <c r="DE26" s="399">
        <v>0</v>
      </c>
      <c r="DF26" s="399">
        <v>0</v>
      </c>
      <c r="DG26" s="399">
        <v>0</v>
      </c>
      <c r="DH26" s="399">
        <v>0</v>
      </c>
      <c r="DI26" s="399">
        <v>-0.42030035376140784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-5.6305676522407033E-2</v>
      </c>
      <c r="DP26" s="399">
        <v>-1.3421294285766494E-2</v>
      </c>
      <c r="DQ26" s="399">
        <v>0</v>
      </c>
      <c r="DR26" s="399">
        <v>0</v>
      </c>
      <c r="DS26" s="399"/>
      <c r="DT26" s="399"/>
      <c r="DU26" s="399"/>
      <c r="DV26" s="399">
        <v>220.84271107189392</v>
      </c>
      <c r="DW26" s="399">
        <v>0</v>
      </c>
      <c r="DX26" s="399">
        <v>0</v>
      </c>
      <c r="DY26" s="399">
        <v>-142.69299000000004</v>
      </c>
      <c r="DZ26" s="399">
        <v>0</v>
      </c>
      <c r="EA26" s="399">
        <v>0</v>
      </c>
      <c r="EB26" s="399">
        <v>0</v>
      </c>
      <c r="EC26" s="399">
        <v>-137.69033258026479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221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2335</v>
      </c>
      <c r="D27" s="399" t="s">
        <v>1824</v>
      </c>
      <c r="E27" s="399" t="s">
        <v>918</v>
      </c>
      <c r="F27" s="399" t="s">
        <v>1239</v>
      </c>
      <c r="G27" s="399" t="s">
        <v>1239</v>
      </c>
      <c r="H27" s="399" t="s">
        <v>1239</v>
      </c>
      <c r="I27" s="399" t="s">
        <v>2323</v>
      </c>
      <c r="J27" s="399" t="s">
        <v>2326</v>
      </c>
      <c r="K27" s="786">
        <v>44440</v>
      </c>
      <c r="L27" s="399">
        <v>0</v>
      </c>
      <c r="M27" s="399">
        <v>0</v>
      </c>
      <c r="N27" s="399">
        <v>1.038</v>
      </c>
      <c r="O27" s="399">
        <v>1.038</v>
      </c>
      <c r="P27" s="399">
        <v>1.038</v>
      </c>
      <c r="Q27" s="399">
        <v>1.038</v>
      </c>
      <c r="R27" s="399"/>
      <c r="S27" s="399">
        <v>603.13</v>
      </c>
      <c r="T27" s="399">
        <v>185.74</v>
      </c>
      <c r="U27" s="399"/>
      <c r="V27" s="399">
        <v>818.84706000000006</v>
      </c>
      <c r="W27" s="399">
        <v>818.84706000000006</v>
      </c>
      <c r="X27" s="399">
        <v>543.35148000000004</v>
      </c>
      <c r="Y27" s="399">
        <v>0</v>
      </c>
      <c r="Z27" s="399">
        <v>64.714282399458384</v>
      </c>
      <c r="AA27" s="399">
        <v>0</v>
      </c>
      <c r="AB27" s="399">
        <v>0</v>
      </c>
      <c r="AC27" s="399">
        <v>0</v>
      </c>
      <c r="AD27" s="399">
        <v>93.32948796758096</v>
      </c>
      <c r="AE27" s="399">
        <v>420.61461111393078</v>
      </c>
      <c r="AF27" s="399">
        <v>192.80257088012877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10.001331596687391</v>
      </c>
      <c r="AM27" s="399"/>
      <c r="AN27" s="399">
        <v>2.4609603075013222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34.929218019860819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227.7317888999896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544.39840000000004</v>
      </c>
      <c r="CJ27" s="399">
        <v>-274.47865999999999</v>
      </c>
      <c r="CK27" s="399"/>
      <c r="CL27" s="399"/>
      <c r="CM27" s="399"/>
      <c r="CN27" s="399"/>
      <c r="CO27" s="399">
        <v>-275.49557999999996</v>
      </c>
      <c r="CP27" s="399">
        <v>0</v>
      </c>
      <c r="CQ27" s="399">
        <v>30</v>
      </c>
      <c r="CR27" s="399">
        <v>-13.258095478678854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-8.5915967364474284</v>
      </c>
      <c r="DA27" s="399">
        <v>0</v>
      </c>
      <c r="DB27" s="399">
        <v>0</v>
      </c>
      <c r="DC27" s="399">
        <v>0</v>
      </c>
      <c r="DD27" s="399">
        <v>0</v>
      </c>
      <c r="DE27" s="399">
        <v>0</v>
      </c>
      <c r="DF27" s="399">
        <v>0</v>
      </c>
      <c r="DG27" s="399">
        <v>0</v>
      </c>
      <c r="DH27" s="399">
        <v>0</v>
      </c>
      <c r="DI27" s="399">
        <v>-4.002493277104044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-0.53619534156200466</v>
      </c>
      <c r="DP27" s="399">
        <v>-0.1278101235653728</v>
      </c>
      <c r="DQ27" s="399">
        <v>0</v>
      </c>
      <c r="DR27" s="399">
        <v>0</v>
      </c>
      <c r="DS27" s="399"/>
      <c r="DT27" s="399"/>
      <c r="DU27" s="399"/>
      <c r="DV27" s="399">
        <v>420.61461111393078</v>
      </c>
      <c r="DW27" s="399">
        <v>0</v>
      </c>
      <c r="DX27" s="399">
        <v>0</v>
      </c>
      <c r="DY27" s="399">
        <v>-275.49557999999996</v>
      </c>
      <c r="DZ27" s="399">
        <v>0</v>
      </c>
      <c r="EA27" s="399">
        <v>0</v>
      </c>
      <c r="EB27" s="399">
        <v>0</v>
      </c>
      <c r="EC27" s="399">
        <v>-262.24350086674144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221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2335</v>
      </c>
      <c r="D28" s="399" t="s">
        <v>1824</v>
      </c>
      <c r="E28" s="399" t="s">
        <v>918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2326</v>
      </c>
      <c r="K28" s="786">
        <v>44440</v>
      </c>
      <c r="L28" s="399">
        <v>0</v>
      </c>
      <c r="M28" s="399">
        <v>0</v>
      </c>
      <c r="N28" s="399">
        <v>0</v>
      </c>
      <c r="O28" s="399">
        <v>0</v>
      </c>
      <c r="P28" s="399">
        <v>0</v>
      </c>
      <c r="Q28" s="399">
        <v>0</v>
      </c>
      <c r="R28" s="399"/>
      <c r="S28" s="399"/>
      <c r="T28" s="399"/>
      <c r="U28" s="399"/>
      <c r="V28" s="399"/>
      <c r="W28" s="399"/>
      <c r="X28" s="399"/>
      <c r="Y28" s="399"/>
      <c r="Z28" s="399"/>
      <c r="AA28" s="399">
        <v>0</v>
      </c>
      <c r="AB28" s="399"/>
      <c r="AC28" s="399"/>
      <c r="AD28" s="399"/>
      <c r="AE28" s="399"/>
      <c r="AF28" s="399"/>
      <c r="AG28" s="399"/>
      <c r="AH28" s="399"/>
      <c r="AI28" s="399"/>
      <c r="AJ28" s="399"/>
      <c r="AK28" s="399"/>
      <c r="AL28" s="399"/>
      <c r="AM28" s="399"/>
      <c r="AN28" s="399"/>
      <c r="AO28" s="399"/>
      <c r="AP28" s="399"/>
      <c r="AQ28" s="399"/>
      <c r="AR28" s="399"/>
      <c r="AS28" s="399"/>
      <c r="AT28" s="399"/>
      <c r="AU28" s="399"/>
      <c r="AV28" s="399"/>
      <c r="AW28" s="399"/>
      <c r="AX28" s="399"/>
      <c r="AY28" s="399"/>
      <c r="AZ28" s="399">
        <v>0</v>
      </c>
      <c r="BA28" s="399"/>
      <c r="BB28" s="399"/>
      <c r="BC28" s="399"/>
      <c r="BD28" s="399"/>
      <c r="BE28" s="399"/>
      <c r="BF28" s="399"/>
      <c r="BG28" s="399"/>
      <c r="BH28" s="399"/>
      <c r="BI28" s="399">
        <v>0.72</v>
      </c>
      <c r="BJ28" s="399">
        <v>3.62</v>
      </c>
      <c r="BK28" s="399">
        <v>301.67</v>
      </c>
      <c r="BL28" s="399">
        <v>1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/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/>
      <c r="CJ28" s="399">
        <v>-0.03</v>
      </c>
      <c r="CK28" s="399"/>
      <c r="CL28" s="399"/>
      <c r="CM28" s="399"/>
      <c r="CN28" s="399"/>
      <c r="CO28" s="399">
        <v>0</v>
      </c>
      <c r="CP28" s="399">
        <v>0</v>
      </c>
      <c r="CQ28" s="399">
        <v>30</v>
      </c>
      <c r="CR28" s="399"/>
      <c r="CS28" s="399"/>
      <c r="CT28" s="399"/>
      <c r="CU28" s="399"/>
      <c r="CV28" s="399"/>
      <c r="CW28" s="399"/>
      <c r="CX28" s="399"/>
      <c r="CY28" s="399"/>
      <c r="CZ28" s="399"/>
      <c r="DA28" s="399"/>
      <c r="DB28" s="399"/>
      <c r="DC28" s="399"/>
      <c r="DD28" s="399"/>
      <c r="DE28" s="399"/>
      <c r="DF28" s="399"/>
      <c r="DG28" s="399"/>
      <c r="DH28" s="399"/>
      <c r="DI28" s="399"/>
      <c r="DJ28" s="399"/>
      <c r="DK28" s="399">
        <v>0</v>
      </c>
      <c r="DL28" s="399"/>
      <c r="DM28" s="399"/>
      <c r="DN28" s="399"/>
      <c r="DO28" s="399"/>
      <c r="DP28" s="399"/>
      <c r="DQ28" s="399"/>
      <c r="DR28" s="399"/>
      <c r="DS28" s="399"/>
      <c r="DT28" s="399"/>
      <c r="DU28" s="399"/>
      <c r="DV28" s="399"/>
      <c r="DW28" s="399"/>
      <c r="DX28" s="399"/>
      <c r="DY28" s="399"/>
      <c r="DZ28" s="399"/>
      <c r="EA28" s="399"/>
      <c r="EB28" s="399"/>
      <c r="EC28" s="399"/>
      <c r="ED28" s="399"/>
      <c r="EE28" s="399"/>
      <c r="EF28" s="399"/>
      <c r="EG28" s="399"/>
      <c r="EH28" s="399"/>
      <c r="EI28" s="399"/>
      <c r="EJ28" s="399"/>
      <c r="EK28" s="399"/>
      <c r="EL28" s="399"/>
      <c r="EM28" s="399"/>
      <c r="EN28" s="399"/>
      <c r="EO28" s="399"/>
      <c r="EP28" s="399"/>
      <c r="EQ28" s="399"/>
      <c r="ER28" s="399"/>
      <c r="ES28" s="399"/>
      <c r="ET28" s="399"/>
      <c r="EU28" s="399"/>
      <c r="EV28" s="399">
        <v>221</v>
      </c>
      <c r="EW28" s="399"/>
      <c r="EX28" s="399"/>
      <c r="EY28" s="399"/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2335</v>
      </c>
      <c r="D29" s="399" t="s">
        <v>1824</v>
      </c>
      <c r="E29" s="399" t="s">
        <v>918</v>
      </c>
      <c r="F29" s="399" t="s">
        <v>1239</v>
      </c>
      <c r="G29" s="399" t="s">
        <v>1239</v>
      </c>
      <c r="H29" s="399" t="s">
        <v>1239</v>
      </c>
      <c r="I29" s="399" t="s">
        <v>2336</v>
      </c>
      <c r="J29" s="399" t="s">
        <v>2326</v>
      </c>
      <c r="K29" s="786">
        <v>44440</v>
      </c>
      <c r="L29" s="399">
        <v>0</v>
      </c>
      <c r="M29" s="399">
        <v>0</v>
      </c>
      <c r="N29" s="399">
        <v>6.9000000000000006E-2</v>
      </c>
      <c r="O29" s="399">
        <v>6.9000000000000006E-2</v>
      </c>
      <c r="P29" s="399">
        <v>6.9000000000000006E-2</v>
      </c>
      <c r="Q29" s="399">
        <v>6.9000000000000006E-2</v>
      </c>
      <c r="R29" s="399"/>
      <c r="S29" s="399">
        <v>1593.45</v>
      </c>
      <c r="T29" s="399">
        <v>185.74</v>
      </c>
      <c r="U29" s="399"/>
      <c r="V29" s="399">
        <v>122.76411000000002</v>
      </c>
      <c r="W29" s="399">
        <v>122.76411000000002</v>
      </c>
      <c r="X29" s="399">
        <v>68.443170000000009</v>
      </c>
      <c r="Y29" s="399">
        <v>0</v>
      </c>
      <c r="Z29" s="399">
        <v>4.3018164600796043</v>
      </c>
      <c r="AA29" s="399">
        <v>0</v>
      </c>
      <c r="AB29" s="399">
        <v>0</v>
      </c>
      <c r="AC29" s="399">
        <v>0</v>
      </c>
      <c r="AD29" s="399">
        <v>18.616390425351781</v>
      </c>
      <c r="AE29" s="399">
        <v>83.879699299978</v>
      </c>
      <c r="AF29" s="399">
        <v>12.816355867754226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0.66482840093586704</v>
      </c>
      <c r="AM29" s="399"/>
      <c r="AN29" s="399">
        <v>0.16358984703043472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2.3218844348462397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15.138240302600465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69.435100000000006</v>
      </c>
      <c r="CJ29" s="399">
        <v>-53.359010000000026</v>
      </c>
      <c r="CK29" s="399"/>
      <c r="CL29" s="399"/>
      <c r="CM29" s="399"/>
      <c r="CN29" s="399"/>
      <c r="CO29" s="399">
        <v>-54.320940000000007</v>
      </c>
      <c r="CP29" s="399">
        <v>0</v>
      </c>
      <c r="CQ29" s="399">
        <v>30</v>
      </c>
      <c r="CR29" s="399">
        <v>-2.0239626684160825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-1.7137618849729535</v>
      </c>
      <c r="DA29" s="399">
        <v>0</v>
      </c>
      <c r="DB29" s="399">
        <v>0</v>
      </c>
      <c r="DC29" s="399">
        <v>0</v>
      </c>
      <c r="DD29" s="399">
        <v>0</v>
      </c>
      <c r="DE29" s="399">
        <v>0</v>
      </c>
      <c r="DF29" s="399">
        <v>0</v>
      </c>
      <c r="DG29" s="399">
        <v>0</v>
      </c>
      <c r="DH29" s="399">
        <v>0</v>
      </c>
      <c r="DI29" s="399">
        <v>-0.26606169183061645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-3.5643042936202574E-2</v>
      </c>
      <c r="DP29" s="399">
        <v>-8.4960486763109022E-3</v>
      </c>
      <c r="DQ29" s="399">
        <v>0</v>
      </c>
      <c r="DR29" s="399">
        <v>0</v>
      </c>
      <c r="DS29" s="399"/>
      <c r="DT29" s="399"/>
      <c r="DU29" s="399"/>
      <c r="DV29" s="399">
        <v>83.879699299978</v>
      </c>
      <c r="DW29" s="399">
        <v>0</v>
      </c>
      <c r="DX29" s="399">
        <v>0</v>
      </c>
      <c r="DY29" s="399">
        <v>-54.32094</v>
      </c>
      <c r="DZ29" s="399">
        <v>0</v>
      </c>
      <c r="EA29" s="399">
        <v>0</v>
      </c>
      <c r="EB29" s="399">
        <v>0</v>
      </c>
      <c r="EC29" s="399">
        <v>-52.297056295358999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221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2328</v>
      </c>
      <c r="D30" s="399" t="s">
        <v>2337</v>
      </c>
      <c r="E30" s="399" t="s">
        <v>894</v>
      </c>
      <c r="F30" s="399" t="s">
        <v>1239</v>
      </c>
      <c r="G30" s="399" t="s">
        <v>1239</v>
      </c>
      <c r="H30" s="399" t="s">
        <v>1239</v>
      </c>
      <c r="I30" s="399" t="s">
        <v>1239</v>
      </c>
      <c r="J30" s="399" t="s">
        <v>2326</v>
      </c>
      <c r="K30" s="786">
        <v>44440</v>
      </c>
      <c r="L30" s="399">
        <v>0</v>
      </c>
      <c r="M30" s="399">
        <v>0</v>
      </c>
      <c r="N30" s="399">
        <v>1415.9390000000001</v>
      </c>
      <c r="O30" s="399">
        <v>1415.9390000000001</v>
      </c>
      <c r="P30" s="399">
        <v>1415.9390000000001</v>
      </c>
      <c r="Q30" s="399">
        <v>1415.9390000000001</v>
      </c>
      <c r="R30" s="399"/>
      <c r="S30" s="399">
        <v>825.6</v>
      </c>
      <c r="T30" s="399">
        <v>185.74</v>
      </c>
      <c r="U30" s="399"/>
      <c r="V30" s="399">
        <v>1431995.7482600003</v>
      </c>
      <c r="W30" s="399">
        <v>1431995.7482600003</v>
      </c>
      <c r="X30" s="399">
        <v>890200.84930000012</v>
      </c>
      <c r="Y30" s="399">
        <v>0</v>
      </c>
      <c r="Z30" s="399">
        <v>88276.95212563267</v>
      </c>
      <c r="AA30" s="399">
        <v>0</v>
      </c>
      <c r="AB30" s="399">
        <v>0</v>
      </c>
      <c r="AC30" s="399">
        <v>0</v>
      </c>
      <c r="AD30" s="399">
        <v>184541.74581756693</v>
      </c>
      <c r="AE30" s="399">
        <v>831538.18873880012</v>
      </c>
      <c r="AF30" s="399">
        <v>263002.58131930506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13642.847263662763</v>
      </c>
      <c r="AM30" s="399"/>
      <c r="AN30" s="399">
        <v>3357.0035422380683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47647.053982489124</v>
      </c>
      <c r="BH30" s="399">
        <v>0</v>
      </c>
      <c r="BI30" s="399">
        <v>605.14</v>
      </c>
      <c r="BJ30" s="399">
        <v>3156.47</v>
      </c>
      <c r="BK30" s="399">
        <v>175278.44</v>
      </c>
      <c r="BL30" s="399">
        <v>5752</v>
      </c>
      <c r="BM30" s="399"/>
      <c r="BN30" s="399"/>
      <c r="BO30" s="399"/>
      <c r="BP30" s="399"/>
      <c r="BQ30" s="399"/>
      <c r="BR30" s="399">
        <v>106818.43816000001</v>
      </c>
      <c r="BS30" s="399"/>
      <c r="BT30" s="399"/>
      <c r="BU30" s="399"/>
      <c r="BV30" s="399">
        <v>310649.63530179416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783382.96439999994</v>
      </c>
      <c r="CJ30" s="399">
        <v>-476774.4568200002</v>
      </c>
      <c r="CK30" s="399"/>
      <c r="CL30" s="399"/>
      <c r="CM30" s="399"/>
      <c r="CN30" s="399"/>
      <c r="CO30" s="399">
        <v>-541794.89896000014</v>
      </c>
      <c r="CP30" s="399">
        <v>0</v>
      </c>
      <c r="CQ30" s="399">
        <v>30</v>
      </c>
      <c r="CR30" s="399">
        <v>-23353.873755619396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-16988.288435218215</v>
      </c>
      <c r="DA30" s="399">
        <v>0</v>
      </c>
      <c r="DB30" s="399">
        <v>0</v>
      </c>
      <c r="DC30" s="399">
        <v>0</v>
      </c>
      <c r="DD30" s="399">
        <v>0</v>
      </c>
      <c r="DE30" s="399">
        <v>0</v>
      </c>
      <c r="DF30" s="399">
        <v>0</v>
      </c>
      <c r="DG30" s="399">
        <v>0</v>
      </c>
      <c r="DH30" s="399">
        <v>0</v>
      </c>
      <c r="DI30" s="399">
        <v>-5459.8134183905931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-731.42571843541737</v>
      </c>
      <c r="DP30" s="399">
        <v>-174.34618357517365</v>
      </c>
      <c r="DQ30" s="399">
        <v>0</v>
      </c>
      <c r="DR30" s="399">
        <v>0</v>
      </c>
      <c r="DS30" s="399"/>
      <c r="DT30" s="399"/>
      <c r="DU30" s="399"/>
      <c r="DV30" s="399">
        <v>831538.18873880012</v>
      </c>
      <c r="DW30" s="399">
        <v>0</v>
      </c>
      <c r="DX30" s="399">
        <v>0</v>
      </c>
      <c r="DY30" s="399">
        <v>-541794.89896000014</v>
      </c>
      <c r="DZ30" s="399">
        <v>0</v>
      </c>
      <c r="EA30" s="399">
        <v>0</v>
      </c>
      <c r="EB30" s="399">
        <v>0</v>
      </c>
      <c r="EC30" s="399">
        <v>-518444.86605384614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221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2329</v>
      </c>
      <c r="C31" s="399" t="s">
        <v>2328</v>
      </c>
      <c r="D31" s="399" t="s">
        <v>2337</v>
      </c>
      <c r="E31" s="399" t="s">
        <v>894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2326</v>
      </c>
      <c r="K31" s="786">
        <v>44440</v>
      </c>
      <c r="L31" s="399">
        <v>0</v>
      </c>
      <c r="M31" s="399">
        <v>0</v>
      </c>
      <c r="N31" s="399">
        <v>0.70099999999999996</v>
      </c>
      <c r="O31" s="399">
        <v>0.70099999999999996</v>
      </c>
      <c r="P31" s="399">
        <v>0.70099999999999996</v>
      </c>
      <c r="Q31" s="399">
        <v>0.70099999999999996</v>
      </c>
      <c r="R31" s="399"/>
      <c r="S31" s="399">
        <v>825.6</v>
      </c>
      <c r="T31" s="399">
        <v>185.74</v>
      </c>
      <c r="U31" s="399"/>
      <c r="V31" s="399">
        <v>708.94934000000001</v>
      </c>
      <c r="W31" s="399">
        <v>708.94934000000001</v>
      </c>
      <c r="X31" s="399">
        <v>440.71870000000001</v>
      </c>
      <c r="Y31" s="399">
        <v>0</v>
      </c>
      <c r="Z31" s="399">
        <v>43.703961427765243</v>
      </c>
      <c r="AA31" s="399">
        <v>0</v>
      </c>
      <c r="AB31" s="399">
        <v>0</v>
      </c>
      <c r="AC31" s="399">
        <v>0</v>
      </c>
      <c r="AD31" s="399">
        <v>91.362526082065969</v>
      </c>
      <c r="AE31" s="399">
        <v>411.67611761940225</v>
      </c>
      <c r="AF31" s="399">
        <v>130.20674584486537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6.7542711457397502</v>
      </c>
      <c r="AM31" s="399"/>
      <c r="AN31" s="399">
        <v>1.661978011135286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23.588999838075562</v>
      </c>
      <c r="BH31" s="399">
        <v>0</v>
      </c>
      <c r="BI31" s="399">
        <v>0.3</v>
      </c>
      <c r="BJ31" s="399">
        <v>1.43</v>
      </c>
      <c r="BK31" s="399">
        <v>72.17</v>
      </c>
      <c r="BL31" s="399">
        <v>0</v>
      </c>
      <c r="BM31" s="399"/>
      <c r="BN31" s="399"/>
      <c r="BO31" s="399"/>
      <c r="BP31" s="399"/>
      <c r="BQ31" s="399"/>
      <c r="BR31" s="399">
        <v>52.883439999999993</v>
      </c>
      <c r="BS31" s="399"/>
      <c r="BT31" s="399"/>
      <c r="BU31" s="399"/>
      <c r="BV31" s="399">
        <v>153.79574568294092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387.28199999999993</v>
      </c>
      <c r="CJ31" s="399">
        <v>-236.62397999999996</v>
      </c>
      <c r="CK31" s="399"/>
      <c r="CL31" s="399"/>
      <c r="CM31" s="399"/>
      <c r="CN31" s="399"/>
      <c r="CO31" s="399">
        <v>-268.23063999999999</v>
      </c>
      <c r="CP31" s="399">
        <v>0</v>
      </c>
      <c r="CQ31" s="399">
        <v>30</v>
      </c>
      <c r="CR31" s="399">
        <v>-11.561985016790345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-8.4105248835493427</v>
      </c>
      <c r="DA31" s="399">
        <v>0</v>
      </c>
      <c r="DB31" s="399">
        <v>0</v>
      </c>
      <c r="DC31" s="399">
        <v>0</v>
      </c>
      <c r="DD31" s="399">
        <v>0</v>
      </c>
      <c r="DE31" s="399">
        <v>0</v>
      </c>
      <c r="DF31" s="399">
        <v>0</v>
      </c>
      <c r="DG31" s="399">
        <v>0</v>
      </c>
      <c r="DH31" s="399">
        <v>0</v>
      </c>
      <c r="DI31" s="399">
        <v>-2.7030325503371273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-0.36211265359823219</v>
      </c>
      <c r="DP31" s="399">
        <v>-8.6314929305709276E-2</v>
      </c>
      <c r="DQ31" s="399">
        <v>0</v>
      </c>
      <c r="DR31" s="399">
        <v>0</v>
      </c>
      <c r="DS31" s="399"/>
      <c r="DT31" s="399"/>
      <c r="DU31" s="399"/>
      <c r="DV31" s="399">
        <v>411.67611761940225</v>
      </c>
      <c r="DW31" s="399">
        <v>0</v>
      </c>
      <c r="DX31" s="399">
        <v>0</v>
      </c>
      <c r="DY31" s="399">
        <v>-268.23063999999999</v>
      </c>
      <c r="DZ31" s="399">
        <v>0</v>
      </c>
      <c r="EA31" s="399">
        <v>0</v>
      </c>
      <c r="EB31" s="399">
        <v>0</v>
      </c>
      <c r="EC31" s="399">
        <v>-256.67055650260784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221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2330</v>
      </c>
      <c r="C32" s="399" t="s">
        <v>2328</v>
      </c>
      <c r="D32" s="399" t="s">
        <v>2337</v>
      </c>
      <c r="E32" s="399" t="s">
        <v>894</v>
      </c>
      <c r="F32" s="399" t="s">
        <v>1239</v>
      </c>
      <c r="G32" s="399" t="s">
        <v>1239</v>
      </c>
      <c r="H32" s="399" t="s">
        <v>1239</v>
      </c>
      <c r="I32" s="399" t="s">
        <v>1239</v>
      </c>
      <c r="J32" s="399" t="s">
        <v>2326</v>
      </c>
      <c r="K32" s="786">
        <v>44440</v>
      </c>
      <c r="L32" s="399">
        <v>0</v>
      </c>
      <c r="M32" s="399">
        <v>0</v>
      </c>
      <c r="N32" s="399">
        <v>16.902999999999999</v>
      </c>
      <c r="O32" s="399">
        <v>16.902999999999999</v>
      </c>
      <c r="P32" s="399">
        <v>16.902999999999999</v>
      </c>
      <c r="Q32" s="399">
        <v>16.902999999999999</v>
      </c>
      <c r="R32" s="399"/>
      <c r="S32" s="399">
        <v>825.6</v>
      </c>
      <c r="T32" s="399">
        <v>185.74</v>
      </c>
      <c r="U32" s="399"/>
      <c r="V32" s="399">
        <v>17094.68002</v>
      </c>
      <c r="W32" s="399">
        <v>17094.68002</v>
      </c>
      <c r="X32" s="399">
        <v>10626.916099999999</v>
      </c>
      <c r="Y32" s="399">
        <v>0</v>
      </c>
      <c r="Z32" s="399">
        <v>1053.8203423873265</v>
      </c>
      <c r="AA32" s="399">
        <v>0</v>
      </c>
      <c r="AB32" s="399">
        <v>0</v>
      </c>
      <c r="AC32" s="399">
        <v>0</v>
      </c>
      <c r="AD32" s="399">
        <v>2202.9968307634249</v>
      </c>
      <c r="AE32" s="399">
        <v>9926.6211356929471</v>
      </c>
      <c r="AF32" s="399">
        <v>3139.6356990239078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162.86368784085448</v>
      </c>
      <c r="AM32" s="399"/>
      <c r="AN32" s="399">
        <v>40.074770787759967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568.79438553921716</v>
      </c>
      <c r="BH32" s="399">
        <v>0</v>
      </c>
      <c r="BI32" s="399">
        <v>6.77</v>
      </c>
      <c r="BJ32" s="399">
        <v>35.74</v>
      </c>
      <c r="BK32" s="399">
        <v>5727.24</v>
      </c>
      <c r="BL32" s="399">
        <v>85</v>
      </c>
      <c r="BM32" s="399"/>
      <c r="BN32" s="399"/>
      <c r="BO32" s="399"/>
      <c r="BP32" s="399"/>
      <c r="BQ32" s="399"/>
      <c r="BR32" s="399">
        <v>1275.1623199999999</v>
      </c>
      <c r="BS32" s="399"/>
      <c r="BT32" s="399"/>
      <c r="BU32" s="399"/>
      <c r="BV32" s="399">
        <v>3708.4300845631251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9350.0939999999991</v>
      </c>
      <c r="CJ32" s="399">
        <v>-5693.2679399999979</v>
      </c>
      <c r="CK32" s="399"/>
      <c r="CL32" s="399"/>
      <c r="CM32" s="399"/>
      <c r="CN32" s="399"/>
      <c r="CO32" s="399">
        <v>-6467.7639200000003</v>
      </c>
      <c r="CP32" s="399">
        <v>0</v>
      </c>
      <c r="CQ32" s="399">
        <v>30</v>
      </c>
      <c r="CR32" s="399">
        <v>-278.79063158175086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-202.8004309652415</v>
      </c>
      <c r="DA32" s="399">
        <v>0</v>
      </c>
      <c r="DB32" s="399">
        <v>0</v>
      </c>
      <c r="DC32" s="399">
        <v>0</v>
      </c>
      <c r="DD32" s="399">
        <v>0</v>
      </c>
      <c r="DE32" s="399">
        <v>0</v>
      </c>
      <c r="DF32" s="399">
        <v>0</v>
      </c>
      <c r="DG32" s="399">
        <v>0</v>
      </c>
      <c r="DH32" s="399">
        <v>0</v>
      </c>
      <c r="DI32" s="399">
        <v>-65.17740256540435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-8.7315123876903158</v>
      </c>
      <c r="DP32" s="399">
        <v>-2.0812856634156987</v>
      </c>
      <c r="DQ32" s="399">
        <v>0</v>
      </c>
      <c r="DR32" s="399">
        <v>0</v>
      </c>
      <c r="DS32" s="399"/>
      <c r="DT32" s="399"/>
      <c r="DU32" s="399"/>
      <c r="DV32" s="399">
        <v>9926.6211356929471</v>
      </c>
      <c r="DW32" s="399">
        <v>0</v>
      </c>
      <c r="DX32" s="399">
        <v>0</v>
      </c>
      <c r="DY32" s="399">
        <v>-6467.7639200000003</v>
      </c>
      <c r="DZ32" s="399">
        <v>0</v>
      </c>
      <c r="EA32" s="399">
        <v>0</v>
      </c>
      <c r="EB32" s="399">
        <v>0</v>
      </c>
      <c r="EC32" s="399">
        <v>-6189.019139177718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221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2330</v>
      </c>
      <c r="C33" s="399" t="s">
        <v>2328</v>
      </c>
      <c r="D33" s="399" t="s">
        <v>2337</v>
      </c>
      <c r="E33" s="399" t="s">
        <v>894</v>
      </c>
      <c r="F33" s="399" t="s">
        <v>1239</v>
      </c>
      <c r="G33" s="399" t="s">
        <v>1239</v>
      </c>
      <c r="H33" s="399" t="s">
        <v>1239</v>
      </c>
      <c r="I33" s="399" t="s">
        <v>1239</v>
      </c>
      <c r="J33" s="399" t="s">
        <v>2326</v>
      </c>
      <c r="K33" s="786">
        <v>44440</v>
      </c>
      <c r="L33" s="399">
        <v>0</v>
      </c>
      <c r="M33" s="399">
        <v>0</v>
      </c>
      <c r="N33" s="399">
        <v>-7.5999999999999998E-2</v>
      </c>
      <c r="O33" s="399">
        <v>-7.5999999999999998E-2</v>
      </c>
      <c r="P33" s="399">
        <v>-7.5999999999999998E-2</v>
      </c>
      <c r="Q33" s="399">
        <v>-7.5999999999999998E-2</v>
      </c>
      <c r="R33" s="399"/>
      <c r="S33" s="399">
        <v>825.6</v>
      </c>
      <c r="T33" s="399">
        <v>185.74</v>
      </c>
      <c r="U33" s="399"/>
      <c r="V33" s="399">
        <v>-76.861840000000001</v>
      </c>
      <c r="W33" s="399">
        <v>-76.861840000000001</v>
      </c>
      <c r="X33" s="399">
        <v>-47.781199999999998</v>
      </c>
      <c r="Y33" s="399">
        <v>0</v>
      </c>
      <c r="Z33" s="399">
        <v>-4.7382326226963745</v>
      </c>
      <c r="AA33" s="399">
        <v>0</v>
      </c>
      <c r="AB33" s="399">
        <v>0</v>
      </c>
      <c r="AC33" s="399">
        <v>0</v>
      </c>
      <c r="AD33" s="399">
        <v>-9.9052096750884644</v>
      </c>
      <c r="AE33" s="399">
        <v>-44.632503479421644</v>
      </c>
      <c r="AF33" s="399">
        <v>-14.116565883323492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-0.73227476045109985</v>
      </c>
      <c r="AM33" s="399"/>
      <c r="AN33" s="399">
        <v>-0.1801859184683049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-2.5574379282364377</v>
      </c>
      <c r="BH33" s="399">
        <v>0</v>
      </c>
      <c r="BI33" s="399">
        <v>-0.04</v>
      </c>
      <c r="BJ33" s="399">
        <v>-0.2</v>
      </c>
      <c r="BK33" s="399">
        <v>-18.84</v>
      </c>
      <c r="BL33" s="399">
        <v>1</v>
      </c>
      <c r="BM33" s="399"/>
      <c r="BN33" s="399"/>
      <c r="BO33" s="399"/>
      <c r="BP33" s="399"/>
      <c r="BQ33" s="399"/>
      <c r="BR33" s="399">
        <v>-5.7334399999999999</v>
      </c>
      <c r="BS33" s="399"/>
      <c r="BT33" s="399"/>
      <c r="BU33" s="399"/>
      <c r="BV33" s="399">
        <v>-16.674003811559931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-44.260799999999996</v>
      </c>
      <c r="CJ33" s="399">
        <v>23.347680000000004</v>
      </c>
      <c r="CK33" s="399"/>
      <c r="CL33" s="399"/>
      <c r="CM33" s="399"/>
      <c r="CN33" s="399"/>
      <c r="CO33" s="399">
        <v>29.080640000000002</v>
      </c>
      <c r="CP33" s="399">
        <v>0</v>
      </c>
      <c r="CQ33" s="399">
        <v>30</v>
      </c>
      <c r="CR33" s="399">
        <v>1.2535105011070904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0.91184007296683234</v>
      </c>
      <c r="DA33" s="399">
        <v>0</v>
      </c>
      <c r="DB33" s="399">
        <v>0</v>
      </c>
      <c r="DC33" s="399">
        <v>0</v>
      </c>
      <c r="DD33" s="399">
        <v>0</v>
      </c>
      <c r="DE33" s="399">
        <v>0</v>
      </c>
      <c r="DF33" s="399">
        <v>0</v>
      </c>
      <c r="DG33" s="399">
        <v>0</v>
      </c>
      <c r="DH33" s="399">
        <v>0</v>
      </c>
      <c r="DI33" s="399">
        <v>0.29305345766850444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3.9259003813788329E-2</v>
      </c>
      <c r="DP33" s="399">
        <v>9.3579666579656218E-3</v>
      </c>
      <c r="DQ33" s="399">
        <v>0</v>
      </c>
      <c r="DR33" s="399">
        <v>0</v>
      </c>
      <c r="DS33" s="399"/>
      <c r="DT33" s="399"/>
      <c r="DU33" s="399"/>
      <c r="DV33" s="399">
        <v>-44.632503479421644</v>
      </c>
      <c r="DW33" s="399">
        <v>0</v>
      </c>
      <c r="DX33" s="399">
        <v>0</v>
      </c>
      <c r="DY33" s="399">
        <v>29.080640000000002</v>
      </c>
      <c r="DZ33" s="399">
        <v>0</v>
      </c>
      <c r="EA33" s="399">
        <v>0</v>
      </c>
      <c r="EB33" s="399">
        <v>0</v>
      </c>
      <c r="EC33" s="399">
        <v>27.827335655061624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221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2328</v>
      </c>
      <c r="D34" s="399" t="s">
        <v>1824</v>
      </c>
      <c r="E34" s="399" t="s">
        <v>2338</v>
      </c>
      <c r="F34" s="399" t="s">
        <v>1239</v>
      </c>
      <c r="G34" s="399" t="s">
        <v>1239</v>
      </c>
      <c r="H34" s="399" t="s">
        <v>1239</v>
      </c>
      <c r="I34" s="399" t="s">
        <v>1239</v>
      </c>
      <c r="J34" s="399" t="s">
        <v>2326</v>
      </c>
      <c r="K34" s="786">
        <v>44440</v>
      </c>
      <c r="L34" s="399">
        <v>0</v>
      </c>
      <c r="M34" s="399">
        <v>0</v>
      </c>
      <c r="N34" s="399">
        <v>21.353999999999999</v>
      </c>
      <c r="O34" s="399">
        <v>21.353999999999999</v>
      </c>
      <c r="P34" s="399">
        <v>21.353999999999999</v>
      </c>
      <c r="Q34" s="399">
        <v>21.353999999999999</v>
      </c>
      <c r="R34" s="399"/>
      <c r="S34" s="399">
        <v>825.6</v>
      </c>
      <c r="T34" s="399">
        <v>185.74</v>
      </c>
      <c r="U34" s="399"/>
      <c r="V34" s="399">
        <v>21596.154359999997</v>
      </c>
      <c r="W34" s="399">
        <v>21596.154359999997</v>
      </c>
      <c r="X34" s="399">
        <v>13425.2598</v>
      </c>
      <c r="Y34" s="399">
        <v>0</v>
      </c>
      <c r="Z34" s="399">
        <v>1331.3186766455051</v>
      </c>
      <c r="AA34" s="399">
        <v>0</v>
      </c>
      <c r="AB34" s="399">
        <v>0</v>
      </c>
      <c r="AC34" s="399">
        <v>0</v>
      </c>
      <c r="AD34" s="399">
        <v>2783.1032552873562</v>
      </c>
      <c r="AE34" s="399">
        <v>12540.558938152235</v>
      </c>
      <c r="AF34" s="399">
        <v>3966.3835246380245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205.74993729832613</v>
      </c>
      <c r="AM34" s="399"/>
      <c r="AN34" s="399">
        <v>50.627501354897142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718.57275683632747</v>
      </c>
      <c r="BH34" s="399">
        <v>0</v>
      </c>
      <c r="BI34" s="399">
        <v>10.76</v>
      </c>
      <c r="BJ34" s="399">
        <v>56.85</v>
      </c>
      <c r="BK34" s="399">
        <v>3325.26</v>
      </c>
      <c r="BL34" s="399">
        <v>90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4684.9562814743522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13422.745000000001</v>
      </c>
      <c r="CJ34" s="399">
        <v>-8173.4393599999912</v>
      </c>
      <c r="CK34" s="399"/>
      <c r="CL34" s="399"/>
      <c r="CM34" s="399"/>
      <c r="CN34" s="399"/>
      <c r="CO34" s="399">
        <v>-8170.8945600000006</v>
      </c>
      <c r="CP34" s="399">
        <v>0</v>
      </c>
      <c r="CQ34" s="399">
        <v>30</v>
      </c>
      <c r="CR34" s="399">
        <v>-352.20346369264189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-256.20306471228605</v>
      </c>
      <c r="DA34" s="399">
        <v>0</v>
      </c>
      <c r="DB34" s="399">
        <v>0</v>
      </c>
      <c r="DC34" s="399">
        <v>0</v>
      </c>
      <c r="DD34" s="399">
        <v>0</v>
      </c>
      <c r="DE34" s="399">
        <v>0</v>
      </c>
      <c r="DF34" s="399">
        <v>0</v>
      </c>
      <c r="DG34" s="399">
        <v>0</v>
      </c>
      <c r="DH34" s="399">
        <v>0</v>
      </c>
      <c r="DI34" s="399">
        <v>-82.340309671753175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-11.030746939995197</v>
      </c>
      <c r="DP34" s="399">
        <v>-2.6293423686078725</v>
      </c>
      <c r="DQ34" s="399">
        <v>0</v>
      </c>
      <c r="DR34" s="399">
        <v>0</v>
      </c>
      <c r="DS34" s="399"/>
      <c r="DT34" s="399"/>
      <c r="DU34" s="399"/>
      <c r="DV34" s="399">
        <v>12540.558938152235</v>
      </c>
      <c r="DW34" s="399">
        <v>0</v>
      </c>
      <c r="DX34" s="399">
        <v>0</v>
      </c>
      <c r="DY34" s="399">
        <v>-8170.8945599999988</v>
      </c>
      <c r="DZ34" s="399">
        <v>0</v>
      </c>
      <c r="EA34" s="399">
        <v>0</v>
      </c>
      <c r="EB34" s="399">
        <v>0</v>
      </c>
      <c r="EC34" s="399">
        <v>-7818.7490207656056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221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2328</v>
      </c>
      <c r="D35" s="399" t="s">
        <v>2339</v>
      </c>
      <c r="E35" s="399" t="s">
        <v>2340</v>
      </c>
      <c r="F35" s="399" t="s">
        <v>2341</v>
      </c>
      <c r="G35" s="399" t="s">
        <v>1239</v>
      </c>
      <c r="H35" s="399" t="s">
        <v>1239</v>
      </c>
      <c r="I35" s="399" t="s">
        <v>1239</v>
      </c>
      <c r="J35" s="399" t="s">
        <v>2326</v>
      </c>
      <c r="K35" s="786">
        <v>44440</v>
      </c>
      <c r="L35" s="399">
        <v>0</v>
      </c>
      <c r="M35" s="399">
        <v>0</v>
      </c>
      <c r="N35" s="399">
        <v>191.27699999999999</v>
      </c>
      <c r="O35" s="399">
        <v>191.27699999999999</v>
      </c>
      <c r="P35" s="399">
        <v>191.27699999999999</v>
      </c>
      <c r="Q35" s="399">
        <v>191.27699999999999</v>
      </c>
      <c r="R35" s="399"/>
      <c r="S35" s="399">
        <v>454.08</v>
      </c>
      <c r="T35" s="399">
        <v>102.16</v>
      </c>
      <c r="U35" s="399"/>
      <c r="V35" s="399">
        <v>106395.91847999999</v>
      </c>
      <c r="W35" s="399">
        <v>106395.91847999999</v>
      </c>
      <c r="X35" s="399">
        <v>66141.673829999985</v>
      </c>
      <c r="Y35" s="399">
        <v>0</v>
      </c>
      <c r="Z35" s="399">
        <v>6558.8579836094978</v>
      </c>
      <c r="AA35" s="399">
        <v>0</v>
      </c>
      <c r="AB35" s="399">
        <v>0</v>
      </c>
      <c r="AC35" s="399">
        <v>0</v>
      </c>
      <c r="AD35" s="399">
        <v>13711.201777132179</v>
      </c>
      <c r="AE35" s="399">
        <v>61782.161216030712</v>
      </c>
      <c r="AF35" s="399">
        <v>19540.735590203411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1013.6450742781938</v>
      </c>
      <c r="AM35" s="399"/>
      <c r="AN35" s="399">
        <v>249.42081657597595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3540.1115793368967</v>
      </c>
      <c r="BH35" s="399">
        <v>0</v>
      </c>
      <c r="BI35" s="399">
        <v>73.39</v>
      </c>
      <c r="BJ35" s="399">
        <v>367.25</v>
      </c>
      <c r="BK35" s="399">
        <v>30603.87</v>
      </c>
      <c r="BL35" s="399">
        <v>9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23080.847169540306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66142.711199999991</v>
      </c>
      <c r="CJ35" s="399">
        <v>-40253.237279999987</v>
      </c>
      <c r="CK35" s="399"/>
      <c r="CL35" s="399"/>
      <c r="CM35" s="399"/>
      <c r="CN35" s="399"/>
      <c r="CO35" s="399">
        <v>-40254.244649999993</v>
      </c>
      <c r="CP35" s="399">
        <v>0</v>
      </c>
      <c r="CQ35" s="399">
        <v>30</v>
      </c>
      <c r="CR35" s="399">
        <v>-1735.1611903440207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-1262.2068223721526</v>
      </c>
      <c r="DA35" s="399">
        <v>0</v>
      </c>
      <c r="DB35" s="399">
        <v>0</v>
      </c>
      <c r="DC35" s="399">
        <v>0</v>
      </c>
      <c r="DD35" s="399">
        <v>0</v>
      </c>
      <c r="DE35" s="399">
        <v>0</v>
      </c>
      <c r="DF35" s="399">
        <v>0</v>
      </c>
      <c r="DG35" s="399">
        <v>0</v>
      </c>
      <c r="DH35" s="399">
        <v>0</v>
      </c>
      <c r="DI35" s="399">
        <v>-405.6567423993738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-54.343940261440594</v>
      </c>
      <c r="DP35" s="399">
        <v>-12.953685311048872</v>
      </c>
      <c r="DQ35" s="399">
        <v>0</v>
      </c>
      <c r="DR35" s="399">
        <v>0</v>
      </c>
      <c r="DS35" s="399"/>
      <c r="DT35" s="399"/>
      <c r="DU35" s="399"/>
      <c r="DV35" s="399">
        <v>61782.161216030712</v>
      </c>
      <c r="DW35" s="399">
        <v>0</v>
      </c>
      <c r="DX35" s="399">
        <v>0</v>
      </c>
      <c r="DY35" s="399">
        <v>-40254.244650000001</v>
      </c>
      <c r="DZ35" s="399">
        <v>0</v>
      </c>
      <c r="EA35" s="399">
        <v>0</v>
      </c>
      <c r="EB35" s="399">
        <v>0</v>
      </c>
      <c r="EC35" s="399">
        <v>-38519.751383569426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221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2328</v>
      </c>
      <c r="D36" s="399" t="s">
        <v>2339</v>
      </c>
      <c r="E36" s="399" t="s">
        <v>2340</v>
      </c>
      <c r="F36" s="399" t="s">
        <v>2578</v>
      </c>
      <c r="G36" s="399" t="s">
        <v>1239</v>
      </c>
      <c r="H36" s="399" t="s">
        <v>1239</v>
      </c>
      <c r="I36" s="399" t="s">
        <v>1239</v>
      </c>
      <c r="J36" s="399" t="s">
        <v>2326</v>
      </c>
      <c r="K36" s="786">
        <v>44440</v>
      </c>
      <c r="L36" s="399">
        <v>0</v>
      </c>
      <c r="M36" s="399">
        <v>0</v>
      </c>
      <c r="N36" s="399">
        <v>128.18199999999999</v>
      </c>
      <c r="O36" s="399">
        <v>128.18199999999999</v>
      </c>
      <c r="P36" s="399">
        <v>128.18199999999999</v>
      </c>
      <c r="Q36" s="399">
        <v>128.18199999999999</v>
      </c>
      <c r="R36" s="399"/>
      <c r="S36" s="399">
        <v>495.36</v>
      </c>
      <c r="T36" s="399">
        <v>111.45</v>
      </c>
      <c r="U36" s="399"/>
      <c r="V36" s="399">
        <v>77782.119419999988</v>
      </c>
      <c r="W36" s="399">
        <v>77782.119419999988</v>
      </c>
      <c r="X36" s="399">
        <v>48354.095859999994</v>
      </c>
      <c r="Y36" s="399">
        <v>0</v>
      </c>
      <c r="Z36" s="399">
        <v>4794.9168477036819</v>
      </c>
      <c r="AA36" s="399">
        <v>0</v>
      </c>
      <c r="AB36" s="399">
        <v>0</v>
      </c>
      <c r="AC36" s="399">
        <v>0</v>
      </c>
      <c r="AD36" s="399">
        <v>10023.707262412046</v>
      </c>
      <c r="AE36" s="399">
        <v>45166.44916578343</v>
      </c>
      <c r="AF36" s="399">
        <v>14285.444589917119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741.03507903270645</v>
      </c>
      <c r="AM36" s="399"/>
      <c r="AN36" s="399">
        <v>182.34151106134917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2588.0329619779109</v>
      </c>
      <c r="BH36" s="399">
        <v>0</v>
      </c>
      <c r="BI36" s="399">
        <v>52.34</v>
      </c>
      <c r="BJ36" s="399">
        <v>261.83</v>
      </c>
      <c r="BK36" s="399">
        <v>21818.71</v>
      </c>
      <c r="BL36" s="399">
        <v>6</v>
      </c>
      <c r="BM36" s="399"/>
      <c r="BN36" s="399"/>
      <c r="BO36" s="399"/>
      <c r="BP36" s="399"/>
      <c r="BQ36" s="399"/>
      <c r="BR36" s="399"/>
      <c r="BS36" s="399"/>
      <c r="BT36" s="399"/>
      <c r="BU36" s="399"/>
      <c r="BV36" s="399">
        <v>16873.47755189503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48353.341399999998</v>
      </c>
      <c r="CJ36" s="399">
        <v>-29428.808019999989</v>
      </c>
      <c r="CK36" s="399"/>
      <c r="CL36" s="399"/>
      <c r="CM36" s="399"/>
      <c r="CN36" s="399"/>
      <c r="CO36" s="399">
        <v>-29428.023560000001</v>
      </c>
      <c r="CP36" s="399">
        <v>0</v>
      </c>
      <c r="CQ36" s="399">
        <v>30</v>
      </c>
      <c r="CR36" s="399">
        <v>-1268.506445154555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-922.74855973449485</v>
      </c>
      <c r="DA36" s="399">
        <v>0</v>
      </c>
      <c r="DB36" s="399">
        <v>0</v>
      </c>
      <c r="DC36" s="399">
        <v>0</v>
      </c>
      <c r="DD36" s="399">
        <v>0</v>
      </c>
      <c r="DE36" s="399">
        <v>0</v>
      </c>
      <c r="DF36" s="399">
        <v>0</v>
      </c>
      <c r="DG36" s="399">
        <v>0</v>
      </c>
      <c r="DH36" s="399">
        <v>0</v>
      </c>
      <c r="DI36" s="399">
        <v>-296.55930245419404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-39.728665475202092</v>
      </c>
      <c r="DP36" s="399">
        <v>-9.469917490668081</v>
      </c>
      <c r="DQ36" s="399">
        <v>0</v>
      </c>
      <c r="DR36" s="399">
        <v>0</v>
      </c>
      <c r="DS36" s="399"/>
      <c r="DT36" s="399"/>
      <c r="DU36" s="399"/>
      <c r="DV36" s="399">
        <v>45166.44916578343</v>
      </c>
      <c r="DW36" s="399">
        <v>0</v>
      </c>
      <c r="DX36" s="399">
        <v>0</v>
      </c>
      <c r="DY36" s="399">
        <v>-29428.023560000001</v>
      </c>
      <c r="DZ36" s="399">
        <v>0</v>
      </c>
      <c r="EA36" s="399">
        <v>0</v>
      </c>
      <c r="EB36" s="399">
        <v>0</v>
      </c>
      <c r="EC36" s="399">
        <v>-28160.238465293041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221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2328</v>
      </c>
      <c r="D37" s="399" t="s">
        <v>1824</v>
      </c>
      <c r="E37" s="399" t="s">
        <v>921</v>
      </c>
      <c r="F37" s="399" t="s">
        <v>2327</v>
      </c>
      <c r="G37" s="399" t="s">
        <v>1239</v>
      </c>
      <c r="H37" s="399" t="s">
        <v>1239</v>
      </c>
      <c r="I37" s="399" t="s">
        <v>1239</v>
      </c>
      <c r="J37" s="399" t="s">
        <v>2326</v>
      </c>
      <c r="K37" s="786">
        <v>44440</v>
      </c>
      <c r="L37" s="399">
        <v>0</v>
      </c>
      <c r="M37" s="399">
        <v>0</v>
      </c>
      <c r="N37" s="399">
        <v>8.86</v>
      </c>
      <c r="O37" s="399">
        <v>8.3283999999999985</v>
      </c>
      <c r="P37" s="399">
        <v>8.86</v>
      </c>
      <c r="Q37" s="399">
        <v>8.3283999999999985</v>
      </c>
      <c r="R37" s="399"/>
      <c r="S37" s="399">
        <v>825.6</v>
      </c>
      <c r="T37" s="399">
        <v>185.74</v>
      </c>
      <c r="U37" s="399"/>
      <c r="V37" s="399">
        <v>8960.4724000000006</v>
      </c>
      <c r="W37" s="399">
        <v>8960.4724000000006</v>
      </c>
      <c r="X37" s="399">
        <v>5570.2819999999992</v>
      </c>
      <c r="Y37" s="399">
        <v>0</v>
      </c>
      <c r="Z37" s="399">
        <v>552.37817154065635</v>
      </c>
      <c r="AA37" s="399">
        <v>0</v>
      </c>
      <c r="AB37" s="399">
        <v>0</v>
      </c>
      <c r="AC37" s="399">
        <v>0</v>
      </c>
      <c r="AD37" s="399">
        <v>1154.738917385313</v>
      </c>
      <c r="AE37" s="399">
        <v>5203.2102740483651</v>
      </c>
      <c r="AF37" s="399">
        <v>1645.6943911348176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85.367820757851902</v>
      </c>
      <c r="AM37" s="399"/>
      <c r="AN37" s="399">
        <v>21.005884705647123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298.14342163387943</v>
      </c>
      <c r="BH37" s="399">
        <v>0</v>
      </c>
      <c r="BI37" s="399">
        <v>3.31</v>
      </c>
      <c r="BJ37" s="399">
        <v>16.690000000000001</v>
      </c>
      <c r="BK37" s="399">
        <v>0</v>
      </c>
      <c r="BL37" s="399">
        <v>5</v>
      </c>
      <c r="BM37" s="399"/>
      <c r="BN37" s="399"/>
      <c r="BO37" s="399"/>
      <c r="BP37" s="399"/>
      <c r="BQ37" s="399">
        <v>334.21692000000058</v>
      </c>
      <c r="BR37" s="399"/>
      <c r="BS37" s="399"/>
      <c r="BT37" s="399"/>
      <c r="BU37" s="399"/>
      <c r="BV37" s="399">
        <v>1943.8378127686969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5237.0709999999999</v>
      </c>
      <c r="CJ37" s="399">
        <v>-3185.8030559999988</v>
      </c>
      <c r="CK37" s="399"/>
      <c r="CL37" s="399"/>
      <c r="CM37" s="399"/>
      <c r="CN37" s="399"/>
      <c r="CO37" s="399">
        <v>-3390.1904</v>
      </c>
      <c r="CP37" s="399">
        <v>0</v>
      </c>
      <c r="CQ37" s="399">
        <v>30</v>
      </c>
      <c r="CR37" s="399">
        <v>-146.13293473432623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-106.30135587481755</v>
      </c>
      <c r="DA37" s="399">
        <v>0</v>
      </c>
      <c r="DB37" s="399">
        <v>0</v>
      </c>
      <c r="DC37" s="399">
        <v>0</v>
      </c>
      <c r="DD37" s="399">
        <v>0</v>
      </c>
      <c r="DE37" s="399">
        <v>0</v>
      </c>
      <c r="DF37" s="399">
        <v>0</v>
      </c>
      <c r="DG37" s="399">
        <v>0</v>
      </c>
      <c r="DH37" s="399">
        <v>0</v>
      </c>
      <c r="DI37" s="399">
        <v>-34.163863617670472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-4.5767733393442711</v>
      </c>
      <c r="DP37" s="399">
        <v>-1.0909419024944143</v>
      </c>
      <c r="DQ37" s="399">
        <v>0</v>
      </c>
      <c r="DR37" s="399">
        <v>0</v>
      </c>
      <c r="DS37" s="399"/>
      <c r="DT37" s="399"/>
      <c r="DU37" s="399"/>
      <c r="DV37" s="399">
        <v>5203.2102740483651</v>
      </c>
      <c r="DW37" s="399">
        <v>0</v>
      </c>
      <c r="DX37" s="399">
        <v>0</v>
      </c>
      <c r="DY37" s="399">
        <v>-3390.1904000000004</v>
      </c>
      <c r="DZ37" s="399">
        <v>0</v>
      </c>
      <c r="EA37" s="399">
        <v>0</v>
      </c>
      <c r="EB37" s="399">
        <v>0</v>
      </c>
      <c r="EC37" s="399">
        <v>-3244.0814987348158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221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2328</v>
      </c>
      <c r="D38" s="399" t="s">
        <v>1824</v>
      </c>
      <c r="E38" s="399" t="s">
        <v>2579</v>
      </c>
      <c r="F38" s="399" t="s">
        <v>1239</v>
      </c>
      <c r="G38" s="399" t="s">
        <v>1239</v>
      </c>
      <c r="H38" s="399" t="s">
        <v>1239</v>
      </c>
      <c r="I38" s="399" t="s">
        <v>1239</v>
      </c>
      <c r="J38" s="399" t="s">
        <v>2326</v>
      </c>
      <c r="K38" s="786">
        <v>44440</v>
      </c>
      <c r="L38" s="399">
        <v>0</v>
      </c>
      <c r="M38" s="399">
        <v>0</v>
      </c>
      <c r="N38" s="399">
        <v>0.52700000000000002</v>
      </c>
      <c r="O38" s="399">
        <v>0.52700000000000002</v>
      </c>
      <c r="P38" s="399">
        <v>0.52700000000000002</v>
      </c>
      <c r="Q38" s="399">
        <v>0.52700000000000002</v>
      </c>
      <c r="R38" s="399"/>
      <c r="S38" s="399">
        <v>825.6</v>
      </c>
      <c r="T38" s="399">
        <v>185.74</v>
      </c>
      <c r="U38" s="399"/>
      <c r="V38" s="399">
        <v>532.97618</v>
      </c>
      <c r="W38" s="399">
        <v>532.97618</v>
      </c>
      <c r="X38" s="399">
        <v>331.32490000000001</v>
      </c>
      <c r="Y38" s="399">
        <v>0</v>
      </c>
      <c r="Z38" s="399">
        <v>32.855902528434072</v>
      </c>
      <c r="AA38" s="399">
        <v>0</v>
      </c>
      <c r="AB38" s="399">
        <v>0</v>
      </c>
      <c r="AC38" s="399">
        <v>0</v>
      </c>
      <c r="AD38" s="399">
        <v>68.684809194363439</v>
      </c>
      <c r="AE38" s="399">
        <v>309.49117544283172</v>
      </c>
      <c r="AF38" s="399">
        <v>97.887239743572124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5.0777473520753906</v>
      </c>
      <c r="AM38" s="399"/>
      <c r="AN38" s="399">
        <v>1.2494470925367986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17.733813002376351</v>
      </c>
      <c r="BH38" s="399">
        <v>0</v>
      </c>
      <c r="BI38" s="399">
        <v>0.28999999999999998</v>
      </c>
      <c r="BJ38" s="399">
        <v>1.54</v>
      </c>
      <c r="BK38" s="399">
        <v>128.09</v>
      </c>
      <c r="BL38" s="399">
        <v>4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115.62105274594848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333.21100000000001</v>
      </c>
      <c r="CJ38" s="399">
        <v>-199.79517999999996</v>
      </c>
      <c r="CK38" s="399"/>
      <c r="CL38" s="399"/>
      <c r="CM38" s="399"/>
      <c r="CN38" s="399"/>
      <c r="CO38" s="399">
        <v>-201.65128000000004</v>
      </c>
      <c r="CP38" s="399">
        <v>0</v>
      </c>
      <c r="CQ38" s="399">
        <v>30</v>
      </c>
      <c r="CR38" s="399">
        <v>-8.6921057116241514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-6.3228910322831737</v>
      </c>
      <c r="DA38" s="399">
        <v>0</v>
      </c>
      <c r="DB38" s="399">
        <v>0</v>
      </c>
      <c r="DC38" s="399">
        <v>0</v>
      </c>
      <c r="DD38" s="399">
        <v>0</v>
      </c>
      <c r="DE38" s="399">
        <v>0</v>
      </c>
      <c r="DF38" s="399">
        <v>0</v>
      </c>
      <c r="DG38" s="399">
        <v>0</v>
      </c>
      <c r="DH38" s="399">
        <v>0</v>
      </c>
      <c r="DI38" s="399">
        <v>-2.0320943709381787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-0.27223019749824307</v>
      </c>
      <c r="DP38" s="399">
        <v>-6.4890110904577636E-2</v>
      </c>
      <c r="DQ38" s="399">
        <v>0</v>
      </c>
      <c r="DR38" s="399">
        <v>0</v>
      </c>
      <c r="DS38" s="399"/>
      <c r="DT38" s="399"/>
      <c r="DU38" s="399"/>
      <c r="DV38" s="399">
        <v>309.49117544283172</v>
      </c>
      <c r="DW38" s="399">
        <v>0</v>
      </c>
      <c r="DX38" s="399">
        <v>0</v>
      </c>
      <c r="DY38" s="399">
        <v>-201.65128000000001</v>
      </c>
      <c r="DZ38" s="399">
        <v>0</v>
      </c>
      <c r="EA38" s="399">
        <v>0</v>
      </c>
      <c r="EB38" s="399">
        <v>0</v>
      </c>
      <c r="EC38" s="399">
        <v>-192.96060381865107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221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2328</v>
      </c>
      <c r="D39" s="399" t="s">
        <v>1824</v>
      </c>
      <c r="E39" s="399" t="s">
        <v>921</v>
      </c>
      <c r="F39" s="399" t="s">
        <v>2580</v>
      </c>
      <c r="G39" s="399" t="s">
        <v>1239</v>
      </c>
      <c r="H39" s="399" t="s">
        <v>1239</v>
      </c>
      <c r="I39" s="399" t="s">
        <v>1239</v>
      </c>
      <c r="J39" s="399" t="s">
        <v>2326</v>
      </c>
      <c r="K39" s="786">
        <v>44440</v>
      </c>
      <c r="L39" s="399">
        <v>0</v>
      </c>
      <c r="M39" s="399">
        <v>0</v>
      </c>
      <c r="N39" s="399">
        <v>0.03</v>
      </c>
      <c r="O39" s="399">
        <v>0.03</v>
      </c>
      <c r="P39" s="399">
        <v>0.03</v>
      </c>
      <c r="Q39" s="399">
        <v>0.03</v>
      </c>
      <c r="R39" s="399"/>
      <c r="S39" s="399">
        <v>825.6</v>
      </c>
      <c r="T39" s="399">
        <v>185.74</v>
      </c>
      <c r="U39" s="399"/>
      <c r="V39" s="399">
        <v>30.340200000000003</v>
      </c>
      <c r="W39" s="399">
        <v>30.340200000000003</v>
      </c>
      <c r="X39" s="399">
        <v>18.860999999999997</v>
      </c>
      <c r="Y39" s="399">
        <v>0</v>
      </c>
      <c r="Z39" s="399">
        <v>1.8703549826433059</v>
      </c>
      <c r="AA39" s="399">
        <v>0</v>
      </c>
      <c r="AB39" s="399">
        <v>0</v>
      </c>
      <c r="AC39" s="399">
        <v>0</v>
      </c>
      <c r="AD39" s="399">
        <v>3.90995118753492</v>
      </c>
      <c r="AE39" s="399">
        <v>17.618093478719071</v>
      </c>
      <c r="AF39" s="399">
        <v>5.5723286381540102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0.28905582649385519</v>
      </c>
      <c r="AM39" s="399"/>
      <c r="AN39" s="399">
        <v>7.1126020448015095E-2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1.009514971672278</v>
      </c>
      <c r="BH39" s="399">
        <v>0</v>
      </c>
      <c r="BI39" s="399">
        <v>0.01</v>
      </c>
      <c r="BJ39" s="399">
        <v>7.0000000000000007E-2</v>
      </c>
      <c r="BK39" s="399">
        <v>0</v>
      </c>
      <c r="BL39" s="399">
        <v>1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6.5818436098262882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18.860999999999997</v>
      </c>
      <c r="CJ39" s="399">
        <v>-11.509200000000011</v>
      </c>
      <c r="CK39" s="399"/>
      <c r="CL39" s="399"/>
      <c r="CM39" s="399"/>
      <c r="CN39" s="399"/>
      <c r="CO39" s="399">
        <v>-11.479200000000001</v>
      </c>
      <c r="CP39" s="399">
        <v>0</v>
      </c>
      <c r="CQ39" s="399">
        <v>30</v>
      </c>
      <c r="CR39" s="399">
        <v>-0.49480677675279949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-0.35993687090796023</v>
      </c>
      <c r="DA39" s="399">
        <v>0</v>
      </c>
      <c r="DB39" s="399">
        <v>0</v>
      </c>
      <c r="DC39" s="399">
        <v>0</v>
      </c>
      <c r="DD39" s="399">
        <v>0</v>
      </c>
      <c r="DE39" s="399">
        <v>0</v>
      </c>
      <c r="DF39" s="399">
        <v>0</v>
      </c>
      <c r="DG39" s="399">
        <v>0</v>
      </c>
      <c r="DH39" s="399">
        <v>0</v>
      </c>
      <c r="DI39" s="399">
        <v>-0.11567899644809398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-1.5496975189653261E-2</v>
      </c>
      <c r="DP39" s="399">
        <v>-3.6939342070917008E-3</v>
      </c>
      <c r="DQ39" s="399">
        <v>0</v>
      </c>
      <c r="DR39" s="399">
        <v>0</v>
      </c>
      <c r="DS39" s="399"/>
      <c r="DT39" s="399"/>
      <c r="DU39" s="399"/>
      <c r="DV39" s="399">
        <v>17.618093478719071</v>
      </c>
      <c r="DW39" s="399">
        <v>0</v>
      </c>
      <c r="DX39" s="399">
        <v>0</v>
      </c>
      <c r="DY39" s="399">
        <v>-11.479200000000002</v>
      </c>
      <c r="DZ39" s="399">
        <v>0</v>
      </c>
      <c r="EA39" s="399">
        <v>0</v>
      </c>
      <c r="EB39" s="399">
        <v>0</v>
      </c>
      <c r="EC39" s="399">
        <v>-10.984474600682223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221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2328</v>
      </c>
      <c r="D40" s="399" t="s">
        <v>1821</v>
      </c>
      <c r="E40" s="399" t="s">
        <v>889</v>
      </c>
      <c r="F40" s="399" t="s">
        <v>889</v>
      </c>
      <c r="G40" s="399" t="s">
        <v>1239</v>
      </c>
      <c r="H40" s="399" t="s">
        <v>1239</v>
      </c>
      <c r="I40" s="399" t="s">
        <v>1239</v>
      </c>
      <c r="J40" s="399" t="s">
        <v>2326</v>
      </c>
      <c r="K40" s="786">
        <v>44470</v>
      </c>
      <c r="L40" s="399">
        <v>0</v>
      </c>
      <c r="M40" s="399">
        <v>0</v>
      </c>
      <c r="N40" s="399">
        <v>1221.414</v>
      </c>
      <c r="O40" s="399">
        <v>1221.414</v>
      </c>
      <c r="P40" s="399">
        <v>1221.414</v>
      </c>
      <c r="Q40" s="399">
        <v>1221.414</v>
      </c>
      <c r="R40" s="399"/>
      <c r="S40" s="399">
        <v>825.6</v>
      </c>
      <c r="T40" s="399">
        <v>185.74</v>
      </c>
      <c r="U40" s="399"/>
      <c r="V40" s="399">
        <v>1235264.83476</v>
      </c>
      <c r="W40" s="399">
        <v>1235264.83476</v>
      </c>
      <c r="X40" s="399">
        <v>767902.98180000007</v>
      </c>
      <c r="Y40" s="399">
        <v>0</v>
      </c>
      <c r="Z40" s="399">
        <v>76149.258692343021</v>
      </c>
      <c r="AA40" s="399">
        <v>0</v>
      </c>
      <c r="AB40" s="399">
        <v>0</v>
      </c>
      <c r="AC40" s="399">
        <v>0</v>
      </c>
      <c r="AD40" s="399">
        <v>159188.97065905924</v>
      </c>
      <c r="AE40" s="399">
        <v>717299.5342738725</v>
      </c>
      <c r="AF40" s="399">
        <v>226870.67370807476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11768.561108705522</v>
      </c>
      <c r="AM40" s="399"/>
      <c r="AN40" s="399">
        <v>2895.8105713163968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41101.19065367079</v>
      </c>
      <c r="BH40" s="399">
        <v>0</v>
      </c>
      <c r="BI40" s="399">
        <v>744.44</v>
      </c>
      <c r="BJ40" s="399">
        <v>3379.78</v>
      </c>
      <c r="BK40" s="399">
        <v>192067.98</v>
      </c>
      <c r="BL40" s="399">
        <v>8005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267971.86436174554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767900.46699999995</v>
      </c>
      <c r="CJ40" s="399">
        <v>-467364.39776000008</v>
      </c>
      <c r="CK40" s="399"/>
      <c r="CL40" s="399"/>
      <c r="CM40" s="399"/>
      <c r="CN40" s="399"/>
      <c r="CO40" s="399">
        <v>-467361.85296000005</v>
      </c>
      <c r="CP40" s="399">
        <v>0</v>
      </c>
      <c r="CQ40" s="399">
        <v>31</v>
      </c>
      <c r="CR40" s="399">
        <v>-20145.464147358143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-14654.397774772515</v>
      </c>
      <c r="DA40" s="399">
        <v>0</v>
      </c>
      <c r="DB40" s="399">
        <v>0</v>
      </c>
      <c r="DC40" s="399">
        <v>0</v>
      </c>
      <c r="DD40" s="399">
        <v>0</v>
      </c>
      <c r="DE40" s="399">
        <v>0</v>
      </c>
      <c r="DF40" s="399">
        <v>0</v>
      </c>
      <c r="DG40" s="399">
        <v>0</v>
      </c>
      <c r="DH40" s="399">
        <v>0</v>
      </c>
      <c r="DI40" s="399">
        <v>-4709.7315255884023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-630.94074847650518</v>
      </c>
      <c r="DP40" s="399">
        <v>-150.39409852069002</v>
      </c>
      <c r="DQ40" s="399">
        <v>0</v>
      </c>
      <c r="DR40" s="399">
        <v>0</v>
      </c>
      <c r="DS40" s="399"/>
      <c r="DT40" s="399"/>
      <c r="DU40" s="399"/>
      <c r="DV40" s="399">
        <v>717299.5342738725</v>
      </c>
      <c r="DW40" s="399">
        <v>0</v>
      </c>
      <c r="DX40" s="399">
        <v>0</v>
      </c>
      <c r="DY40" s="399">
        <v>-467361.85296000005</v>
      </c>
      <c r="DZ40" s="399">
        <v>0</v>
      </c>
      <c r="EA40" s="399">
        <v>0</v>
      </c>
      <c r="EB40" s="399">
        <v>0</v>
      </c>
      <c r="EC40" s="399">
        <v>-447219.70199725579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221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2329</v>
      </c>
      <c r="C41" s="399" t="s">
        <v>2328</v>
      </c>
      <c r="D41" s="399" t="s">
        <v>1821</v>
      </c>
      <c r="E41" s="399" t="s">
        <v>889</v>
      </c>
      <c r="F41" s="399" t="s">
        <v>889</v>
      </c>
      <c r="G41" s="399" t="s">
        <v>1239</v>
      </c>
      <c r="H41" s="399" t="s">
        <v>1239</v>
      </c>
      <c r="I41" s="399" t="s">
        <v>1239</v>
      </c>
      <c r="J41" s="399" t="s">
        <v>2326</v>
      </c>
      <c r="K41" s="786">
        <v>44470</v>
      </c>
      <c r="L41" s="399">
        <v>0</v>
      </c>
      <c r="M41" s="399">
        <v>0</v>
      </c>
      <c r="N41" s="399">
        <v>-11.824999999999999</v>
      </c>
      <c r="O41" s="399">
        <v>-11.824999999999999</v>
      </c>
      <c r="P41" s="399">
        <v>-11.824999999999999</v>
      </c>
      <c r="Q41" s="399">
        <v>-11.824999999999999</v>
      </c>
      <c r="R41" s="399"/>
      <c r="S41" s="399">
        <v>825.6</v>
      </c>
      <c r="T41" s="399">
        <v>185.74</v>
      </c>
      <c r="U41" s="399"/>
      <c r="V41" s="399">
        <v>-11959.095499999999</v>
      </c>
      <c r="W41" s="399">
        <v>-11959.095499999999</v>
      </c>
      <c r="X41" s="399">
        <v>-7434.3774999999996</v>
      </c>
      <c r="Y41" s="399">
        <v>0</v>
      </c>
      <c r="Z41" s="399">
        <v>-737.23158899190298</v>
      </c>
      <c r="AA41" s="399">
        <v>0</v>
      </c>
      <c r="AB41" s="399">
        <v>0</v>
      </c>
      <c r="AC41" s="399">
        <v>0</v>
      </c>
      <c r="AD41" s="399">
        <v>-1541.1724264200143</v>
      </c>
      <c r="AE41" s="399">
        <v>-6944.4651795284335</v>
      </c>
      <c r="AF41" s="399">
        <v>-2196.4262048723722</v>
      </c>
      <c r="AG41" s="399">
        <v>0</v>
      </c>
      <c r="AH41" s="399">
        <v>0</v>
      </c>
      <c r="AI41" s="399">
        <v>0</v>
      </c>
      <c r="AJ41" s="399">
        <v>0</v>
      </c>
      <c r="AK41" s="399">
        <v>0</v>
      </c>
      <c r="AL41" s="399">
        <v>-113.93617160966126</v>
      </c>
      <c r="AM41" s="399"/>
      <c r="AN41" s="399">
        <v>-28.035506393259283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-397.91715133415624</v>
      </c>
      <c r="BH41" s="399">
        <v>0</v>
      </c>
      <c r="BI41" s="399">
        <v>-7.9</v>
      </c>
      <c r="BJ41" s="399">
        <v>-34.97</v>
      </c>
      <c r="BK41" s="399">
        <v>-2819.72</v>
      </c>
      <c r="BL41" s="399">
        <v>0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-2594.3433562065284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-7437.5210000000006</v>
      </c>
      <c r="CJ41" s="399">
        <v>4521.5444999999982</v>
      </c>
      <c r="CK41" s="399"/>
      <c r="CL41" s="399"/>
      <c r="CM41" s="399"/>
      <c r="CN41" s="399"/>
      <c r="CO41" s="399">
        <v>4524.7179999999998</v>
      </c>
      <c r="CP41" s="399">
        <v>0</v>
      </c>
      <c r="CQ41" s="399">
        <v>31</v>
      </c>
      <c r="CR41" s="399">
        <v>195.0363378367274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141.87511661622102</v>
      </c>
      <c r="DA41" s="399">
        <v>0</v>
      </c>
      <c r="DB41" s="399">
        <v>0</v>
      </c>
      <c r="DC41" s="399">
        <v>0</v>
      </c>
      <c r="DD41" s="399">
        <v>0</v>
      </c>
      <c r="DE41" s="399">
        <v>0</v>
      </c>
      <c r="DF41" s="399">
        <v>0</v>
      </c>
      <c r="DG41" s="399">
        <v>0</v>
      </c>
      <c r="DH41" s="399">
        <v>0</v>
      </c>
      <c r="DI41" s="399">
        <v>45.596804433290345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6.1083910539216788</v>
      </c>
      <c r="DP41" s="399">
        <v>1.4560257332953128</v>
      </c>
      <c r="DQ41" s="399">
        <v>0</v>
      </c>
      <c r="DR41" s="399">
        <v>0</v>
      </c>
      <c r="DS41" s="399"/>
      <c r="DT41" s="399"/>
      <c r="DU41" s="399"/>
      <c r="DV41" s="399">
        <v>-6944.4651795284335</v>
      </c>
      <c r="DW41" s="399">
        <v>0</v>
      </c>
      <c r="DX41" s="399">
        <v>0</v>
      </c>
      <c r="DY41" s="399">
        <v>4524.7179999999998</v>
      </c>
      <c r="DZ41" s="399">
        <v>0</v>
      </c>
      <c r="EA41" s="399">
        <v>0</v>
      </c>
      <c r="EB41" s="399">
        <v>0</v>
      </c>
      <c r="EC41" s="399">
        <v>4329.7137384355756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221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2330</v>
      </c>
      <c r="C42" s="399" t="s">
        <v>2328</v>
      </c>
      <c r="D42" s="399" t="s">
        <v>1821</v>
      </c>
      <c r="E42" s="399" t="s">
        <v>889</v>
      </c>
      <c r="F42" s="399" t="s">
        <v>889</v>
      </c>
      <c r="G42" s="399" t="s">
        <v>1239</v>
      </c>
      <c r="H42" s="399" t="s">
        <v>1239</v>
      </c>
      <c r="I42" s="399" t="s">
        <v>1239</v>
      </c>
      <c r="J42" s="399" t="s">
        <v>2326</v>
      </c>
      <c r="K42" s="786">
        <v>44470</v>
      </c>
      <c r="L42" s="399">
        <v>0</v>
      </c>
      <c r="M42" s="399">
        <v>0</v>
      </c>
      <c r="N42" s="399">
        <v>10.726000000000001</v>
      </c>
      <c r="O42" s="399">
        <v>10.726000000000001</v>
      </c>
      <c r="P42" s="399">
        <v>10.726000000000001</v>
      </c>
      <c r="Q42" s="399">
        <v>10.726000000000001</v>
      </c>
      <c r="R42" s="399"/>
      <c r="S42" s="399">
        <v>825.6</v>
      </c>
      <c r="T42" s="399">
        <v>185.74</v>
      </c>
      <c r="U42" s="399"/>
      <c r="V42" s="399">
        <v>10847.632840000002</v>
      </c>
      <c r="W42" s="399">
        <v>10847.632840000002</v>
      </c>
      <c r="X42" s="399">
        <v>6743.4362000000001</v>
      </c>
      <c r="Y42" s="399">
        <v>0</v>
      </c>
      <c r="Z42" s="399">
        <v>668.71425146107003</v>
      </c>
      <c r="AA42" s="399">
        <v>0</v>
      </c>
      <c r="AB42" s="399">
        <v>0</v>
      </c>
      <c r="AC42" s="399">
        <v>0</v>
      </c>
      <c r="AD42" s="399">
        <v>1397.9378812499854</v>
      </c>
      <c r="AE42" s="399">
        <v>6299.0556884246926</v>
      </c>
      <c r="AF42" s="399">
        <v>1992.2932324279973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103.34709316576971</v>
      </c>
      <c r="AM42" s="399"/>
      <c r="AN42" s="399">
        <v>25.429923177513665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360.93525287189516</v>
      </c>
      <c r="BH42" s="399">
        <v>0</v>
      </c>
      <c r="BI42" s="399">
        <v>6.86</v>
      </c>
      <c r="BJ42" s="399">
        <v>30.23</v>
      </c>
      <c r="BK42" s="399">
        <v>3816.29</v>
      </c>
      <c r="BL42" s="399">
        <v>48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2353.2284852998923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6745.951</v>
      </c>
      <c r="CJ42" s="399">
        <v>-4101.7118400000027</v>
      </c>
      <c r="CK42" s="399"/>
      <c r="CL42" s="399"/>
      <c r="CM42" s="399"/>
      <c r="CN42" s="399"/>
      <c r="CO42" s="399">
        <v>-4104.196640000001</v>
      </c>
      <c r="CP42" s="399">
        <v>0</v>
      </c>
      <c r="CQ42" s="399">
        <v>31</v>
      </c>
      <c r="CR42" s="399">
        <v>-176.90991624835169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-128.68942924529279</v>
      </c>
      <c r="DA42" s="399">
        <v>0</v>
      </c>
      <c r="DB42" s="399">
        <v>0</v>
      </c>
      <c r="DC42" s="399">
        <v>0</v>
      </c>
      <c r="DD42" s="399">
        <v>0</v>
      </c>
      <c r="DE42" s="399">
        <v>0</v>
      </c>
      <c r="DF42" s="399">
        <v>0</v>
      </c>
      <c r="DG42" s="399">
        <v>0</v>
      </c>
      <c r="DH42" s="399">
        <v>0</v>
      </c>
      <c r="DI42" s="399">
        <v>-41.359097196741914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-5.5406851961407</v>
      </c>
      <c r="DP42" s="399">
        <v>-1.3207046101755182</v>
      </c>
      <c r="DQ42" s="399">
        <v>0</v>
      </c>
      <c r="DR42" s="399">
        <v>0</v>
      </c>
      <c r="DS42" s="399"/>
      <c r="DT42" s="399"/>
      <c r="DU42" s="399"/>
      <c r="DV42" s="399">
        <v>6299.0556884246926</v>
      </c>
      <c r="DW42" s="399">
        <v>0</v>
      </c>
      <c r="DX42" s="399">
        <v>0</v>
      </c>
      <c r="DY42" s="399">
        <v>-4104.196640000001</v>
      </c>
      <c r="DZ42" s="399">
        <v>0</v>
      </c>
      <c r="EA42" s="399">
        <v>0</v>
      </c>
      <c r="EB42" s="399">
        <v>0</v>
      </c>
      <c r="EC42" s="399">
        <v>-3927.3158188972507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221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2330</v>
      </c>
      <c r="C43" s="399" t="s">
        <v>2328</v>
      </c>
      <c r="D43" s="399" t="s">
        <v>1821</v>
      </c>
      <c r="E43" s="399" t="s">
        <v>889</v>
      </c>
      <c r="F43" s="399" t="s">
        <v>889</v>
      </c>
      <c r="G43" s="399" t="s">
        <v>1239</v>
      </c>
      <c r="H43" s="399" t="s">
        <v>1239</v>
      </c>
      <c r="I43" s="399" t="s">
        <v>1239</v>
      </c>
      <c r="J43" s="399" t="s">
        <v>2326</v>
      </c>
      <c r="K43" s="786">
        <v>44470</v>
      </c>
      <c r="L43" s="399">
        <v>0</v>
      </c>
      <c r="M43" s="399">
        <v>0</v>
      </c>
      <c r="N43" s="399">
        <v>-0.129</v>
      </c>
      <c r="O43" s="399">
        <v>-0.129</v>
      </c>
      <c r="P43" s="399">
        <v>-0.129</v>
      </c>
      <c r="Q43" s="399">
        <v>-0.129</v>
      </c>
      <c r="R43" s="399"/>
      <c r="S43" s="399">
        <v>825.6</v>
      </c>
      <c r="T43" s="399">
        <v>185.74</v>
      </c>
      <c r="U43" s="399"/>
      <c r="V43" s="399">
        <v>-130.46286000000001</v>
      </c>
      <c r="W43" s="399">
        <v>-130.46286000000001</v>
      </c>
      <c r="X43" s="399">
        <v>-81.1023</v>
      </c>
      <c r="Y43" s="399">
        <v>0</v>
      </c>
      <c r="Z43" s="399">
        <v>-8.0425264253662156</v>
      </c>
      <c r="AA43" s="399">
        <v>0</v>
      </c>
      <c r="AB43" s="399">
        <v>0</v>
      </c>
      <c r="AC43" s="399">
        <v>0</v>
      </c>
      <c r="AD43" s="399">
        <v>-16.812790106400158</v>
      </c>
      <c r="AE43" s="399">
        <v>-75.75780195849201</v>
      </c>
      <c r="AF43" s="399">
        <v>-23.961013144062246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-1.2429400539235775</v>
      </c>
      <c r="AM43" s="399"/>
      <c r="AN43" s="399">
        <v>-0.30584188792646494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-4.3409143781907957</v>
      </c>
      <c r="BH43" s="399">
        <v>0</v>
      </c>
      <c r="BI43" s="399">
        <v>-7.0000000000000007E-2</v>
      </c>
      <c r="BJ43" s="399">
        <v>-0.39</v>
      </c>
      <c r="BK43" s="399">
        <v>-40.020000000000003</v>
      </c>
      <c r="BL43" s="399">
        <v>2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-28.301927522253042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-81.730999999999995</v>
      </c>
      <c r="CJ43" s="399">
        <v>48.701860000000011</v>
      </c>
      <c r="CK43" s="399"/>
      <c r="CL43" s="399"/>
      <c r="CM43" s="399"/>
      <c r="CN43" s="399"/>
      <c r="CO43" s="399">
        <v>49.360560000000007</v>
      </c>
      <c r="CP43" s="399">
        <v>0</v>
      </c>
      <c r="CQ43" s="399">
        <v>31</v>
      </c>
      <c r="CR43" s="399">
        <v>2.1276691400370353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1.5477285449042295</v>
      </c>
      <c r="DA43" s="399">
        <v>0</v>
      </c>
      <c r="DB43" s="399">
        <v>0</v>
      </c>
      <c r="DC43" s="399">
        <v>0</v>
      </c>
      <c r="DD43" s="399">
        <v>0</v>
      </c>
      <c r="DE43" s="399">
        <v>0</v>
      </c>
      <c r="DF43" s="399">
        <v>0</v>
      </c>
      <c r="DG43" s="399">
        <v>0</v>
      </c>
      <c r="DH43" s="399">
        <v>0</v>
      </c>
      <c r="DI43" s="399">
        <v>0.49741968472680398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6.6636993315509319E-2</v>
      </c>
      <c r="DP43" s="399">
        <v>1.5883917090494304E-2</v>
      </c>
      <c r="DQ43" s="399">
        <v>0</v>
      </c>
      <c r="DR43" s="399">
        <v>0</v>
      </c>
      <c r="DS43" s="399"/>
      <c r="DT43" s="399"/>
      <c r="DU43" s="399"/>
      <c r="DV43" s="399">
        <v>-75.75780195849201</v>
      </c>
      <c r="DW43" s="399">
        <v>0</v>
      </c>
      <c r="DX43" s="399">
        <v>0</v>
      </c>
      <c r="DY43" s="399">
        <v>49.360560000000007</v>
      </c>
      <c r="DZ43" s="399">
        <v>0</v>
      </c>
      <c r="EA43" s="399">
        <v>0</v>
      </c>
      <c r="EB43" s="399">
        <v>0</v>
      </c>
      <c r="EC43" s="399">
        <v>47.233240782933549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221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2328</v>
      </c>
      <c r="D44" s="399" t="s">
        <v>1821</v>
      </c>
      <c r="E44" s="399" t="s">
        <v>889</v>
      </c>
      <c r="F44" s="399" t="s">
        <v>2331</v>
      </c>
      <c r="G44" s="399" t="s">
        <v>1239</v>
      </c>
      <c r="H44" s="399" t="s">
        <v>1239</v>
      </c>
      <c r="I44" s="399" t="s">
        <v>1239</v>
      </c>
      <c r="J44" s="399" t="s">
        <v>2326</v>
      </c>
      <c r="K44" s="786">
        <v>44470</v>
      </c>
      <c r="L44" s="399">
        <v>0</v>
      </c>
      <c r="M44" s="399">
        <v>0</v>
      </c>
      <c r="N44" s="399">
        <v>6</v>
      </c>
      <c r="O44" s="399">
        <v>6</v>
      </c>
      <c r="P44" s="399">
        <v>6</v>
      </c>
      <c r="Q44" s="399">
        <v>6</v>
      </c>
      <c r="R44" s="399"/>
      <c r="S44" s="399">
        <v>753.62</v>
      </c>
      <c r="T44" s="399">
        <v>185.74</v>
      </c>
      <c r="U44" s="399"/>
      <c r="V44" s="399">
        <v>5636.16</v>
      </c>
      <c r="W44" s="399">
        <v>5636.16</v>
      </c>
      <c r="X44" s="399">
        <v>3366.5400000000004</v>
      </c>
      <c r="Y44" s="399">
        <v>0</v>
      </c>
      <c r="Z44" s="399">
        <v>0</v>
      </c>
      <c r="AA44" s="399">
        <v>0</v>
      </c>
      <c r="AB44" s="399">
        <v>0</v>
      </c>
      <c r="AC44" s="399">
        <v>0</v>
      </c>
      <c r="AD44" s="399">
        <v>781.99023750698404</v>
      </c>
      <c r="AE44" s="399">
        <v>3523.618695743814</v>
      </c>
      <c r="AF44" s="399">
        <v>1114.4657276308021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0</v>
      </c>
      <c r="AM44" s="399"/>
      <c r="AN44" s="399">
        <v>14.225204089603018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201.9029943344556</v>
      </c>
      <c r="BH44" s="399">
        <v>0</v>
      </c>
      <c r="BI44" s="399">
        <v>0</v>
      </c>
      <c r="BJ44" s="399">
        <v>4.1399999999999997</v>
      </c>
      <c r="BK44" s="399">
        <v>163.63</v>
      </c>
      <c r="BL44" s="399">
        <v>14</v>
      </c>
      <c r="BM44" s="399"/>
      <c r="BN44" s="399"/>
      <c r="BO44" s="399"/>
      <c r="BP44" s="399"/>
      <c r="BQ44" s="399"/>
      <c r="BR44" s="399"/>
      <c r="BS44" s="399"/>
      <c r="BT44" s="399">
        <v>2188.2600000000002</v>
      </c>
      <c r="BU44" s="399"/>
      <c r="BV44" s="399">
        <v>1316.3687219652577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1178.2800000000002</v>
      </c>
      <c r="CJ44" s="399">
        <v>-794.42999999999961</v>
      </c>
      <c r="CK44" s="399"/>
      <c r="CL44" s="399"/>
      <c r="CM44" s="399"/>
      <c r="CN44" s="399"/>
      <c r="CO44" s="399">
        <v>-2269.62</v>
      </c>
      <c r="CP44" s="399">
        <v>0</v>
      </c>
      <c r="CQ44" s="399">
        <v>31</v>
      </c>
      <c r="CR44" s="399">
        <v>-72.726161023010036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-71.987374181592031</v>
      </c>
      <c r="DA44" s="399">
        <v>0</v>
      </c>
      <c r="DB44" s="399">
        <v>0</v>
      </c>
      <c r="DC44" s="399">
        <v>0</v>
      </c>
      <c r="DD44" s="399">
        <v>0</v>
      </c>
      <c r="DE44" s="399">
        <v>0</v>
      </c>
      <c r="DF44" s="399">
        <v>0</v>
      </c>
      <c r="DG44" s="399">
        <v>0</v>
      </c>
      <c r="DH44" s="399">
        <v>0</v>
      </c>
      <c r="DI44" s="399">
        <v>0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0</v>
      </c>
      <c r="DP44" s="399">
        <v>-0.73878684141833872</v>
      </c>
      <c r="DQ44" s="399">
        <v>0</v>
      </c>
      <c r="DR44" s="399">
        <v>0</v>
      </c>
      <c r="DS44" s="399"/>
      <c r="DT44" s="399"/>
      <c r="DU44" s="399"/>
      <c r="DV44" s="399">
        <v>3523.618695743814</v>
      </c>
      <c r="DW44" s="399">
        <v>0</v>
      </c>
      <c r="DX44" s="399">
        <v>0</v>
      </c>
      <c r="DY44" s="399">
        <v>-2269.62</v>
      </c>
      <c r="DZ44" s="399">
        <v>0</v>
      </c>
      <c r="EA44" s="399">
        <v>0</v>
      </c>
      <c r="EB44" s="399">
        <v>0</v>
      </c>
      <c r="EC44" s="399">
        <v>-2196.8949201364439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221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2328</v>
      </c>
      <c r="D45" s="399" t="s">
        <v>1821</v>
      </c>
      <c r="E45" s="399" t="s">
        <v>889</v>
      </c>
      <c r="F45" s="399" t="s">
        <v>2332</v>
      </c>
      <c r="G45" s="399" t="s">
        <v>1239</v>
      </c>
      <c r="H45" s="399" t="s">
        <v>1239</v>
      </c>
      <c r="I45" s="399" t="s">
        <v>1239</v>
      </c>
      <c r="J45" s="399" t="s">
        <v>2326</v>
      </c>
      <c r="K45" s="786">
        <v>44470</v>
      </c>
      <c r="L45" s="399">
        <v>0</v>
      </c>
      <c r="M45" s="399">
        <v>0</v>
      </c>
      <c r="N45" s="399">
        <v>12.137</v>
      </c>
      <c r="O45" s="399">
        <v>12.137</v>
      </c>
      <c r="P45" s="399">
        <v>12.137</v>
      </c>
      <c r="Q45" s="399">
        <v>12.137</v>
      </c>
      <c r="R45" s="399"/>
      <c r="S45" s="399">
        <v>753.62</v>
      </c>
      <c r="T45" s="399">
        <v>185.74</v>
      </c>
      <c r="U45" s="399"/>
      <c r="V45" s="399">
        <v>11401.012320000002</v>
      </c>
      <c r="W45" s="399">
        <v>11401.012320000002</v>
      </c>
      <c r="X45" s="399">
        <v>6809.9493300000013</v>
      </c>
      <c r="Y45" s="399">
        <v>0</v>
      </c>
      <c r="Z45" s="399">
        <v>0</v>
      </c>
      <c r="AA45" s="399">
        <v>0</v>
      </c>
      <c r="AB45" s="399">
        <v>0</v>
      </c>
      <c r="AC45" s="399">
        <v>0</v>
      </c>
      <c r="AD45" s="399">
        <v>1581.8359187703777</v>
      </c>
      <c r="AE45" s="399">
        <v>7127.693351707112</v>
      </c>
      <c r="AF45" s="399">
        <v>2254.3784227091742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0</v>
      </c>
      <c r="AM45" s="399"/>
      <c r="AN45" s="399">
        <v>28.775217005918641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408.41610703954797</v>
      </c>
      <c r="BH45" s="399">
        <v>0</v>
      </c>
      <c r="BI45" s="399">
        <v>3.57</v>
      </c>
      <c r="BJ45" s="399">
        <v>14.83</v>
      </c>
      <c r="BK45" s="399">
        <v>588.17999999999995</v>
      </c>
      <c r="BL45" s="399">
        <v>37</v>
      </c>
      <c r="BM45" s="399"/>
      <c r="BN45" s="399"/>
      <c r="BO45" s="399"/>
      <c r="BP45" s="399"/>
      <c r="BQ45" s="399"/>
      <c r="BR45" s="399"/>
      <c r="BS45" s="399"/>
      <c r="BT45" s="399">
        <v>2723.9069100000006</v>
      </c>
      <c r="BU45" s="399"/>
      <c r="BV45" s="399">
        <v>2662.7945297487222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4087.0524000000005</v>
      </c>
      <c r="CJ45" s="399">
        <v>-2753.6335400000007</v>
      </c>
      <c r="CK45" s="399"/>
      <c r="CL45" s="399"/>
      <c r="CM45" s="399"/>
      <c r="CN45" s="399"/>
      <c r="CO45" s="399">
        <v>-4591.0629900000004</v>
      </c>
      <c r="CP45" s="399">
        <v>0</v>
      </c>
      <c r="CQ45" s="399">
        <v>31</v>
      </c>
      <c r="CR45" s="399">
        <v>-147.11290272271253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-145.61846007366375</v>
      </c>
      <c r="DA45" s="399">
        <v>0</v>
      </c>
      <c r="DB45" s="399">
        <v>0</v>
      </c>
      <c r="DC45" s="399">
        <v>0</v>
      </c>
      <c r="DD45" s="399">
        <v>0</v>
      </c>
      <c r="DE45" s="399">
        <v>0</v>
      </c>
      <c r="DF45" s="399">
        <v>0</v>
      </c>
      <c r="DG45" s="399">
        <v>0</v>
      </c>
      <c r="DH45" s="399">
        <v>0</v>
      </c>
      <c r="DI45" s="399">
        <v>0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0</v>
      </c>
      <c r="DP45" s="399">
        <v>-1.4944426490490663</v>
      </c>
      <c r="DQ45" s="399">
        <v>0</v>
      </c>
      <c r="DR45" s="399">
        <v>0</v>
      </c>
      <c r="DS45" s="399"/>
      <c r="DT45" s="399"/>
      <c r="DU45" s="399"/>
      <c r="DV45" s="399">
        <v>7127.693351707112</v>
      </c>
      <c r="DW45" s="399">
        <v>0</v>
      </c>
      <c r="DX45" s="399">
        <v>0</v>
      </c>
      <c r="DY45" s="399">
        <v>-4591.0629900000004</v>
      </c>
      <c r="DZ45" s="399">
        <v>0</v>
      </c>
      <c r="EA45" s="399">
        <v>0</v>
      </c>
      <c r="EB45" s="399">
        <v>0</v>
      </c>
      <c r="EC45" s="399">
        <v>-4443.9522742826703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221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2328</v>
      </c>
      <c r="D46" s="399" t="s">
        <v>1821</v>
      </c>
      <c r="E46" s="399" t="s">
        <v>889</v>
      </c>
      <c r="F46" s="399" t="s">
        <v>2333</v>
      </c>
      <c r="G46" s="399" t="s">
        <v>1239</v>
      </c>
      <c r="H46" s="399" t="s">
        <v>1239</v>
      </c>
      <c r="I46" s="399" t="s">
        <v>1239</v>
      </c>
      <c r="J46" s="399" t="s">
        <v>2326</v>
      </c>
      <c r="K46" s="786">
        <v>44470</v>
      </c>
      <c r="L46" s="399">
        <v>0</v>
      </c>
      <c r="M46" s="399">
        <v>0</v>
      </c>
      <c r="N46" s="399">
        <v>11.162000000000001</v>
      </c>
      <c r="O46" s="399">
        <v>11.162000000000001</v>
      </c>
      <c r="P46" s="399">
        <v>11.162000000000001</v>
      </c>
      <c r="Q46" s="399">
        <v>11.162000000000001</v>
      </c>
      <c r="R46" s="399"/>
      <c r="S46" s="399">
        <v>753.62</v>
      </c>
      <c r="T46" s="399">
        <v>185.74</v>
      </c>
      <c r="U46" s="399"/>
      <c r="V46" s="399">
        <v>10485.136320000001</v>
      </c>
      <c r="W46" s="399">
        <v>10485.136320000001</v>
      </c>
      <c r="X46" s="399">
        <v>6262.8865800000003</v>
      </c>
      <c r="Y46" s="399">
        <v>0</v>
      </c>
      <c r="Z46" s="399">
        <v>0</v>
      </c>
      <c r="AA46" s="399">
        <v>0</v>
      </c>
      <c r="AB46" s="399">
        <v>0</v>
      </c>
      <c r="AC46" s="399">
        <v>0</v>
      </c>
      <c r="AD46" s="399">
        <v>1454.7625051754928</v>
      </c>
      <c r="AE46" s="399">
        <v>6555.1053136487426</v>
      </c>
      <c r="AF46" s="399">
        <v>2073.2777419691688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0</v>
      </c>
      <c r="AM46" s="399"/>
      <c r="AN46" s="399">
        <v>26.463621341358152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375.60687046019893</v>
      </c>
      <c r="BH46" s="399">
        <v>0</v>
      </c>
      <c r="BI46" s="399">
        <v>5.8</v>
      </c>
      <c r="BJ46" s="399">
        <v>26.3</v>
      </c>
      <c r="BK46" s="399">
        <v>1509.41</v>
      </c>
      <c r="BL46" s="399">
        <v>109</v>
      </c>
      <c r="BM46" s="399"/>
      <c r="BN46" s="399"/>
      <c r="BO46" s="399"/>
      <c r="BP46" s="399"/>
      <c r="BQ46" s="399"/>
      <c r="BR46" s="399"/>
      <c r="BS46" s="399"/>
      <c r="BT46" s="399">
        <v>626.18820000000062</v>
      </c>
      <c r="BU46" s="399"/>
      <c r="BV46" s="399">
        <v>2448.8846124293677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5635.6884</v>
      </c>
      <c r="CJ46" s="399">
        <v>-3801.0312600000007</v>
      </c>
      <c r="CK46" s="399"/>
      <c r="CL46" s="399"/>
      <c r="CM46" s="399"/>
      <c r="CN46" s="399"/>
      <c r="CO46" s="399">
        <v>-4222.2497400000002</v>
      </c>
      <c r="CP46" s="399">
        <v>0</v>
      </c>
      <c r="CQ46" s="399">
        <v>31</v>
      </c>
      <c r="CR46" s="399">
        <v>-135.29490155647409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-133.92051176915515</v>
      </c>
      <c r="DA46" s="399">
        <v>0</v>
      </c>
      <c r="DB46" s="399">
        <v>0</v>
      </c>
      <c r="DC46" s="399">
        <v>0</v>
      </c>
      <c r="DD46" s="399">
        <v>0</v>
      </c>
      <c r="DE46" s="399">
        <v>0</v>
      </c>
      <c r="DF46" s="399">
        <v>0</v>
      </c>
      <c r="DG46" s="399">
        <v>0</v>
      </c>
      <c r="DH46" s="399">
        <v>0</v>
      </c>
      <c r="DI46" s="399">
        <v>0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0</v>
      </c>
      <c r="DP46" s="399">
        <v>-1.3743897873185844</v>
      </c>
      <c r="DQ46" s="399">
        <v>0</v>
      </c>
      <c r="DR46" s="399">
        <v>0</v>
      </c>
      <c r="DS46" s="399"/>
      <c r="DT46" s="399"/>
      <c r="DU46" s="399"/>
      <c r="DV46" s="399">
        <v>6555.1053136487426</v>
      </c>
      <c r="DW46" s="399">
        <v>0</v>
      </c>
      <c r="DX46" s="399">
        <v>0</v>
      </c>
      <c r="DY46" s="399">
        <v>-4222.2497400000002</v>
      </c>
      <c r="DZ46" s="399">
        <v>0</v>
      </c>
      <c r="EA46" s="399">
        <v>0</v>
      </c>
      <c r="EB46" s="399">
        <v>0</v>
      </c>
      <c r="EC46" s="399">
        <v>-4086.9568497604982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221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2328</v>
      </c>
      <c r="D47" s="399" t="s">
        <v>1821</v>
      </c>
      <c r="E47" s="399" t="s">
        <v>889</v>
      </c>
      <c r="F47" s="399" t="s">
        <v>2334</v>
      </c>
      <c r="G47" s="399" t="s">
        <v>1239</v>
      </c>
      <c r="H47" s="399" t="s">
        <v>1239</v>
      </c>
      <c r="I47" s="399" t="s">
        <v>1239</v>
      </c>
      <c r="J47" s="399" t="s">
        <v>2326</v>
      </c>
      <c r="K47" s="786">
        <v>44470</v>
      </c>
      <c r="L47" s="399">
        <v>0</v>
      </c>
      <c r="M47" s="399">
        <v>0</v>
      </c>
      <c r="N47" s="399">
        <v>2.9910000000000001</v>
      </c>
      <c r="O47" s="399">
        <v>2.9910000000000001</v>
      </c>
      <c r="P47" s="399">
        <v>2.9910000000000001</v>
      </c>
      <c r="Q47" s="399">
        <v>2.9910000000000001</v>
      </c>
      <c r="R47" s="399"/>
      <c r="S47" s="399">
        <v>753.62</v>
      </c>
      <c r="T47" s="399">
        <v>185.74</v>
      </c>
      <c r="U47" s="399"/>
      <c r="V47" s="399">
        <v>2809.6257599999999</v>
      </c>
      <c r="W47" s="399">
        <v>2809.6257599999999</v>
      </c>
      <c r="X47" s="399">
        <v>1678.2201900000002</v>
      </c>
      <c r="Y47" s="399">
        <v>0</v>
      </c>
      <c r="Z47" s="399">
        <v>0</v>
      </c>
      <c r="AA47" s="399">
        <v>0</v>
      </c>
      <c r="AB47" s="399">
        <v>0</v>
      </c>
      <c r="AC47" s="399">
        <v>0</v>
      </c>
      <c r="AD47" s="399">
        <v>389.82213339723154</v>
      </c>
      <c r="AE47" s="399">
        <v>1756.5239198282914</v>
      </c>
      <c r="AF47" s="399">
        <v>555.56116522395484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0</v>
      </c>
      <c r="AM47" s="399"/>
      <c r="AN47" s="399">
        <v>7.0912642386671054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100.64864267572612</v>
      </c>
      <c r="BH47" s="399">
        <v>0</v>
      </c>
      <c r="BI47" s="399">
        <v>2.56</v>
      </c>
      <c r="BJ47" s="399">
        <v>10.69</v>
      </c>
      <c r="BK47" s="399">
        <v>817.01</v>
      </c>
      <c r="BL47" s="399">
        <v>40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656.20980789968098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1677.6591000000003</v>
      </c>
      <c r="CJ47" s="399">
        <v>-1131.9966600000002</v>
      </c>
      <c r="CK47" s="399"/>
      <c r="CL47" s="399"/>
      <c r="CM47" s="399"/>
      <c r="CN47" s="399"/>
      <c r="CO47" s="399">
        <v>-1131.4055699999999</v>
      </c>
      <c r="CP47" s="399">
        <v>0</v>
      </c>
      <c r="CQ47" s="399">
        <v>31</v>
      </c>
      <c r="CR47" s="399">
        <v>-36.253991269970584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-35.88570602952359</v>
      </c>
      <c r="DA47" s="399">
        <v>0</v>
      </c>
      <c r="DB47" s="399">
        <v>0</v>
      </c>
      <c r="DC47" s="399">
        <v>0</v>
      </c>
      <c r="DD47" s="399">
        <v>0</v>
      </c>
      <c r="DE47" s="399">
        <v>0</v>
      </c>
      <c r="DF47" s="399">
        <v>0</v>
      </c>
      <c r="DG47" s="399">
        <v>0</v>
      </c>
      <c r="DH47" s="399">
        <v>0</v>
      </c>
      <c r="DI47" s="399">
        <v>0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0</v>
      </c>
      <c r="DP47" s="399">
        <v>-0.36828524044704292</v>
      </c>
      <c r="DQ47" s="399">
        <v>0</v>
      </c>
      <c r="DR47" s="399">
        <v>0</v>
      </c>
      <c r="DS47" s="399"/>
      <c r="DT47" s="399"/>
      <c r="DU47" s="399"/>
      <c r="DV47" s="399">
        <v>1756.5239198282914</v>
      </c>
      <c r="DW47" s="399">
        <v>0</v>
      </c>
      <c r="DX47" s="399">
        <v>0</v>
      </c>
      <c r="DY47" s="399">
        <v>-1131.4055699999999</v>
      </c>
      <c r="DZ47" s="399">
        <v>0</v>
      </c>
      <c r="EA47" s="399">
        <v>0</v>
      </c>
      <c r="EB47" s="399">
        <v>0</v>
      </c>
      <c r="EC47" s="399">
        <v>-1095.1521176880174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221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2335</v>
      </c>
      <c r="D48" s="399" t="s">
        <v>1821</v>
      </c>
      <c r="E48" s="399" t="s">
        <v>889</v>
      </c>
      <c r="F48" s="399" t="s">
        <v>889</v>
      </c>
      <c r="G48" s="399" t="s">
        <v>1239</v>
      </c>
      <c r="H48" s="399" t="s">
        <v>1239</v>
      </c>
      <c r="I48" s="399" t="s">
        <v>893</v>
      </c>
      <c r="J48" s="399" t="s">
        <v>2326</v>
      </c>
      <c r="K48" s="786">
        <v>44470</v>
      </c>
      <c r="L48" s="399">
        <v>0</v>
      </c>
      <c r="M48" s="399">
        <v>0</v>
      </c>
      <c r="N48" s="399">
        <v>6.6000000000000003E-2</v>
      </c>
      <c r="O48" s="399">
        <v>6.6000000000000003E-2</v>
      </c>
      <c r="P48" s="399">
        <v>6.6000000000000003E-2</v>
      </c>
      <c r="Q48" s="399">
        <v>6.6000000000000003E-2</v>
      </c>
      <c r="R48" s="399"/>
      <c r="S48" s="399">
        <v>2045.69</v>
      </c>
      <c r="T48" s="399">
        <v>185.74</v>
      </c>
      <c r="U48" s="399"/>
      <c r="V48" s="399">
        <v>147.27438000000001</v>
      </c>
      <c r="W48" s="399">
        <v>147.27438000000001</v>
      </c>
      <c r="X48" s="399">
        <v>79.590720000000005</v>
      </c>
      <c r="Y48" s="399">
        <v>0</v>
      </c>
      <c r="Z48" s="399">
        <v>4.1147809618152733</v>
      </c>
      <c r="AA48" s="399">
        <v>0</v>
      </c>
      <c r="AB48" s="399">
        <v>0</v>
      </c>
      <c r="AC48" s="399">
        <v>0</v>
      </c>
      <c r="AD48" s="399">
        <v>23.235734616487999</v>
      </c>
      <c r="AE48" s="399">
        <v>104.65144261470691</v>
      </c>
      <c r="AF48" s="399">
        <v>12.259123003938823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0.63592281828648156</v>
      </c>
      <c r="AM48" s="399"/>
      <c r="AN48" s="399">
        <v>0.15647724498563323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2.2209329376790117</v>
      </c>
      <c r="BH48" s="399">
        <v>0</v>
      </c>
      <c r="BI48" s="399">
        <v>0</v>
      </c>
      <c r="BJ48" s="399">
        <v>0</v>
      </c>
      <c r="BK48" s="399">
        <v>0</v>
      </c>
      <c r="BL48" s="399">
        <v>0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14.480055941617834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84.414400000000001</v>
      </c>
      <c r="CJ48" s="399">
        <v>-62.88997999999998</v>
      </c>
      <c r="CK48" s="399"/>
      <c r="CL48" s="399"/>
      <c r="CM48" s="399"/>
      <c r="CN48" s="399"/>
      <c r="CO48" s="399">
        <v>-67.683660000000017</v>
      </c>
      <c r="CP48" s="399">
        <v>0</v>
      </c>
      <c r="CQ48" s="399">
        <v>31</v>
      </c>
      <c r="CR48" s="399">
        <v>-2.4357168673137508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-2.1390030744551041</v>
      </c>
      <c r="DA48" s="399">
        <v>0</v>
      </c>
      <c r="DB48" s="399">
        <v>0</v>
      </c>
      <c r="DC48" s="399">
        <v>0</v>
      </c>
      <c r="DD48" s="399">
        <v>0</v>
      </c>
      <c r="DE48" s="399">
        <v>0</v>
      </c>
      <c r="DF48" s="399">
        <v>0</v>
      </c>
      <c r="DG48" s="399">
        <v>0</v>
      </c>
      <c r="DH48" s="399">
        <v>0</v>
      </c>
      <c r="DI48" s="399">
        <v>-0.25449379218580681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-3.4093345417237297E-2</v>
      </c>
      <c r="DP48" s="399">
        <v>-8.1266552556017446E-3</v>
      </c>
      <c r="DQ48" s="399">
        <v>0</v>
      </c>
      <c r="DR48" s="399">
        <v>0</v>
      </c>
      <c r="DS48" s="399"/>
      <c r="DT48" s="399"/>
      <c r="DU48" s="399"/>
      <c r="DV48" s="399">
        <v>104.65144261470691</v>
      </c>
      <c r="DW48" s="399">
        <v>0</v>
      </c>
      <c r="DX48" s="399">
        <v>0</v>
      </c>
      <c r="DY48" s="399">
        <v>-67.683660000000017</v>
      </c>
      <c r="DZ48" s="399">
        <v>0</v>
      </c>
      <c r="EA48" s="399">
        <v>0</v>
      </c>
      <c r="EB48" s="399">
        <v>0</v>
      </c>
      <c r="EC48" s="399">
        <v>-65.247758772226547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221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2335</v>
      </c>
      <c r="D49" s="399" t="s">
        <v>1821</v>
      </c>
      <c r="E49" s="399" t="s">
        <v>889</v>
      </c>
      <c r="F49" s="399" t="s">
        <v>889</v>
      </c>
      <c r="G49" s="399" t="s">
        <v>1239</v>
      </c>
      <c r="H49" s="399" t="s">
        <v>1239</v>
      </c>
      <c r="I49" s="399" t="s">
        <v>2323</v>
      </c>
      <c r="J49" s="399" t="s">
        <v>2326</v>
      </c>
      <c r="K49" s="786">
        <v>44470</v>
      </c>
      <c r="L49" s="399">
        <v>0</v>
      </c>
      <c r="M49" s="399">
        <v>0</v>
      </c>
      <c r="N49" s="399">
        <v>0.76800000000000002</v>
      </c>
      <c r="O49" s="399">
        <v>0.76800000000000002</v>
      </c>
      <c r="P49" s="399">
        <v>0.76800000000000002</v>
      </c>
      <c r="Q49" s="399">
        <v>0.76800000000000002</v>
      </c>
      <c r="R49" s="399"/>
      <c r="S49" s="399">
        <v>495.6</v>
      </c>
      <c r="T49" s="399">
        <v>185.74</v>
      </c>
      <c r="U49" s="399"/>
      <c r="V49" s="399">
        <v>523.26912000000004</v>
      </c>
      <c r="W49" s="399">
        <v>523.26912000000004</v>
      </c>
      <c r="X49" s="399">
        <v>362.98752000000002</v>
      </c>
      <c r="Y49" s="399">
        <v>0</v>
      </c>
      <c r="Z49" s="399">
        <v>47.881087555668636</v>
      </c>
      <c r="AA49" s="399">
        <v>0</v>
      </c>
      <c r="AB49" s="399">
        <v>0</v>
      </c>
      <c r="AC49" s="399">
        <v>0</v>
      </c>
      <c r="AD49" s="399">
        <v>54.125347054972032</v>
      </c>
      <c r="AE49" s="399">
        <v>243.55225830980967</v>
      </c>
      <c r="AF49" s="399">
        <v>142.65161313674267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7.399829158242694</v>
      </c>
      <c r="AM49" s="399"/>
      <c r="AN49" s="399">
        <v>1.8208261234691865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25.843583274810317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168.495196411553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363.93279999999999</v>
      </c>
      <c r="CJ49" s="399">
        <v>-159.36632000000003</v>
      </c>
      <c r="CK49" s="399"/>
      <c r="CL49" s="399"/>
      <c r="CM49" s="399"/>
      <c r="CN49" s="399"/>
      <c r="CO49" s="399">
        <v>-160.28160000000003</v>
      </c>
      <c r="CP49" s="399">
        <v>0</v>
      </c>
      <c r="CQ49" s="399">
        <v>31</v>
      </c>
      <c r="CR49" s="399">
        <v>-8.4352658220010994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-4.982596232373119</v>
      </c>
      <c r="DA49" s="399">
        <v>0</v>
      </c>
      <c r="DB49" s="399">
        <v>0</v>
      </c>
      <c r="DC49" s="399">
        <v>0</v>
      </c>
      <c r="DD49" s="399">
        <v>0</v>
      </c>
      <c r="DE49" s="399">
        <v>0</v>
      </c>
      <c r="DF49" s="399">
        <v>0</v>
      </c>
      <c r="DG49" s="399">
        <v>0</v>
      </c>
      <c r="DH49" s="399">
        <v>0</v>
      </c>
      <c r="DI49" s="399">
        <v>-2.9613823090712046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-0.39672256485512492</v>
      </c>
      <c r="DP49" s="399">
        <v>-9.4564715701547453E-2</v>
      </c>
      <c r="DQ49" s="399">
        <v>0</v>
      </c>
      <c r="DR49" s="399">
        <v>0</v>
      </c>
      <c r="DS49" s="399"/>
      <c r="DT49" s="399"/>
      <c r="DU49" s="399"/>
      <c r="DV49" s="399">
        <v>243.55225830980967</v>
      </c>
      <c r="DW49" s="399">
        <v>0</v>
      </c>
      <c r="DX49" s="399">
        <v>0</v>
      </c>
      <c r="DY49" s="399">
        <v>-160.28160000000005</v>
      </c>
      <c r="DZ49" s="399">
        <v>0</v>
      </c>
      <c r="EA49" s="399">
        <v>0</v>
      </c>
      <c r="EB49" s="399">
        <v>0</v>
      </c>
      <c r="EC49" s="399">
        <v>-151.84921107237813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221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2335</v>
      </c>
      <c r="D50" s="399" t="s">
        <v>1821</v>
      </c>
      <c r="E50" s="399" t="s">
        <v>889</v>
      </c>
      <c r="F50" s="399" t="s">
        <v>889</v>
      </c>
      <c r="G50" s="399" t="s">
        <v>1239</v>
      </c>
      <c r="H50" s="399" t="s">
        <v>1239</v>
      </c>
      <c r="I50" s="399" t="s">
        <v>1239</v>
      </c>
      <c r="J50" s="399" t="s">
        <v>2326</v>
      </c>
      <c r="K50" s="786">
        <v>44470</v>
      </c>
      <c r="L50" s="399">
        <v>0</v>
      </c>
      <c r="M50" s="399">
        <v>0</v>
      </c>
      <c r="N50" s="399">
        <v>0</v>
      </c>
      <c r="O50" s="399">
        <v>0</v>
      </c>
      <c r="P50" s="399">
        <v>0</v>
      </c>
      <c r="Q50" s="399">
        <v>0</v>
      </c>
      <c r="R50" s="399"/>
      <c r="S50" s="399"/>
      <c r="T50" s="399"/>
      <c r="U50" s="399"/>
      <c r="V50" s="399"/>
      <c r="W50" s="399"/>
      <c r="X50" s="399"/>
      <c r="Y50" s="399"/>
      <c r="Z50" s="399"/>
      <c r="AA50" s="399">
        <v>0</v>
      </c>
      <c r="AB50" s="399"/>
      <c r="AC50" s="399"/>
      <c r="AD50" s="399"/>
      <c r="AE50" s="399"/>
      <c r="AF50" s="399"/>
      <c r="AG50" s="399"/>
      <c r="AH50" s="399"/>
      <c r="AI50" s="399"/>
      <c r="AJ50" s="399"/>
      <c r="AK50" s="399"/>
      <c r="AL50" s="399"/>
      <c r="AM50" s="399"/>
      <c r="AN50" s="399"/>
      <c r="AO50" s="399"/>
      <c r="AP50" s="399"/>
      <c r="AQ50" s="399"/>
      <c r="AR50" s="399"/>
      <c r="AS50" s="399"/>
      <c r="AT50" s="399"/>
      <c r="AU50" s="399"/>
      <c r="AV50" s="399"/>
      <c r="AW50" s="399"/>
      <c r="AX50" s="399"/>
      <c r="AY50" s="399"/>
      <c r="AZ50" s="399">
        <v>0</v>
      </c>
      <c r="BA50" s="399"/>
      <c r="BB50" s="399"/>
      <c r="BC50" s="399"/>
      <c r="BD50" s="399"/>
      <c r="BE50" s="399"/>
      <c r="BF50" s="399"/>
      <c r="BG50" s="399"/>
      <c r="BH50" s="399"/>
      <c r="BI50" s="399">
        <v>0.51</v>
      </c>
      <c r="BJ50" s="399">
        <v>2.19</v>
      </c>
      <c r="BK50" s="399">
        <v>158.74</v>
      </c>
      <c r="BL50" s="399">
        <v>1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/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/>
      <c r="CJ50" s="399">
        <v>-0.03</v>
      </c>
      <c r="CK50" s="399"/>
      <c r="CL50" s="399"/>
      <c r="CM50" s="399"/>
      <c r="CN50" s="399"/>
      <c r="CO50" s="399">
        <v>0</v>
      </c>
      <c r="CP50" s="399">
        <v>0</v>
      </c>
      <c r="CQ50" s="399">
        <v>31</v>
      </c>
      <c r="CR50" s="399"/>
      <c r="CS50" s="399"/>
      <c r="CT50" s="399"/>
      <c r="CU50" s="399"/>
      <c r="CV50" s="399"/>
      <c r="CW50" s="399"/>
      <c r="CX50" s="399"/>
      <c r="CY50" s="399"/>
      <c r="CZ50" s="399"/>
      <c r="DA50" s="399"/>
      <c r="DB50" s="399"/>
      <c r="DC50" s="399"/>
      <c r="DD50" s="399"/>
      <c r="DE50" s="399"/>
      <c r="DF50" s="399"/>
      <c r="DG50" s="399"/>
      <c r="DH50" s="399"/>
      <c r="DI50" s="399"/>
      <c r="DJ50" s="399"/>
      <c r="DK50" s="399">
        <v>0</v>
      </c>
      <c r="DL50" s="399"/>
      <c r="DM50" s="399"/>
      <c r="DN50" s="399"/>
      <c r="DO50" s="399"/>
      <c r="DP50" s="399"/>
      <c r="DQ50" s="399"/>
      <c r="DR50" s="399"/>
      <c r="DS50" s="399"/>
      <c r="DT50" s="399"/>
      <c r="DU50" s="399"/>
      <c r="DV50" s="399"/>
      <c r="DW50" s="399"/>
      <c r="DX50" s="399"/>
      <c r="DY50" s="399"/>
      <c r="DZ50" s="399"/>
      <c r="EA50" s="399"/>
      <c r="EB50" s="399"/>
      <c r="EC50" s="399"/>
      <c r="ED50" s="399"/>
      <c r="EE50" s="399"/>
      <c r="EF50" s="399"/>
      <c r="EG50" s="399"/>
      <c r="EH50" s="399"/>
      <c r="EI50" s="399"/>
      <c r="EJ50" s="399"/>
      <c r="EK50" s="399"/>
      <c r="EL50" s="399"/>
      <c r="EM50" s="399"/>
      <c r="EN50" s="399"/>
      <c r="EO50" s="399"/>
      <c r="EP50" s="399"/>
      <c r="EQ50" s="399"/>
      <c r="ER50" s="399"/>
      <c r="ES50" s="399"/>
      <c r="ET50" s="399"/>
      <c r="EU50" s="399"/>
      <c r="EV50" s="399">
        <v>221</v>
      </c>
      <c r="EW50" s="399"/>
      <c r="EX50" s="399"/>
      <c r="EY50" s="399"/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2335</v>
      </c>
      <c r="D51" s="399" t="s">
        <v>1821</v>
      </c>
      <c r="E51" s="399" t="s">
        <v>889</v>
      </c>
      <c r="F51" s="399" t="s">
        <v>889</v>
      </c>
      <c r="G51" s="399" t="s">
        <v>1239</v>
      </c>
      <c r="H51" s="399" t="s">
        <v>1239</v>
      </c>
      <c r="I51" s="399" t="s">
        <v>2336</v>
      </c>
      <c r="J51" s="399" t="s">
        <v>2326</v>
      </c>
      <c r="K51" s="786">
        <v>44470</v>
      </c>
      <c r="L51" s="399">
        <v>0</v>
      </c>
      <c r="M51" s="399">
        <v>0</v>
      </c>
      <c r="N51" s="399">
        <v>0.04</v>
      </c>
      <c r="O51" s="399">
        <v>0.04</v>
      </c>
      <c r="P51" s="399">
        <v>0.04</v>
      </c>
      <c r="Q51" s="399">
        <v>0.04</v>
      </c>
      <c r="R51" s="399"/>
      <c r="S51" s="399">
        <v>1270.6099999999999</v>
      </c>
      <c r="T51" s="399">
        <v>185.74</v>
      </c>
      <c r="U51" s="399"/>
      <c r="V51" s="399">
        <v>58.253999999999998</v>
      </c>
      <c r="W51" s="399">
        <v>58.253999999999998</v>
      </c>
      <c r="X51" s="399">
        <v>33.57</v>
      </c>
      <c r="Y51" s="399">
        <v>0</v>
      </c>
      <c r="Z51" s="399">
        <v>2.4938066435244077</v>
      </c>
      <c r="AA51" s="399">
        <v>0</v>
      </c>
      <c r="AB51" s="399">
        <v>0</v>
      </c>
      <c r="AC51" s="399">
        <v>0</v>
      </c>
      <c r="AD51" s="399">
        <v>8.4493588430467614</v>
      </c>
      <c r="AE51" s="399">
        <v>38.055089828914241</v>
      </c>
      <c r="AF51" s="399">
        <v>7.4297715175386809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0.38540776865847365</v>
      </c>
      <c r="AM51" s="399"/>
      <c r="AN51" s="399">
        <v>9.4834693930686789E-2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1.346019962229704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8.7757914797683849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33.57</v>
      </c>
      <c r="CJ51" s="399">
        <v>-24.713999999999992</v>
      </c>
      <c r="CK51" s="399"/>
      <c r="CL51" s="399"/>
      <c r="CM51" s="399"/>
      <c r="CN51" s="399"/>
      <c r="CO51" s="399">
        <v>-24.683999999999997</v>
      </c>
      <c r="CP51" s="399">
        <v>0</v>
      </c>
      <c r="CQ51" s="399">
        <v>31</v>
      </c>
      <c r="CR51" s="399">
        <v>-0.95764591463689541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-0.77781937351044128</v>
      </c>
      <c r="DA51" s="399">
        <v>0</v>
      </c>
      <c r="DB51" s="399">
        <v>0</v>
      </c>
      <c r="DC51" s="399">
        <v>0</v>
      </c>
      <c r="DD51" s="399">
        <v>0</v>
      </c>
      <c r="DE51" s="399">
        <v>0</v>
      </c>
      <c r="DF51" s="399">
        <v>0</v>
      </c>
      <c r="DG51" s="399">
        <v>0</v>
      </c>
      <c r="DH51" s="399">
        <v>0</v>
      </c>
      <c r="DI51" s="399">
        <v>-0.15423866193079183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-2.0662633586204404E-2</v>
      </c>
      <c r="DP51" s="399">
        <v>-4.9252456094555919E-3</v>
      </c>
      <c r="DQ51" s="399">
        <v>0</v>
      </c>
      <c r="DR51" s="399">
        <v>0</v>
      </c>
      <c r="DS51" s="399"/>
      <c r="DT51" s="399"/>
      <c r="DU51" s="399"/>
      <c r="DV51" s="399">
        <v>38.055089828914241</v>
      </c>
      <c r="DW51" s="399">
        <v>0</v>
      </c>
      <c r="DX51" s="399">
        <v>0</v>
      </c>
      <c r="DY51" s="399">
        <v>-24.683999999999997</v>
      </c>
      <c r="DZ51" s="399">
        <v>0</v>
      </c>
      <c r="EA51" s="399">
        <v>0</v>
      </c>
      <c r="EB51" s="399">
        <v>0</v>
      </c>
      <c r="EC51" s="399">
        <v>-23.7264700722192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221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2328</v>
      </c>
      <c r="D52" s="399" t="s">
        <v>1824</v>
      </c>
      <c r="E52" s="399" t="s">
        <v>890</v>
      </c>
      <c r="F52" s="399" t="s">
        <v>1239</v>
      </c>
      <c r="G52" s="399" t="s">
        <v>1239</v>
      </c>
      <c r="H52" s="399" t="s">
        <v>1239</v>
      </c>
      <c r="I52" s="399" t="s">
        <v>1239</v>
      </c>
      <c r="J52" s="399" t="s">
        <v>2326</v>
      </c>
      <c r="K52" s="786">
        <v>44470</v>
      </c>
      <c r="L52" s="399">
        <v>0</v>
      </c>
      <c r="M52" s="399">
        <v>0</v>
      </c>
      <c r="N52" s="399">
        <v>45.834000000000003</v>
      </c>
      <c r="O52" s="399">
        <v>45.834000000000003</v>
      </c>
      <c r="P52" s="399">
        <v>45.834000000000003</v>
      </c>
      <c r="Q52" s="399">
        <v>45.834000000000003</v>
      </c>
      <c r="R52" s="399"/>
      <c r="S52" s="399">
        <v>825.6</v>
      </c>
      <c r="T52" s="399">
        <v>185.74</v>
      </c>
      <c r="U52" s="399"/>
      <c r="V52" s="399">
        <v>46353.757559999998</v>
      </c>
      <c r="W52" s="399">
        <v>46353.757559999998</v>
      </c>
      <c r="X52" s="399">
        <v>28815.835800000001</v>
      </c>
      <c r="Y52" s="399">
        <v>0</v>
      </c>
      <c r="Z52" s="399">
        <v>2857.5283424824429</v>
      </c>
      <c r="AA52" s="399">
        <v>0</v>
      </c>
      <c r="AB52" s="399">
        <v>0</v>
      </c>
      <c r="AC52" s="399">
        <v>0</v>
      </c>
      <c r="AD52" s="399">
        <v>5973.6234243158515</v>
      </c>
      <c r="AE52" s="399">
        <v>26916.923216787</v>
      </c>
      <c r="AF52" s="399">
        <v>8513.403693371698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441.61949171731203</v>
      </c>
      <c r="AM52" s="399"/>
      <c r="AN52" s="399">
        <v>108.66633404047747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1542.3369737209064</v>
      </c>
      <c r="BH52" s="399">
        <v>0</v>
      </c>
      <c r="BI52" s="399">
        <v>32.619999999999997</v>
      </c>
      <c r="BJ52" s="399">
        <v>140.55000000000001</v>
      </c>
      <c r="BK52" s="399">
        <v>11718.02</v>
      </c>
      <c r="BL52" s="399">
        <v>50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10055.740667092605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28813.320999999996</v>
      </c>
      <c r="CJ52" s="399">
        <v>-17540.466560000008</v>
      </c>
      <c r="CK52" s="399"/>
      <c r="CL52" s="399"/>
      <c r="CM52" s="399"/>
      <c r="CN52" s="399"/>
      <c r="CO52" s="399">
        <v>-17537.921760000005</v>
      </c>
      <c r="CP52" s="399">
        <v>0</v>
      </c>
      <c r="CQ52" s="399">
        <v>31</v>
      </c>
      <c r="CR52" s="399">
        <v>-755.96579352292247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-549.91155137318128</v>
      </c>
      <c r="DA52" s="399">
        <v>0</v>
      </c>
      <c r="DB52" s="399">
        <v>0</v>
      </c>
      <c r="DC52" s="399">
        <v>0</v>
      </c>
      <c r="DD52" s="399">
        <v>0</v>
      </c>
      <c r="DE52" s="399">
        <v>0</v>
      </c>
      <c r="DF52" s="399">
        <v>0</v>
      </c>
      <c r="DG52" s="399">
        <v>0</v>
      </c>
      <c r="DH52" s="399">
        <v>0</v>
      </c>
      <c r="DI52" s="399">
        <v>-176.73437077339804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-23.676278694752284</v>
      </c>
      <c r="DP52" s="399">
        <v>-5.6435926815946971</v>
      </c>
      <c r="DQ52" s="399">
        <v>0</v>
      </c>
      <c r="DR52" s="399">
        <v>0</v>
      </c>
      <c r="DS52" s="399"/>
      <c r="DT52" s="399"/>
      <c r="DU52" s="399"/>
      <c r="DV52" s="399">
        <v>26916.923216787</v>
      </c>
      <c r="DW52" s="399">
        <v>0</v>
      </c>
      <c r="DX52" s="399">
        <v>0</v>
      </c>
      <c r="DY52" s="399">
        <v>-17537.921760000001</v>
      </c>
      <c r="DZ52" s="399">
        <v>0</v>
      </c>
      <c r="EA52" s="399">
        <v>0</v>
      </c>
      <c r="EB52" s="399">
        <v>0</v>
      </c>
      <c r="EC52" s="399">
        <v>-16782.0802949223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221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2330</v>
      </c>
      <c r="C53" s="399" t="s">
        <v>2328</v>
      </c>
      <c r="D53" s="399" t="s">
        <v>1824</v>
      </c>
      <c r="E53" s="399" t="s">
        <v>890</v>
      </c>
      <c r="F53" s="399" t="s">
        <v>1239</v>
      </c>
      <c r="G53" s="399" t="s">
        <v>1239</v>
      </c>
      <c r="H53" s="399" t="s">
        <v>1239</v>
      </c>
      <c r="I53" s="399" t="s">
        <v>1239</v>
      </c>
      <c r="J53" s="399" t="s">
        <v>2326</v>
      </c>
      <c r="K53" s="786">
        <v>44470</v>
      </c>
      <c r="L53" s="399">
        <v>0</v>
      </c>
      <c r="M53" s="399">
        <v>0</v>
      </c>
      <c r="N53" s="399">
        <v>3.6989999999999998</v>
      </c>
      <c r="O53" s="399">
        <v>3.6989999999999998</v>
      </c>
      <c r="P53" s="399">
        <v>3.6989999999999998</v>
      </c>
      <c r="Q53" s="399">
        <v>3.6989999999999998</v>
      </c>
      <c r="R53" s="399"/>
      <c r="S53" s="399">
        <v>825.6</v>
      </c>
      <c r="T53" s="399">
        <v>185.74</v>
      </c>
      <c r="U53" s="399"/>
      <c r="V53" s="399">
        <v>3740.9466600000001</v>
      </c>
      <c r="W53" s="399">
        <v>3740.9466600000001</v>
      </c>
      <c r="X53" s="399">
        <v>2325.5612999999998</v>
      </c>
      <c r="Y53" s="399">
        <v>0</v>
      </c>
      <c r="Z53" s="399">
        <v>230.61476935991962</v>
      </c>
      <c r="AA53" s="399">
        <v>0</v>
      </c>
      <c r="AB53" s="399">
        <v>0</v>
      </c>
      <c r="AC53" s="399">
        <v>0</v>
      </c>
      <c r="AD53" s="399">
        <v>482.09698142305564</v>
      </c>
      <c r="AE53" s="399">
        <v>2172.3109259260614</v>
      </c>
      <c r="AF53" s="399">
        <v>687.06812108438942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35.64058340669235</v>
      </c>
      <c r="AM53" s="399"/>
      <c r="AN53" s="399">
        <v>8.7698383212402611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124.47319600719187</v>
      </c>
      <c r="BH53" s="399">
        <v>0</v>
      </c>
      <c r="BI53" s="399">
        <v>2.64</v>
      </c>
      <c r="BJ53" s="399">
        <v>11.34</v>
      </c>
      <c r="BK53" s="399">
        <v>1771.36</v>
      </c>
      <c r="BL53" s="399">
        <v>2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811.54131709158128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2326.19</v>
      </c>
      <c r="CJ53" s="399">
        <v>-1414.7866600000007</v>
      </c>
      <c r="CK53" s="399"/>
      <c r="CL53" s="399"/>
      <c r="CM53" s="399"/>
      <c r="CN53" s="399"/>
      <c r="CO53" s="399">
        <v>-1415.38536</v>
      </c>
      <c r="CP53" s="399">
        <v>0</v>
      </c>
      <c r="CQ53" s="399">
        <v>31</v>
      </c>
      <c r="CR53" s="399">
        <v>-61.009675573619916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-44.380216182951472</v>
      </c>
      <c r="DA53" s="399">
        <v>0</v>
      </c>
      <c r="DB53" s="399">
        <v>0</v>
      </c>
      <c r="DC53" s="399">
        <v>0</v>
      </c>
      <c r="DD53" s="399">
        <v>0</v>
      </c>
      <c r="DE53" s="399">
        <v>0</v>
      </c>
      <c r="DF53" s="399">
        <v>0</v>
      </c>
      <c r="DG53" s="399">
        <v>0</v>
      </c>
      <c r="DH53" s="399">
        <v>0</v>
      </c>
      <c r="DI53" s="399">
        <v>-14.263220262049998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-1.9107770408842555</v>
      </c>
      <c r="DP53" s="399">
        <v>-0.45546208773440711</v>
      </c>
      <c r="DQ53" s="399">
        <v>0</v>
      </c>
      <c r="DR53" s="399">
        <v>0</v>
      </c>
      <c r="DS53" s="399"/>
      <c r="DT53" s="399"/>
      <c r="DU53" s="399"/>
      <c r="DV53" s="399">
        <v>2172.3109259260614</v>
      </c>
      <c r="DW53" s="399">
        <v>0</v>
      </c>
      <c r="DX53" s="399">
        <v>0</v>
      </c>
      <c r="DY53" s="399">
        <v>-1415.3853600000002</v>
      </c>
      <c r="DZ53" s="399">
        <v>0</v>
      </c>
      <c r="EA53" s="399">
        <v>0</v>
      </c>
      <c r="EB53" s="399">
        <v>0</v>
      </c>
      <c r="EC53" s="399">
        <v>-1354.3857182641177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221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2325</v>
      </c>
      <c r="D54" s="399" t="s">
        <v>533</v>
      </c>
      <c r="E54" s="399" t="s">
        <v>890</v>
      </c>
      <c r="F54" s="399" t="s">
        <v>1239</v>
      </c>
      <c r="G54" s="399" t="s">
        <v>1239</v>
      </c>
      <c r="H54" s="399" t="s">
        <v>1239</v>
      </c>
      <c r="I54" s="399" t="s">
        <v>893</v>
      </c>
      <c r="J54" s="399" t="s">
        <v>2326</v>
      </c>
      <c r="K54" s="786">
        <v>44470</v>
      </c>
      <c r="L54" s="399">
        <v>0</v>
      </c>
      <c r="M54" s="399">
        <v>0</v>
      </c>
      <c r="N54" s="399">
        <v>1.655</v>
      </c>
      <c r="O54" s="399">
        <v>1.655</v>
      </c>
      <c r="P54" s="399">
        <v>1.655</v>
      </c>
      <c r="Q54" s="399">
        <v>1.655</v>
      </c>
      <c r="R54" s="399"/>
      <c r="S54" s="399">
        <v>4433.21</v>
      </c>
      <c r="T54" s="399">
        <v>185.74</v>
      </c>
      <c r="U54" s="399"/>
      <c r="V54" s="399">
        <v>7644.3622500000001</v>
      </c>
      <c r="W54" s="399">
        <v>7644.3622500000001</v>
      </c>
      <c r="X54" s="399">
        <v>3989.5761000000002</v>
      </c>
      <c r="Y54" s="399">
        <v>0</v>
      </c>
      <c r="Z54" s="399">
        <v>89.767687391965353</v>
      </c>
      <c r="AA54" s="399">
        <v>0</v>
      </c>
      <c r="AB54" s="399">
        <v>0</v>
      </c>
      <c r="AC54" s="399">
        <v>0</v>
      </c>
      <c r="AD54" s="399">
        <v>1591.4860235056199</v>
      </c>
      <c r="AE54" s="399">
        <v>5616.5462859043446</v>
      </c>
      <c r="AF54" s="399">
        <v>307.40679653816289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15.946246428244347</v>
      </c>
      <c r="AM54" s="399"/>
      <c r="AN54" s="399">
        <v>1.7143837559996777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21.502047634813017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328.90884417297593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4001.6291999999999</v>
      </c>
      <c r="CJ54" s="399">
        <v>-3642.7630500000009</v>
      </c>
      <c r="CK54" s="399"/>
      <c r="CL54" s="399"/>
      <c r="CM54" s="399"/>
      <c r="CN54" s="399"/>
      <c r="CO54" s="399">
        <v>-3654.7861499999999</v>
      </c>
      <c r="CP54" s="399">
        <v>0</v>
      </c>
      <c r="CQ54" s="399">
        <v>31</v>
      </c>
      <c r="CR54" s="399">
        <v>-153.0027825734303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-146.50681604941542</v>
      </c>
      <c r="DA54" s="399">
        <v>0</v>
      </c>
      <c r="DB54" s="399">
        <v>0</v>
      </c>
      <c r="DC54" s="399">
        <v>0</v>
      </c>
      <c r="DD54" s="399">
        <v>0</v>
      </c>
      <c r="DE54" s="399">
        <v>0</v>
      </c>
      <c r="DF54" s="399">
        <v>0</v>
      </c>
      <c r="DG54" s="399">
        <v>0</v>
      </c>
      <c r="DH54" s="399">
        <v>0</v>
      </c>
      <c r="DI54" s="399">
        <v>-5.5520134345262306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-0.85491646462920734</v>
      </c>
      <c r="DP54" s="399">
        <v>-8.9036624859363478E-2</v>
      </c>
      <c r="DQ54" s="399">
        <v>0</v>
      </c>
      <c r="DR54" s="399">
        <v>0</v>
      </c>
      <c r="DS54" s="399"/>
      <c r="DT54" s="399"/>
      <c r="DU54" s="399"/>
      <c r="DV54" s="399">
        <v>5616.5462859043446</v>
      </c>
      <c r="DW54" s="399">
        <v>0</v>
      </c>
      <c r="DX54" s="399">
        <v>0</v>
      </c>
      <c r="DY54" s="399">
        <v>-3654.7861499999999</v>
      </c>
      <c r="DZ54" s="399">
        <v>0</v>
      </c>
      <c r="EA54" s="399">
        <v>0</v>
      </c>
      <c r="EB54" s="399">
        <v>0</v>
      </c>
      <c r="EC54" s="399">
        <v>-3501.7869609781283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221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956</v>
      </c>
      <c r="C55" s="399" t="s">
        <v>2325</v>
      </c>
      <c r="D55" s="399" t="s">
        <v>533</v>
      </c>
      <c r="E55" s="399" t="s">
        <v>890</v>
      </c>
      <c r="F55" s="399" t="s">
        <v>1239</v>
      </c>
      <c r="G55" s="399" t="s">
        <v>1239</v>
      </c>
      <c r="H55" s="399" t="s">
        <v>1239</v>
      </c>
      <c r="I55" s="399" t="s">
        <v>2323</v>
      </c>
      <c r="J55" s="399" t="s">
        <v>2326</v>
      </c>
      <c r="K55" s="786">
        <v>44470</v>
      </c>
      <c r="L55" s="399">
        <v>0</v>
      </c>
      <c r="M55" s="399">
        <v>0</v>
      </c>
      <c r="N55" s="399">
        <v>43.018000000000001</v>
      </c>
      <c r="O55" s="399">
        <v>43.018000000000001</v>
      </c>
      <c r="P55" s="399">
        <v>43.018000000000001</v>
      </c>
      <c r="Q55" s="399">
        <v>43.018000000000001</v>
      </c>
      <c r="R55" s="399"/>
      <c r="S55" s="399">
        <v>77.900000000000006</v>
      </c>
      <c r="T55" s="399">
        <v>185.74</v>
      </c>
      <c r="U55" s="399"/>
      <c r="V55" s="399">
        <v>11341.265520000001</v>
      </c>
      <c r="W55" s="399">
        <v>11341.265520000001</v>
      </c>
      <c r="X55" s="399">
        <v>11172.634960000001</v>
      </c>
      <c r="Y55" s="399">
        <v>0</v>
      </c>
      <c r="Z55" s="399">
        <v>2333.3089886571393</v>
      </c>
      <c r="AA55" s="399">
        <v>0</v>
      </c>
      <c r="AB55" s="399">
        <v>0</v>
      </c>
      <c r="AC55" s="399">
        <v>0</v>
      </c>
      <c r="AD55" s="399">
        <v>0</v>
      </c>
      <c r="AE55" s="399">
        <v>0</v>
      </c>
      <c r="AF55" s="399">
        <v>7990.3477785369741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414.48678480375548</v>
      </c>
      <c r="AM55" s="399"/>
      <c r="AN55" s="399">
        <v>44.561547078908845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558.89733241956878</v>
      </c>
      <c r="BH55" s="399">
        <v>0</v>
      </c>
      <c r="BI55" s="399">
        <v>0</v>
      </c>
      <c r="BJ55" s="399">
        <v>0</v>
      </c>
      <c r="BK55" s="399">
        <v>0</v>
      </c>
      <c r="BL55" s="399">
        <v>0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8549.2451109565427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11173.154400000001</v>
      </c>
      <c r="CJ55" s="399">
        <v>-168.14112000000023</v>
      </c>
      <c r="CK55" s="399"/>
      <c r="CL55" s="399"/>
      <c r="CM55" s="399"/>
      <c r="CN55" s="399"/>
      <c r="CO55" s="399">
        <v>-168.63056000000009</v>
      </c>
      <c r="CP55" s="399">
        <v>0</v>
      </c>
      <c r="CQ55" s="399">
        <v>31</v>
      </c>
      <c r="CR55" s="399">
        <v>-168.8480289607669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0</v>
      </c>
      <c r="DA55" s="399">
        <v>0</v>
      </c>
      <c r="DB55" s="399">
        <v>0</v>
      </c>
      <c r="DC55" s="399">
        <v>0</v>
      </c>
      <c r="DD55" s="399">
        <v>0</v>
      </c>
      <c r="DE55" s="399">
        <v>0</v>
      </c>
      <c r="DF55" s="399">
        <v>0</v>
      </c>
      <c r="DG55" s="399">
        <v>0</v>
      </c>
      <c r="DH55" s="399">
        <v>0</v>
      </c>
      <c r="DI55" s="399">
        <v>-144.31209300691808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-22.221629290283545</v>
      </c>
      <c r="DP55" s="399">
        <v>-2.3143066635650129</v>
      </c>
      <c r="DQ55" s="399">
        <v>0</v>
      </c>
      <c r="DR55" s="399">
        <v>0</v>
      </c>
      <c r="DS55" s="399"/>
      <c r="DT55" s="399"/>
      <c r="DU55" s="399"/>
      <c r="DV55" s="399">
        <v>0</v>
      </c>
      <c r="DW55" s="399">
        <v>0</v>
      </c>
      <c r="DX55" s="399">
        <v>0</v>
      </c>
      <c r="DY55" s="399">
        <v>-168.63056000000006</v>
      </c>
      <c r="DZ55" s="399">
        <v>0</v>
      </c>
      <c r="EA55" s="399">
        <v>0</v>
      </c>
      <c r="EB55" s="399">
        <v>0</v>
      </c>
      <c r="EC55" s="399">
        <v>0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221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2325</v>
      </c>
      <c r="D56" s="399" t="s">
        <v>533</v>
      </c>
      <c r="E56" s="399" t="s">
        <v>890</v>
      </c>
      <c r="F56" s="399" t="s">
        <v>1239</v>
      </c>
      <c r="G56" s="399" t="s">
        <v>1239</v>
      </c>
      <c r="H56" s="399" t="s">
        <v>1239</v>
      </c>
      <c r="I56" s="399" t="s">
        <v>1239</v>
      </c>
      <c r="J56" s="399" t="s">
        <v>2326</v>
      </c>
      <c r="K56" s="786">
        <v>44470</v>
      </c>
      <c r="L56" s="399">
        <v>320</v>
      </c>
      <c r="M56" s="399">
        <v>320</v>
      </c>
      <c r="N56" s="399">
        <v>0</v>
      </c>
      <c r="O56" s="399">
        <v>0</v>
      </c>
      <c r="P56" s="399">
        <v>0</v>
      </c>
      <c r="Q56" s="399">
        <v>0</v>
      </c>
      <c r="R56" s="399">
        <v>55.59</v>
      </c>
      <c r="S56" s="399"/>
      <c r="T56" s="399"/>
      <c r="U56" s="399">
        <v>17788.800000000003</v>
      </c>
      <c r="V56" s="399"/>
      <c r="W56" s="399">
        <v>17788.800000000003</v>
      </c>
      <c r="X56" s="399">
        <v>9443.2000000000007</v>
      </c>
      <c r="Y56" s="399">
        <v>0</v>
      </c>
      <c r="Z56" s="399">
        <v>0</v>
      </c>
      <c r="AA56" s="399">
        <v>0</v>
      </c>
      <c r="AB56" s="399">
        <v>0</v>
      </c>
      <c r="AC56" s="399">
        <v>0</v>
      </c>
      <c r="AD56" s="399">
        <v>5169.494664888256</v>
      </c>
      <c r="AE56" s="399">
        <v>12617.831403700384</v>
      </c>
      <c r="AF56" s="399"/>
      <c r="AG56" s="399"/>
      <c r="AH56" s="399"/>
      <c r="AI56" s="399">
        <v>0</v>
      </c>
      <c r="AJ56" s="399">
        <v>0</v>
      </c>
      <c r="AK56" s="399">
        <v>0</v>
      </c>
      <c r="AL56" s="399">
        <v>0</v>
      </c>
      <c r="AM56" s="399"/>
      <c r="AN56" s="399">
        <v>0</v>
      </c>
      <c r="AO56" s="399">
        <v>0</v>
      </c>
      <c r="AP56" s="399">
        <v>0</v>
      </c>
      <c r="AQ56" s="399">
        <v>0</v>
      </c>
      <c r="AR56" s="399">
        <v>0</v>
      </c>
      <c r="AS56" s="399"/>
      <c r="AT56" s="399"/>
      <c r="AU56" s="399">
        <v>0</v>
      </c>
      <c r="AV56" s="399">
        <v>0</v>
      </c>
      <c r="AW56" s="399">
        <v>0</v>
      </c>
      <c r="AX56" s="399"/>
      <c r="AY56" s="399"/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/>
      <c r="BG56" s="399">
        <v>0</v>
      </c>
      <c r="BH56" s="399">
        <v>0</v>
      </c>
      <c r="BI56" s="399">
        <v>28.6</v>
      </c>
      <c r="BJ56" s="399">
        <v>122.6</v>
      </c>
      <c r="BK56" s="399">
        <v>9774.27</v>
      </c>
      <c r="BL56" s="399">
        <v>5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0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9443.2000000000007</v>
      </c>
      <c r="CJ56" s="399">
        <v>-8345.6299999999974</v>
      </c>
      <c r="CK56" s="399"/>
      <c r="CL56" s="399"/>
      <c r="CM56" s="399"/>
      <c r="CN56" s="399"/>
      <c r="CO56" s="399">
        <v>-8345.6</v>
      </c>
      <c r="CP56" s="399">
        <v>0</v>
      </c>
      <c r="CQ56" s="399">
        <v>31</v>
      </c>
      <c r="CR56" s="399">
        <v>-475.88617980380786</v>
      </c>
      <c r="CS56" s="399">
        <v>0</v>
      </c>
      <c r="CT56" s="399">
        <v>0</v>
      </c>
      <c r="CU56" s="399">
        <v>0</v>
      </c>
      <c r="CV56" s="399">
        <v>0</v>
      </c>
      <c r="CW56" s="399"/>
      <c r="CX56" s="399"/>
      <c r="CY56" s="399"/>
      <c r="CZ56" s="399">
        <v>-475.88617980380786</v>
      </c>
      <c r="DA56" s="399">
        <v>0</v>
      </c>
      <c r="DB56" s="399">
        <v>0</v>
      </c>
      <c r="DC56" s="399"/>
      <c r="DD56" s="399"/>
      <c r="DE56" s="399">
        <v>0</v>
      </c>
      <c r="DF56" s="399">
        <v>0</v>
      </c>
      <c r="DG56" s="399">
        <v>0</v>
      </c>
      <c r="DH56" s="399">
        <v>0</v>
      </c>
      <c r="DI56" s="399">
        <v>0</v>
      </c>
      <c r="DJ56" s="399"/>
      <c r="DK56" s="399">
        <v>0</v>
      </c>
      <c r="DL56" s="399">
        <v>0</v>
      </c>
      <c r="DM56" s="399"/>
      <c r="DN56" s="399">
        <v>0</v>
      </c>
      <c r="DO56" s="399">
        <v>0</v>
      </c>
      <c r="DP56" s="399">
        <v>0</v>
      </c>
      <c r="DQ56" s="399">
        <v>0</v>
      </c>
      <c r="DR56" s="399">
        <v>0</v>
      </c>
      <c r="DS56" s="399"/>
      <c r="DT56" s="399"/>
      <c r="DU56" s="399">
        <v>12617.831403700384</v>
      </c>
      <c r="DV56" s="399"/>
      <c r="DW56" s="399">
        <v>0</v>
      </c>
      <c r="DX56" s="399">
        <v>0</v>
      </c>
      <c r="DY56" s="399">
        <v>-8345.6000000000022</v>
      </c>
      <c r="DZ56" s="399"/>
      <c r="EA56" s="399">
        <v>0</v>
      </c>
      <c r="EB56" s="399"/>
      <c r="EC56" s="399">
        <v>-7866.9266193332796</v>
      </c>
      <c r="ED56" s="399"/>
      <c r="EE56" s="399">
        <v>0</v>
      </c>
      <c r="EF56" s="399">
        <v>0</v>
      </c>
      <c r="EG56" s="399"/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/>
      <c r="EN56" s="399"/>
      <c r="EO56" s="399">
        <v>0</v>
      </c>
      <c r="EP56" s="399">
        <v>0</v>
      </c>
      <c r="EQ56" s="399"/>
      <c r="ER56" s="399">
        <v>0</v>
      </c>
      <c r="ES56" s="399"/>
      <c r="ET56" s="399">
        <v>0</v>
      </c>
      <c r="EU56" s="399"/>
      <c r="EV56" s="399">
        <v>221</v>
      </c>
      <c r="EW56" s="399"/>
      <c r="EX56" s="399"/>
      <c r="EY56" s="399"/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2328</v>
      </c>
      <c r="D57" s="399" t="s">
        <v>1824</v>
      </c>
      <c r="E57" s="399" t="s">
        <v>918</v>
      </c>
      <c r="F57" s="399" t="s">
        <v>1239</v>
      </c>
      <c r="G57" s="399" t="s">
        <v>1239</v>
      </c>
      <c r="H57" s="399" t="s">
        <v>1239</v>
      </c>
      <c r="I57" s="399" t="s">
        <v>1239</v>
      </c>
      <c r="J57" s="399" t="s">
        <v>2326</v>
      </c>
      <c r="K57" s="786">
        <v>44470</v>
      </c>
      <c r="L57" s="399">
        <v>0</v>
      </c>
      <c r="M57" s="399">
        <v>0</v>
      </c>
      <c r="N57" s="399">
        <v>148.98599999999999</v>
      </c>
      <c r="O57" s="399">
        <v>148.98599999999999</v>
      </c>
      <c r="P57" s="399">
        <v>148.98599999999999</v>
      </c>
      <c r="Q57" s="399">
        <v>148.98599999999999</v>
      </c>
      <c r="R57" s="399"/>
      <c r="S57" s="399">
        <v>825.6</v>
      </c>
      <c r="T57" s="399">
        <v>185.74</v>
      </c>
      <c r="U57" s="399"/>
      <c r="V57" s="399">
        <v>150675.50124000001</v>
      </c>
      <c r="W57" s="399">
        <v>150675.50124000001</v>
      </c>
      <c r="X57" s="399">
        <v>93667.498199999987</v>
      </c>
      <c r="Y57" s="399">
        <v>0</v>
      </c>
      <c r="Z57" s="399">
        <v>9288.5569148031846</v>
      </c>
      <c r="AA57" s="399">
        <v>0</v>
      </c>
      <c r="AB57" s="399">
        <v>0</v>
      </c>
      <c r="AC57" s="399">
        <v>0</v>
      </c>
      <c r="AD57" s="399">
        <v>19417.599587535919</v>
      </c>
      <c r="AE57" s="399">
        <v>87494.975834014651</v>
      </c>
      <c r="AF57" s="399">
        <v>27673.298482800445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1435.5090455337836</v>
      </c>
      <c r="AM57" s="399"/>
      <c r="AN57" s="399">
        <v>353.22604274893251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5013.4532523188664</v>
      </c>
      <c r="BH57" s="399">
        <v>0</v>
      </c>
      <c r="BI57" s="399">
        <v>103.96</v>
      </c>
      <c r="BJ57" s="399">
        <v>451.61</v>
      </c>
      <c r="BK57" s="399">
        <v>36626.11</v>
      </c>
      <c r="BL57" s="399">
        <v>364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32686.751735119309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93670.013000000006</v>
      </c>
      <c r="CJ57" s="399">
        <v>-57005.518239999976</v>
      </c>
      <c r="CK57" s="399"/>
      <c r="CL57" s="399"/>
      <c r="CM57" s="399"/>
      <c r="CN57" s="399"/>
      <c r="CO57" s="399">
        <v>-57008.003040000003</v>
      </c>
      <c r="CP57" s="399">
        <v>0</v>
      </c>
      <c r="CQ57" s="399">
        <v>31</v>
      </c>
      <c r="CR57" s="399">
        <v>-2457.3094147097363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-1787.5184883031106</v>
      </c>
      <c r="DA57" s="399">
        <v>0</v>
      </c>
      <c r="DB57" s="399">
        <v>0</v>
      </c>
      <c r="DC57" s="399">
        <v>0</v>
      </c>
      <c r="DD57" s="399">
        <v>0</v>
      </c>
      <c r="DE57" s="399">
        <v>0</v>
      </c>
      <c r="DF57" s="399">
        <v>0</v>
      </c>
      <c r="DG57" s="399">
        <v>0</v>
      </c>
      <c r="DH57" s="399">
        <v>0</v>
      </c>
      <c r="DI57" s="399">
        <v>-574.48503216052268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-76.961078186856184</v>
      </c>
      <c r="DP57" s="399">
        <v>-18.34481605925879</v>
      </c>
      <c r="DQ57" s="399">
        <v>0</v>
      </c>
      <c r="DR57" s="399">
        <v>0</v>
      </c>
      <c r="DS57" s="399"/>
      <c r="DT57" s="399"/>
      <c r="DU57" s="399"/>
      <c r="DV57" s="399">
        <v>87494.975834014651</v>
      </c>
      <c r="DW57" s="399">
        <v>0</v>
      </c>
      <c r="DX57" s="399">
        <v>0</v>
      </c>
      <c r="DY57" s="399">
        <v>-57008.003040000011</v>
      </c>
      <c r="DZ57" s="399">
        <v>0</v>
      </c>
      <c r="EA57" s="399">
        <v>0</v>
      </c>
      <c r="EB57" s="399">
        <v>0</v>
      </c>
      <c r="EC57" s="399">
        <v>-54551.097761908051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221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2329</v>
      </c>
      <c r="C58" s="399" t="s">
        <v>2328</v>
      </c>
      <c r="D58" s="399" t="s">
        <v>1824</v>
      </c>
      <c r="E58" s="399" t="s">
        <v>918</v>
      </c>
      <c r="F58" s="399" t="s">
        <v>1239</v>
      </c>
      <c r="G58" s="399" t="s">
        <v>1239</v>
      </c>
      <c r="H58" s="399" t="s">
        <v>1239</v>
      </c>
      <c r="I58" s="399" t="s">
        <v>1239</v>
      </c>
      <c r="J58" s="399" t="s">
        <v>2326</v>
      </c>
      <c r="K58" s="786">
        <v>44470</v>
      </c>
      <c r="L58" s="399">
        <v>0</v>
      </c>
      <c r="M58" s="399">
        <v>0</v>
      </c>
      <c r="N58" s="399">
        <v>-4.0990000000000002</v>
      </c>
      <c r="O58" s="399">
        <v>-4.0990000000000002</v>
      </c>
      <c r="P58" s="399">
        <v>-4.0990000000000002</v>
      </c>
      <c r="Q58" s="399">
        <v>-4.0990000000000002</v>
      </c>
      <c r="R58" s="399"/>
      <c r="S58" s="399">
        <v>825.6</v>
      </c>
      <c r="T58" s="399">
        <v>185.74</v>
      </c>
      <c r="U58" s="399"/>
      <c r="V58" s="399">
        <v>-4145.4826600000006</v>
      </c>
      <c r="W58" s="399">
        <v>-4145.4826600000006</v>
      </c>
      <c r="X58" s="399">
        <v>-2577.0413000000003</v>
      </c>
      <c r="Y58" s="399">
        <v>0</v>
      </c>
      <c r="Z58" s="399">
        <v>-255.5528357951637</v>
      </c>
      <c r="AA58" s="399">
        <v>0</v>
      </c>
      <c r="AB58" s="399">
        <v>0</v>
      </c>
      <c r="AC58" s="399">
        <v>0</v>
      </c>
      <c r="AD58" s="399">
        <v>-534.22966392352134</v>
      </c>
      <c r="AE58" s="399">
        <v>-2407.2188389756493</v>
      </c>
      <c r="AF58" s="399">
        <v>-761.3658362597763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-39.494661093277088</v>
      </c>
      <c r="AM58" s="399"/>
      <c r="AN58" s="399">
        <v>-9.7181852605471288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-137.93339562948893</v>
      </c>
      <c r="BH58" s="399">
        <v>0</v>
      </c>
      <c r="BI58" s="399">
        <v>-2.2200000000000002</v>
      </c>
      <c r="BJ58" s="399">
        <v>-11.08</v>
      </c>
      <c r="BK58" s="399">
        <v>-923.66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-899.29923188926523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-2577.6699999999996</v>
      </c>
      <c r="CJ58" s="399">
        <v>1567.7826600000003</v>
      </c>
      <c r="CK58" s="399"/>
      <c r="CL58" s="399"/>
      <c r="CM58" s="399"/>
      <c r="CN58" s="399"/>
      <c r="CO58" s="399">
        <v>1568.4413600000003</v>
      </c>
      <c r="CP58" s="399">
        <v>0</v>
      </c>
      <c r="CQ58" s="399">
        <v>31</v>
      </c>
      <c r="CR58" s="399">
        <v>67.607099263657346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49.179374461724365</v>
      </c>
      <c r="DA58" s="399">
        <v>0</v>
      </c>
      <c r="DB58" s="399">
        <v>0</v>
      </c>
      <c r="DC58" s="399">
        <v>0</v>
      </c>
      <c r="DD58" s="399">
        <v>0</v>
      </c>
      <c r="DE58" s="399">
        <v>0</v>
      </c>
      <c r="DF58" s="399">
        <v>0</v>
      </c>
      <c r="DG58" s="399">
        <v>0</v>
      </c>
      <c r="DH58" s="399">
        <v>0</v>
      </c>
      <c r="DI58" s="399">
        <v>15.805606881357903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2.1174033767462959</v>
      </c>
      <c r="DP58" s="399">
        <v>0.50471454382896219</v>
      </c>
      <c r="DQ58" s="399">
        <v>0</v>
      </c>
      <c r="DR58" s="399">
        <v>0</v>
      </c>
      <c r="DS58" s="399"/>
      <c r="DT58" s="399"/>
      <c r="DU58" s="399"/>
      <c r="DV58" s="399">
        <v>-2407.2188389756493</v>
      </c>
      <c r="DW58" s="399">
        <v>0</v>
      </c>
      <c r="DX58" s="399">
        <v>0</v>
      </c>
      <c r="DY58" s="399">
        <v>1568.4413600000003</v>
      </c>
      <c r="DZ58" s="399">
        <v>0</v>
      </c>
      <c r="EA58" s="399">
        <v>0</v>
      </c>
      <c r="EB58" s="399">
        <v>0</v>
      </c>
      <c r="EC58" s="399">
        <v>1500.8453796065478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221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2330</v>
      </c>
      <c r="C59" s="399" t="s">
        <v>2328</v>
      </c>
      <c r="D59" s="399" t="s">
        <v>1824</v>
      </c>
      <c r="E59" s="399" t="s">
        <v>918</v>
      </c>
      <c r="F59" s="399" t="s">
        <v>1239</v>
      </c>
      <c r="G59" s="399" t="s">
        <v>1239</v>
      </c>
      <c r="H59" s="399" t="s">
        <v>1239</v>
      </c>
      <c r="I59" s="399" t="s">
        <v>1239</v>
      </c>
      <c r="J59" s="399" t="s">
        <v>2326</v>
      </c>
      <c r="K59" s="786">
        <v>44470</v>
      </c>
      <c r="L59" s="399">
        <v>0</v>
      </c>
      <c r="M59" s="399">
        <v>0</v>
      </c>
      <c r="N59" s="399">
        <v>7.1440000000000001</v>
      </c>
      <c r="O59" s="399">
        <v>7.1440000000000001</v>
      </c>
      <c r="P59" s="399">
        <v>7.1440000000000001</v>
      </c>
      <c r="Q59" s="399">
        <v>7.1440000000000001</v>
      </c>
      <c r="R59" s="399"/>
      <c r="S59" s="399">
        <v>825.6</v>
      </c>
      <c r="T59" s="399">
        <v>185.74</v>
      </c>
      <c r="U59" s="399"/>
      <c r="V59" s="399">
        <v>7225.01296</v>
      </c>
      <c r="W59" s="399">
        <v>7225.01296</v>
      </c>
      <c r="X59" s="399">
        <v>4491.4327999999996</v>
      </c>
      <c r="Y59" s="399">
        <v>0</v>
      </c>
      <c r="Z59" s="399">
        <v>445.39386653345923</v>
      </c>
      <c r="AA59" s="399">
        <v>0</v>
      </c>
      <c r="AB59" s="399">
        <v>0</v>
      </c>
      <c r="AC59" s="399">
        <v>0</v>
      </c>
      <c r="AD59" s="399">
        <v>931.08970945831572</v>
      </c>
      <c r="AE59" s="399">
        <v>4195.4553270656352</v>
      </c>
      <c r="AF59" s="399">
        <v>1326.9571930324084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68.833827482403393</v>
      </c>
      <c r="AM59" s="399"/>
      <c r="AN59" s="399">
        <v>16.937476336020662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240.39916525422512</v>
      </c>
      <c r="BH59" s="399">
        <v>0</v>
      </c>
      <c r="BI59" s="399">
        <v>4.9400000000000004</v>
      </c>
      <c r="BJ59" s="399">
        <v>21.33</v>
      </c>
      <c r="BK59" s="399">
        <v>3043.16</v>
      </c>
      <c r="BL59" s="399">
        <v>10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1567.3563582866336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4488.9179999999997</v>
      </c>
      <c r="CJ59" s="399">
        <v>-2736.124960000001</v>
      </c>
      <c r="CK59" s="399"/>
      <c r="CL59" s="399"/>
      <c r="CM59" s="399"/>
      <c r="CN59" s="399"/>
      <c r="CO59" s="399">
        <v>-2733.5801600000004</v>
      </c>
      <c r="CP59" s="399">
        <v>0</v>
      </c>
      <c r="CQ59" s="399">
        <v>31</v>
      </c>
      <c r="CR59" s="399">
        <v>-117.82998710406628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-85.712966858882282</v>
      </c>
      <c r="DA59" s="399">
        <v>0</v>
      </c>
      <c r="DB59" s="399">
        <v>0</v>
      </c>
      <c r="DC59" s="399">
        <v>0</v>
      </c>
      <c r="DD59" s="399">
        <v>0</v>
      </c>
      <c r="DE59" s="399">
        <v>0</v>
      </c>
      <c r="DF59" s="399">
        <v>0</v>
      </c>
      <c r="DG59" s="399">
        <v>0</v>
      </c>
      <c r="DH59" s="399">
        <v>0</v>
      </c>
      <c r="DI59" s="399">
        <v>-27.547025020839385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-3.6903463584961003</v>
      </c>
      <c r="DP59" s="399">
        <v>-0.87964886584877178</v>
      </c>
      <c r="DQ59" s="399">
        <v>0</v>
      </c>
      <c r="DR59" s="399">
        <v>0</v>
      </c>
      <c r="DS59" s="399"/>
      <c r="DT59" s="399"/>
      <c r="DU59" s="399"/>
      <c r="DV59" s="399">
        <v>4195.4553270656352</v>
      </c>
      <c r="DW59" s="399">
        <v>0</v>
      </c>
      <c r="DX59" s="399">
        <v>0</v>
      </c>
      <c r="DY59" s="399">
        <v>-2733.5801600000004</v>
      </c>
      <c r="DZ59" s="399">
        <v>0</v>
      </c>
      <c r="EA59" s="399">
        <v>0</v>
      </c>
      <c r="EB59" s="399">
        <v>0</v>
      </c>
      <c r="EC59" s="399">
        <v>-2615.7695515757932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221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2330</v>
      </c>
      <c r="C60" s="399" t="s">
        <v>2328</v>
      </c>
      <c r="D60" s="399" t="s">
        <v>1824</v>
      </c>
      <c r="E60" s="399" t="s">
        <v>918</v>
      </c>
      <c r="F60" s="399" t="s">
        <v>1239</v>
      </c>
      <c r="G60" s="399" t="s">
        <v>1239</v>
      </c>
      <c r="H60" s="399" t="s">
        <v>1239</v>
      </c>
      <c r="I60" s="399" t="s">
        <v>1239</v>
      </c>
      <c r="J60" s="399" t="s">
        <v>2326</v>
      </c>
      <c r="K60" s="786">
        <v>44470</v>
      </c>
      <c r="L60" s="399">
        <v>0</v>
      </c>
      <c r="M60" s="399">
        <v>0</v>
      </c>
      <c r="N60" s="399">
        <v>-0.90400000000000003</v>
      </c>
      <c r="O60" s="399">
        <v>-0.90400000000000003</v>
      </c>
      <c r="P60" s="399">
        <v>-0.90400000000000003</v>
      </c>
      <c r="Q60" s="399">
        <v>-0.90400000000000003</v>
      </c>
      <c r="R60" s="399"/>
      <c r="S60" s="399">
        <v>825.6</v>
      </c>
      <c r="T60" s="399">
        <v>185.74</v>
      </c>
      <c r="U60" s="399"/>
      <c r="V60" s="399">
        <v>-914.25135999999998</v>
      </c>
      <c r="W60" s="399">
        <v>-914.25135999999998</v>
      </c>
      <c r="X60" s="399">
        <v>-568.34479999999996</v>
      </c>
      <c r="Y60" s="399">
        <v>0</v>
      </c>
      <c r="Z60" s="399">
        <v>-56.36003014365162</v>
      </c>
      <c r="AA60" s="399">
        <v>0</v>
      </c>
      <c r="AB60" s="399">
        <v>0</v>
      </c>
      <c r="AC60" s="399">
        <v>0</v>
      </c>
      <c r="AD60" s="399">
        <v>-117.81986245105226</v>
      </c>
      <c r="AE60" s="399">
        <v>-530.89188349206802</v>
      </c>
      <c r="AF60" s="399">
        <v>-167.91283629637419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-8.7102155716815037</v>
      </c>
      <c r="AM60" s="399"/>
      <c r="AN60" s="399">
        <v>-2.1432640828335217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-30.420051146391312</v>
      </c>
      <c r="BH60" s="399">
        <v>0</v>
      </c>
      <c r="BI60" s="399">
        <v>-0.55000000000000004</v>
      </c>
      <c r="BJ60" s="399">
        <v>-2.79</v>
      </c>
      <c r="BK60" s="399">
        <v>-231.33</v>
      </c>
      <c r="BL60" s="399">
        <v>1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-198.3328874427655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-565.83000000000004</v>
      </c>
      <c r="CJ60" s="399">
        <v>348.39135999999996</v>
      </c>
      <c r="CK60" s="399"/>
      <c r="CL60" s="399"/>
      <c r="CM60" s="399"/>
      <c r="CN60" s="399"/>
      <c r="CO60" s="399">
        <v>345.90656000000007</v>
      </c>
      <c r="CP60" s="399">
        <v>0</v>
      </c>
      <c r="CQ60" s="399">
        <v>31</v>
      </c>
      <c r="CR60" s="399">
        <v>14.910177539484323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10.846097710026527</v>
      </c>
      <c r="DA60" s="399">
        <v>0</v>
      </c>
      <c r="DB60" s="399">
        <v>0</v>
      </c>
      <c r="DC60" s="399">
        <v>0</v>
      </c>
      <c r="DD60" s="399">
        <v>0</v>
      </c>
      <c r="DE60" s="399">
        <v>0</v>
      </c>
      <c r="DF60" s="399">
        <v>0</v>
      </c>
      <c r="DG60" s="399">
        <v>0</v>
      </c>
      <c r="DH60" s="399">
        <v>0</v>
      </c>
      <c r="DI60" s="399">
        <v>3.4857937596358965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0.46697551904821921</v>
      </c>
      <c r="DP60" s="399">
        <v>0.11131055077369645</v>
      </c>
      <c r="DQ60" s="399">
        <v>0</v>
      </c>
      <c r="DR60" s="399">
        <v>0</v>
      </c>
      <c r="DS60" s="399"/>
      <c r="DT60" s="399"/>
      <c r="DU60" s="399"/>
      <c r="DV60" s="399">
        <v>-530.89188349206802</v>
      </c>
      <c r="DW60" s="399">
        <v>0</v>
      </c>
      <c r="DX60" s="399">
        <v>0</v>
      </c>
      <c r="DY60" s="399">
        <v>345.90656000000001</v>
      </c>
      <c r="DZ60" s="399">
        <v>0</v>
      </c>
      <c r="EA60" s="399">
        <v>0</v>
      </c>
      <c r="EB60" s="399">
        <v>0</v>
      </c>
      <c r="EC60" s="399">
        <v>330.99883463389097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221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2577</v>
      </c>
      <c r="D61" s="399" t="s">
        <v>533</v>
      </c>
      <c r="E61" s="399" t="s">
        <v>918</v>
      </c>
      <c r="F61" s="399" t="s">
        <v>1239</v>
      </c>
      <c r="G61" s="399" t="s">
        <v>1239</v>
      </c>
      <c r="H61" s="399" t="s">
        <v>1239</v>
      </c>
      <c r="I61" s="399" t="s">
        <v>893</v>
      </c>
      <c r="J61" s="399" t="s">
        <v>2326</v>
      </c>
      <c r="K61" s="786">
        <v>44470</v>
      </c>
      <c r="L61" s="399">
        <v>533</v>
      </c>
      <c r="M61" s="399">
        <v>533</v>
      </c>
      <c r="N61" s="399">
        <v>28.974</v>
      </c>
      <c r="O61" s="399">
        <v>28.974</v>
      </c>
      <c r="P61" s="399">
        <v>28.974</v>
      </c>
      <c r="Q61" s="399">
        <v>28.974</v>
      </c>
      <c r="R61" s="399">
        <v>181.08</v>
      </c>
      <c r="S61" s="399">
        <v>77.900000000000006</v>
      </c>
      <c r="T61" s="399">
        <v>185.74</v>
      </c>
      <c r="U61" s="399">
        <v>96515.64</v>
      </c>
      <c r="V61" s="399">
        <v>7638.7053599999999</v>
      </c>
      <c r="W61" s="399">
        <v>104154.34536000001</v>
      </c>
      <c r="X61" s="399">
        <v>55185.987280000001</v>
      </c>
      <c r="Y61" s="399">
        <v>0</v>
      </c>
      <c r="Z61" s="399">
        <v>1571.5582927461051</v>
      </c>
      <c r="AA61" s="399">
        <v>0</v>
      </c>
      <c r="AB61" s="399">
        <v>0</v>
      </c>
      <c r="AC61" s="399">
        <v>0</v>
      </c>
      <c r="AD61" s="399">
        <v>21303.166762598841</v>
      </c>
      <c r="AE61" s="399">
        <v>75211.310115191183</v>
      </c>
      <c r="AF61" s="399">
        <v>5381.7549987291432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279.17011722776539</v>
      </c>
      <c r="AM61" s="399"/>
      <c r="AN61" s="399">
        <v>30.013628366365356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376.43524360789866</v>
      </c>
      <c r="BH61" s="399">
        <v>0</v>
      </c>
      <c r="BI61" s="399">
        <v>0</v>
      </c>
      <c r="BJ61" s="399">
        <v>0</v>
      </c>
      <c r="BK61" s="399">
        <v>0</v>
      </c>
      <c r="BL61" s="399">
        <v>0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5758.190242337042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55184.948399999994</v>
      </c>
      <c r="CJ61" s="399">
        <v>-48969.426959999997</v>
      </c>
      <c r="CK61" s="399"/>
      <c r="CL61" s="399"/>
      <c r="CM61" s="399"/>
      <c r="CN61" s="399"/>
      <c r="CO61" s="399">
        <v>-48968.358080000005</v>
      </c>
      <c r="CP61" s="399">
        <v>0</v>
      </c>
      <c r="CQ61" s="399">
        <v>31</v>
      </c>
      <c r="CR61" s="399">
        <v>-2074.8219719890476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-1961.0974196828174</v>
      </c>
      <c r="DA61" s="399">
        <v>0</v>
      </c>
      <c r="DB61" s="399">
        <v>0</v>
      </c>
      <c r="DC61" s="399">
        <v>0</v>
      </c>
      <c r="DD61" s="399">
        <v>0</v>
      </c>
      <c r="DE61" s="399">
        <v>0</v>
      </c>
      <c r="DF61" s="399">
        <v>0</v>
      </c>
      <c r="DG61" s="399">
        <v>0</v>
      </c>
      <c r="DH61" s="399">
        <v>0</v>
      </c>
      <c r="DI61" s="399">
        <v>-97.198814049524344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-14.966978638167177</v>
      </c>
      <c r="DP61" s="399">
        <v>-1.5587596185348644</v>
      </c>
      <c r="DQ61" s="399">
        <v>0</v>
      </c>
      <c r="DR61" s="399">
        <v>0</v>
      </c>
      <c r="DS61" s="399"/>
      <c r="DT61" s="399"/>
      <c r="DU61" s="399">
        <v>75211.310115191183</v>
      </c>
      <c r="DV61" s="399">
        <v>0</v>
      </c>
      <c r="DW61" s="399">
        <v>0</v>
      </c>
      <c r="DX61" s="399">
        <v>0</v>
      </c>
      <c r="DY61" s="399">
        <v>-48968.358080000005</v>
      </c>
      <c r="DZ61" s="399">
        <v>0</v>
      </c>
      <c r="EA61" s="399">
        <v>0</v>
      </c>
      <c r="EB61" s="399">
        <v>0</v>
      </c>
      <c r="EC61" s="399">
        <v>-46892.515733457098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221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2577</v>
      </c>
      <c r="D62" s="399" t="s">
        <v>533</v>
      </c>
      <c r="E62" s="399" t="s">
        <v>918</v>
      </c>
      <c r="F62" s="399" t="s">
        <v>1239</v>
      </c>
      <c r="G62" s="399" t="s">
        <v>1239</v>
      </c>
      <c r="H62" s="399" t="s">
        <v>1239</v>
      </c>
      <c r="I62" s="399" t="s">
        <v>2323</v>
      </c>
      <c r="J62" s="399" t="s">
        <v>2326</v>
      </c>
      <c r="K62" s="786">
        <v>44470</v>
      </c>
      <c r="L62" s="399">
        <v>541</v>
      </c>
      <c r="M62" s="399">
        <v>541</v>
      </c>
      <c r="N62" s="399">
        <v>313.89100000000002</v>
      </c>
      <c r="O62" s="399">
        <v>313.89100000000002</v>
      </c>
      <c r="P62" s="399">
        <v>313.89100000000002</v>
      </c>
      <c r="Q62" s="399">
        <v>313.89100000000002</v>
      </c>
      <c r="R62" s="399">
        <v>55.59</v>
      </c>
      <c r="S62" s="399">
        <v>77.900000000000006</v>
      </c>
      <c r="T62" s="399">
        <v>185.74</v>
      </c>
      <c r="U62" s="399">
        <v>30074.190000000002</v>
      </c>
      <c r="V62" s="399">
        <v>82754.223240000007</v>
      </c>
      <c r="W62" s="399">
        <v>112828.41324000002</v>
      </c>
      <c r="X62" s="399">
        <v>97488.680520000009</v>
      </c>
      <c r="Y62" s="399">
        <v>0</v>
      </c>
      <c r="Z62" s="399">
        <v>17025.540279849785</v>
      </c>
      <c r="AA62" s="399">
        <v>0</v>
      </c>
      <c r="AB62" s="399">
        <v>0</v>
      </c>
      <c r="AC62" s="399">
        <v>0</v>
      </c>
      <c r="AD62" s="399">
        <v>8739.6769178267077</v>
      </c>
      <c r="AE62" s="399">
        <v>21332.021216880963</v>
      </c>
      <c r="AF62" s="399">
        <v>58303.460285293353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3024.4007477994237</v>
      </c>
      <c r="AM62" s="399"/>
      <c r="AN62" s="399">
        <v>325.15385592416612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4078.1264254616872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62381.586710755044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97488.420799999993</v>
      </c>
      <c r="CJ62" s="399">
        <v>-15340.022440000015</v>
      </c>
      <c r="CK62" s="399"/>
      <c r="CL62" s="399"/>
      <c r="CM62" s="399"/>
      <c r="CN62" s="399"/>
      <c r="CO62" s="399">
        <v>-15339.732720000002</v>
      </c>
      <c r="CP62" s="399">
        <v>0</v>
      </c>
      <c r="CQ62" s="399">
        <v>31</v>
      </c>
      <c r="CR62" s="399">
        <v>-2036.5846063800709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-804.54507273081254</v>
      </c>
      <c r="DA62" s="399">
        <v>0</v>
      </c>
      <c r="DB62" s="399">
        <v>0</v>
      </c>
      <c r="DC62" s="399">
        <v>0</v>
      </c>
      <c r="DD62" s="399">
        <v>0</v>
      </c>
      <c r="DE62" s="399">
        <v>0</v>
      </c>
      <c r="DF62" s="399">
        <v>0</v>
      </c>
      <c r="DG62" s="399">
        <v>0</v>
      </c>
      <c r="DH62" s="399">
        <v>0</v>
      </c>
      <c r="DI62" s="399">
        <v>-1053.0072803485618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-162.14536797518213</v>
      </c>
      <c r="DP62" s="399">
        <v>-16.886885325516914</v>
      </c>
      <c r="DQ62" s="399">
        <v>0</v>
      </c>
      <c r="DR62" s="399">
        <v>0</v>
      </c>
      <c r="DS62" s="399"/>
      <c r="DT62" s="399"/>
      <c r="DU62" s="399">
        <v>21332.021216880963</v>
      </c>
      <c r="DV62" s="399">
        <v>0</v>
      </c>
      <c r="DW62" s="399">
        <v>0</v>
      </c>
      <c r="DX62" s="399">
        <v>0</v>
      </c>
      <c r="DY62" s="399">
        <v>-15339.732720000007</v>
      </c>
      <c r="DZ62" s="399">
        <v>0</v>
      </c>
      <c r="EA62" s="399">
        <v>0</v>
      </c>
      <c r="EB62" s="399">
        <v>0</v>
      </c>
      <c r="EC62" s="399">
        <v>-13300.022815810327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221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2577</v>
      </c>
      <c r="D63" s="399" t="s">
        <v>533</v>
      </c>
      <c r="E63" s="399" t="s">
        <v>918</v>
      </c>
      <c r="F63" s="399" t="s">
        <v>1239</v>
      </c>
      <c r="G63" s="399" t="s">
        <v>1239</v>
      </c>
      <c r="H63" s="399" t="s">
        <v>1239</v>
      </c>
      <c r="I63" s="399" t="s">
        <v>1239</v>
      </c>
      <c r="J63" s="399" t="s">
        <v>2326</v>
      </c>
      <c r="K63" s="786">
        <v>44470</v>
      </c>
      <c r="L63" s="399">
        <v>0</v>
      </c>
      <c r="M63" s="399">
        <v>0</v>
      </c>
      <c r="N63" s="399">
        <v>0</v>
      </c>
      <c r="O63" s="399">
        <v>0</v>
      </c>
      <c r="P63" s="399">
        <v>0</v>
      </c>
      <c r="Q63" s="399">
        <v>0</v>
      </c>
      <c r="R63" s="399"/>
      <c r="S63" s="399"/>
      <c r="T63" s="399"/>
      <c r="U63" s="399"/>
      <c r="V63" s="399"/>
      <c r="W63" s="399"/>
      <c r="X63" s="399"/>
      <c r="Y63" s="399"/>
      <c r="Z63" s="399"/>
      <c r="AA63" s="399">
        <v>0</v>
      </c>
      <c r="AB63" s="399"/>
      <c r="AC63" s="399"/>
      <c r="AD63" s="399"/>
      <c r="AE63" s="399"/>
      <c r="AF63" s="399"/>
      <c r="AG63" s="399"/>
      <c r="AH63" s="399"/>
      <c r="AI63" s="399"/>
      <c r="AJ63" s="399"/>
      <c r="AK63" s="399"/>
      <c r="AL63" s="399"/>
      <c r="AM63" s="399"/>
      <c r="AN63" s="399"/>
      <c r="AO63" s="399"/>
      <c r="AP63" s="399"/>
      <c r="AQ63" s="399"/>
      <c r="AR63" s="399"/>
      <c r="AS63" s="399"/>
      <c r="AT63" s="399"/>
      <c r="AU63" s="399"/>
      <c r="AV63" s="399"/>
      <c r="AW63" s="399"/>
      <c r="AX63" s="399"/>
      <c r="AY63" s="399"/>
      <c r="AZ63" s="399">
        <v>0</v>
      </c>
      <c r="BA63" s="399"/>
      <c r="BB63" s="399"/>
      <c r="BC63" s="399"/>
      <c r="BD63" s="399"/>
      <c r="BE63" s="399"/>
      <c r="BF63" s="399"/>
      <c r="BG63" s="399"/>
      <c r="BH63" s="399"/>
      <c r="BI63" s="399">
        <v>188.86</v>
      </c>
      <c r="BJ63" s="399">
        <v>809.44</v>
      </c>
      <c r="BK63" s="399">
        <v>67453.259999999995</v>
      </c>
      <c r="BL63" s="399">
        <v>1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/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/>
      <c r="CJ63" s="399">
        <v>-0.03</v>
      </c>
      <c r="CK63" s="399"/>
      <c r="CL63" s="399"/>
      <c r="CM63" s="399"/>
      <c r="CN63" s="399"/>
      <c r="CO63" s="399">
        <v>0</v>
      </c>
      <c r="CP63" s="399">
        <v>0</v>
      </c>
      <c r="CQ63" s="399">
        <v>31</v>
      </c>
      <c r="CR63" s="399"/>
      <c r="CS63" s="399"/>
      <c r="CT63" s="399"/>
      <c r="CU63" s="399"/>
      <c r="CV63" s="399"/>
      <c r="CW63" s="399"/>
      <c r="CX63" s="399"/>
      <c r="CY63" s="399"/>
      <c r="CZ63" s="399"/>
      <c r="DA63" s="399"/>
      <c r="DB63" s="399"/>
      <c r="DC63" s="399"/>
      <c r="DD63" s="399"/>
      <c r="DE63" s="399"/>
      <c r="DF63" s="399"/>
      <c r="DG63" s="399"/>
      <c r="DH63" s="399"/>
      <c r="DI63" s="399"/>
      <c r="DJ63" s="399"/>
      <c r="DK63" s="399">
        <v>0</v>
      </c>
      <c r="DL63" s="399"/>
      <c r="DM63" s="399"/>
      <c r="DN63" s="399"/>
      <c r="DO63" s="399"/>
      <c r="DP63" s="399"/>
      <c r="DQ63" s="399"/>
      <c r="DR63" s="399"/>
      <c r="DS63" s="399"/>
      <c r="DT63" s="399"/>
      <c r="DU63" s="399"/>
      <c r="DV63" s="399"/>
      <c r="DW63" s="399"/>
      <c r="DX63" s="399"/>
      <c r="DY63" s="399"/>
      <c r="DZ63" s="399"/>
      <c r="EA63" s="399"/>
      <c r="EB63" s="399"/>
      <c r="EC63" s="399"/>
      <c r="ED63" s="399"/>
      <c r="EE63" s="399"/>
      <c r="EF63" s="399"/>
      <c r="EG63" s="399"/>
      <c r="EH63" s="399"/>
      <c r="EI63" s="399"/>
      <c r="EJ63" s="399"/>
      <c r="EK63" s="399"/>
      <c r="EL63" s="399"/>
      <c r="EM63" s="399"/>
      <c r="EN63" s="399"/>
      <c r="EO63" s="399"/>
      <c r="EP63" s="399"/>
      <c r="EQ63" s="399"/>
      <c r="ER63" s="399"/>
      <c r="ES63" s="399"/>
      <c r="ET63" s="399"/>
      <c r="EU63" s="399"/>
      <c r="EV63" s="399">
        <v>221</v>
      </c>
      <c r="EW63" s="399"/>
      <c r="EX63" s="399"/>
      <c r="EY63" s="399"/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2325</v>
      </c>
      <c r="D64" s="399" t="s">
        <v>533</v>
      </c>
      <c r="E64" s="399" t="s">
        <v>918</v>
      </c>
      <c r="F64" s="399" t="s">
        <v>1239</v>
      </c>
      <c r="G64" s="399" t="s">
        <v>1239</v>
      </c>
      <c r="H64" s="399" t="s">
        <v>1239</v>
      </c>
      <c r="I64" s="399" t="s">
        <v>893</v>
      </c>
      <c r="J64" s="399" t="s">
        <v>2326</v>
      </c>
      <c r="K64" s="786">
        <v>44470</v>
      </c>
      <c r="L64" s="399">
        <v>0</v>
      </c>
      <c r="M64" s="399">
        <v>0</v>
      </c>
      <c r="N64" s="399">
        <v>6.4290000000000003</v>
      </c>
      <c r="O64" s="399">
        <v>6.4290000000000003</v>
      </c>
      <c r="P64" s="399">
        <v>6.4290000000000003</v>
      </c>
      <c r="Q64" s="399">
        <v>6.4290000000000003</v>
      </c>
      <c r="R64" s="399"/>
      <c r="S64" s="399">
        <v>4433.21</v>
      </c>
      <c r="T64" s="399">
        <v>185.74</v>
      </c>
      <c r="U64" s="399"/>
      <c r="V64" s="399">
        <v>29695.22955</v>
      </c>
      <c r="W64" s="399">
        <v>29695.22955</v>
      </c>
      <c r="X64" s="399">
        <v>15497.875980000003</v>
      </c>
      <c r="Y64" s="399">
        <v>0</v>
      </c>
      <c r="Z64" s="399">
        <v>348.71085331900014</v>
      </c>
      <c r="AA64" s="399">
        <v>0</v>
      </c>
      <c r="AB64" s="399">
        <v>0</v>
      </c>
      <c r="AC64" s="399">
        <v>0</v>
      </c>
      <c r="AD64" s="399">
        <v>6182.274105811257</v>
      </c>
      <c r="AE64" s="399">
        <v>21817.991584337782</v>
      </c>
      <c r="AF64" s="399">
        <v>1194.1500271564043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61.944663617633175</v>
      </c>
      <c r="AM64" s="399"/>
      <c r="AN64" s="399">
        <v>6.6596816720978422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83.52668534393527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1277.6767125003396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15500.286599999999</v>
      </c>
      <c r="CJ64" s="399">
        <v>-14194.972949999996</v>
      </c>
      <c r="CK64" s="399"/>
      <c r="CL64" s="399"/>
      <c r="CM64" s="399"/>
      <c r="CN64" s="399"/>
      <c r="CO64" s="399">
        <v>-14197.353569999999</v>
      </c>
      <c r="CP64" s="399">
        <v>0</v>
      </c>
      <c r="CQ64" s="399">
        <v>31</v>
      </c>
      <c r="CR64" s="399">
        <v>-594.35340735020145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-569.11922681673241</v>
      </c>
      <c r="DA64" s="399">
        <v>0</v>
      </c>
      <c r="DB64" s="399">
        <v>0</v>
      </c>
      <c r="DC64" s="399">
        <v>0</v>
      </c>
      <c r="DD64" s="399">
        <v>0</v>
      </c>
      <c r="DE64" s="399">
        <v>0</v>
      </c>
      <c r="DF64" s="399">
        <v>0</v>
      </c>
      <c r="DG64" s="399">
        <v>0</v>
      </c>
      <c r="DH64" s="399">
        <v>0</v>
      </c>
      <c r="DI64" s="399">
        <v>-21.567307776778875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-3.3210017831426981</v>
      </c>
      <c r="DP64" s="399">
        <v>-0.3458709735473402</v>
      </c>
      <c r="DQ64" s="399">
        <v>0</v>
      </c>
      <c r="DR64" s="399">
        <v>0</v>
      </c>
      <c r="DS64" s="399"/>
      <c r="DT64" s="399"/>
      <c r="DU64" s="399"/>
      <c r="DV64" s="399">
        <v>21817.991584337782</v>
      </c>
      <c r="DW64" s="399">
        <v>0</v>
      </c>
      <c r="DX64" s="399">
        <v>0</v>
      </c>
      <c r="DY64" s="399">
        <v>-14197.353569999999</v>
      </c>
      <c r="DZ64" s="399">
        <v>0</v>
      </c>
      <c r="EA64" s="399">
        <v>0</v>
      </c>
      <c r="EB64" s="399">
        <v>0</v>
      </c>
      <c r="EC64" s="399">
        <v>-13603.014122131954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221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2325</v>
      </c>
      <c r="D65" s="399" t="s">
        <v>533</v>
      </c>
      <c r="E65" s="399" t="s">
        <v>918</v>
      </c>
      <c r="F65" s="399" t="s">
        <v>1239</v>
      </c>
      <c r="G65" s="399" t="s">
        <v>1239</v>
      </c>
      <c r="H65" s="399" t="s">
        <v>1239</v>
      </c>
      <c r="I65" s="399" t="s">
        <v>2323</v>
      </c>
      <c r="J65" s="399" t="s">
        <v>2326</v>
      </c>
      <c r="K65" s="786">
        <v>44470</v>
      </c>
      <c r="L65" s="399">
        <v>0</v>
      </c>
      <c r="M65" s="399">
        <v>0</v>
      </c>
      <c r="N65" s="399">
        <v>328.233</v>
      </c>
      <c r="O65" s="399">
        <v>328.233</v>
      </c>
      <c r="P65" s="399">
        <v>328.233</v>
      </c>
      <c r="Q65" s="399">
        <v>328.233</v>
      </c>
      <c r="R65" s="399"/>
      <c r="S65" s="399">
        <v>77.900000000000006</v>
      </c>
      <c r="T65" s="399">
        <v>185.74</v>
      </c>
      <c r="U65" s="399"/>
      <c r="V65" s="399">
        <v>86535.34812000001</v>
      </c>
      <c r="W65" s="399">
        <v>86535.34812000001</v>
      </c>
      <c r="X65" s="399">
        <v>85248.674760000009</v>
      </c>
      <c r="Y65" s="399">
        <v>0</v>
      </c>
      <c r="Z65" s="399">
        <v>17803.454583520823</v>
      </c>
      <c r="AA65" s="399">
        <v>0</v>
      </c>
      <c r="AB65" s="399">
        <v>0</v>
      </c>
      <c r="AC65" s="399">
        <v>0</v>
      </c>
      <c r="AD65" s="399">
        <v>0</v>
      </c>
      <c r="AE65" s="399">
        <v>0</v>
      </c>
      <c r="AF65" s="399">
        <v>60967.404862906842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3162.5887032519195</v>
      </c>
      <c r="AM65" s="399"/>
      <c r="AN65" s="399">
        <v>340.01046730093185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4264.4601820650032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65231.865044971848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85247.895600000003</v>
      </c>
      <c r="CJ65" s="399">
        <v>-1287.4825199999905</v>
      </c>
      <c r="CK65" s="399"/>
      <c r="CL65" s="399"/>
      <c r="CM65" s="399"/>
      <c r="CN65" s="399"/>
      <c r="CO65" s="399">
        <v>-1286.6733600000007</v>
      </c>
      <c r="CP65" s="399">
        <v>0</v>
      </c>
      <c r="CQ65" s="399">
        <v>31</v>
      </c>
      <c r="CR65" s="399">
        <v>-1288.3326767836697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0</v>
      </c>
      <c r="DA65" s="399">
        <v>0</v>
      </c>
      <c r="DB65" s="399">
        <v>0</v>
      </c>
      <c r="DC65" s="399">
        <v>0</v>
      </c>
      <c r="DD65" s="399">
        <v>0</v>
      </c>
      <c r="DE65" s="399">
        <v>0</v>
      </c>
      <c r="DF65" s="399">
        <v>0</v>
      </c>
      <c r="DG65" s="399">
        <v>0</v>
      </c>
      <c r="DH65" s="399">
        <v>0</v>
      </c>
      <c r="DI65" s="399">
        <v>-1101.120257193259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-169.55395524751566</v>
      </c>
      <c r="DP65" s="399">
        <v>-17.658464342878176</v>
      </c>
      <c r="DQ65" s="399">
        <v>0</v>
      </c>
      <c r="DR65" s="399">
        <v>0</v>
      </c>
      <c r="DS65" s="399"/>
      <c r="DT65" s="399"/>
      <c r="DU65" s="399"/>
      <c r="DV65" s="399">
        <v>0</v>
      </c>
      <c r="DW65" s="399">
        <v>0</v>
      </c>
      <c r="DX65" s="399">
        <v>0</v>
      </c>
      <c r="DY65" s="399">
        <v>-1286.6733600000007</v>
      </c>
      <c r="DZ65" s="399">
        <v>0</v>
      </c>
      <c r="EA65" s="399">
        <v>0</v>
      </c>
      <c r="EB65" s="399">
        <v>0</v>
      </c>
      <c r="EC65" s="399">
        <v>0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221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956</v>
      </c>
      <c r="C66" s="399" t="s">
        <v>2325</v>
      </c>
      <c r="D66" s="399" t="s">
        <v>533</v>
      </c>
      <c r="E66" s="399" t="s">
        <v>918</v>
      </c>
      <c r="F66" s="399" t="s">
        <v>1239</v>
      </c>
      <c r="G66" s="399" t="s">
        <v>1239</v>
      </c>
      <c r="H66" s="399" t="s">
        <v>1239</v>
      </c>
      <c r="I66" s="399" t="s">
        <v>1239</v>
      </c>
      <c r="J66" s="399" t="s">
        <v>2326</v>
      </c>
      <c r="K66" s="786">
        <v>44470</v>
      </c>
      <c r="L66" s="399">
        <v>1108</v>
      </c>
      <c r="M66" s="399">
        <v>1108</v>
      </c>
      <c r="N66" s="399">
        <v>0</v>
      </c>
      <c r="O66" s="399">
        <v>0</v>
      </c>
      <c r="P66" s="399">
        <v>0</v>
      </c>
      <c r="Q66" s="399">
        <v>0</v>
      </c>
      <c r="R66" s="399">
        <v>55.59</v>
      </c>
      <c r="S66" s="399"/>
      <c r="T66" s="399"/>
      <c r="U66" s="399">
        <v>61593.72</v>
      </c>
      <c r="V66" s="399"/>
      <c r="W66" s="399">
        <v>61593.72</v>
      </c>
      <c r="X66" s="399">
        <v>32697.08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17899.375277175586</v>
      </c>
      <c r="AE66" s="399">
        <v>43689.241235312576</v>
      </c>
      <c r="AF66" s="399"/>
      <c r="AG66" s="399"/>
      <c r="AH66" s="399"/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0</v>
      </c>
      <c r="AO66" s="399">
        <v>0</v>
      </c>
      <c r="AP66" s="399">
        <v>0</v>
      </c>
      <c r="AQ66" s="399">
        <v>0</v>
      </c>
      <c r="AR66" s="399">
        <v>0</v>
      </c>
      <c r="AS66" s="399"/>
      <c r="AT66" s="399"/>
      <c r="AU66" s="399">
        <v>0</v>
      </c>
      <c r="AV66" s="399">
        <v>0</v>
      </c>
      <c r="AW66" s="399">
        <v>0</v>
      </c>
      <c r="AX66" s="399"/>
      <c r="AY66" s="399"/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/>
      <c r="BG66" s="399">
        <v>0</v>
      </c>
      <c r="BH66" s="399">
        <v>0</v>
      </c>
      <c r="BI66" s="399">
        <v>169.19</v>
      </c>
      <c r="BJ66" s="399">
        <v>725.2</v>
      </c>
      <c r="BK66" s="399">
        <v>59879.48</v>
      </c>
      <c r="BL66" s="399">
        <v>5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0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32697.08</v>
      </c>
      <c r="CJ66" s="399">
        <v>-28896.670000000006</v>
      </c>
      <c r="CK66" s="399"/>
      <c r="CL66" s="399"/>
      <c r="CM66" s="399"/>
      <c r="CN66" s="399"/>
      <c r="CO66" s="399">
        <v>-28896.640000000003</v>
      </c>
      <c r="CP66" s="399">
        <v>0</v>
      </c>
      <c r="CQ66" s="399">
        <v>31</v>
      </c>
      <c r="CR66" s="399">
        <v>-1647.7558975706852</v>
      </c>
      <c r="CS66" s="399">
        <v>0</v>
      </c>
      <c r="CT66" s="399">
        <v>0</v>
      </c>
      <c r="CU66" s="399">
        <v>0</v>
      </c>
      <c r="CV66" s="399">
        <v>0</v>
      </c>
      <c r="CW66" s="399"/>
      <c r="CX66" s="399"/>
      <c r="CY66" s="399"/>
      <c r="CZ66" s="399">
        <v>-1647.7558975706852</v>
      </c>
      <c r="DA66" s="399">
        <v>0</v>
      </c>
      <c r="DB66" s="399">
        <v>0</v>
      </c>
      <c r="DC66" s="399"/>
      <c r="DD66" s="399"/>
      <c r="DE66" s="399">
        <v>0</v>
      </c>
      <c r="DF66" s="399">
        <v>0</v>
      </c>
      <c r="DG66" s="399">
        <v>0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/>
      <c r="DN66" s="399">
        <v>0</v>
      </c>
      <c r="DO66" s="399">
        <v>0</v>
      </c>
      <c r="DP66" s="399">
        <v>0</v>
      </c>
      <c r="DQ66" s="399">
        <v>0</v>
      </c>
      <c r="DR66" s="399">
        <v>0</v>
      </c>
      <c r="DS66" s="399"/>
      <c r="DT66" s="399"/>
      <c r="DU66" s="399">
        <v>43689.241235312576</v>
      </c>
      <c r="DV66" s="399"/>
      <c r="DW66" s="399">
        <v>0</v>
      </c>
      <c r="DX66" s="399">
        <v>0</v>
      </c>
      <c r="DY66" s="399">
        <v>-28896.639999999999</v>
      </c>
      <c r="DZ66" s="399"/>
      <c r="EA66" s="399">
        <v>0</v>
      </c>
      <c r="EB66" s="399"/>
      <c r="EC66" s="399">
        <v>-27239.23341944148</v>
      </c>
      <c r="ED66" s="399"/>
      <c r="EE66" s="399">
        <v>0</v>
      </c>
      <c r="EF66" s="399">
        <v>0</v>
      </c>
      <c r="EG66" s="399"/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/>
      <c r="EN66" s="399"/>
      <c r="EO66" s="399">
        <v>0</v>
      </c>
      <c r="EP66" s="399">
        <v>0</v>
      </c>
      <c r="EQ66" s="399"/>
      <c r="ER66" s="399">
        <v>0</v>
      </c>
      <c r="ES66" s="399"/>
      <c r="ET66" s="399">
        <v>0</v>
      </c>
      <c r="EU66" s="399"/>
      <c r="EV66" s="399">
        <v>221</v>
      </c>
      <c r="EW66" s="399"/>
      <c r="EX66" s="399"/>
      <c r="EY66" s="399"/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2335</v>
      </c>
      <c r="D67" s="399" t="s">
        <v>1824</v>
      </c>
      <c r="E67" s="399" t="s">
        <v>918</v>
      </c>
      <c r="F67" s="399" t="s">
        <v>1239</v>
      </c>
      <c r="G67" s="399" t="s">
        <v>1239</v>
      </c>
      <c r="H67" s="399" t="s">
        <v>1239</v>
      </c>
      <c r="I67" s="399" t="s">
        <v>893</v>
      </c>
      <c r="J67" s="399" t="s">
        <v>2326</v>
      </c>
      <c r="K67" s="786">
        <v>44470</v>
      </c>
      <c r="L67" s="399">
        <v>0</v>
      </c>
      <c r="M67" s="399">
        <v>0</v>
      </c>
      <c r="N67" s="399">
        <v>0.10100000000000001</v>
      </c>
      <c r="O67" s="399">
        <v>0.10100000000000001</v>
      </c>
      <c r="P67" s="399">
        <v>0.10100000000000001</v>
      </c>
      <c r="Q67" s="399">
        <v>0.10100000000000001</v>
      </c>
      <c r="R67" s="399"/>
      <c r="S67" s="399">
        <v>2583.84</v>
      </c>
      <c r="T67" s="399">
        <v>185.74</v>
      </c>
      <c r="U67" s="399"/>
      <c r="V67" s="399">
        <v>279.72758000000005</v>
      </c>
      <c r="W67" s="399">
        <v>279.72758000000005</v>
      </c>
      <c r="X67" s="399">
        <v>147.50747000000001</v>
      </c>
      <c r="Y67" s="399">
        <v>0</v>
      </c>
      <c r="Z67" s="399">
        <v>6.2968617748991305</v>
      </c>
      <c r="AA67" s="399">
        <v>0</v>
      </c>
      <c r="AB67" s="399">
        <v>0</v>
      </c>
      <c r="AC67" s="399">
        <v>0</v>
      </c>
      <c r="AD67" s="399">
        <v>45.425464405557051</v>
      </c>
      <c r="AE67" s="399">
        <v>204.63407172716779</v>
      </c>
      <c r="AF67" s="399">
        <v>18.760173081785169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0.97315461586264596</v>
      </c>
      <c r="AM67" s="399"/>
      <c r="AN67" s="399">
        <v>0.23945760217498416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3.3987004046300027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22.158873486415171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146.04700000000003</v>
      </c>
      <c r="CJ67" s="399">
        <v>-133.71057999999999</v>
      </c>
      <c r="CK67" s="399"/>
      <c r="CL67" s="399"/>
      <c r="CM67" s="399"/>
      <c r="CN67" s="399"/>
      <c r="CO67" s="399">
        <v>-132.22011000000003</v>
      </c>
      <c r="CP67" s="399">
        <v>0</v>
      </c>
      <c r="CQ67" s="399">
        <v>31</v>
      </c>
      <c r="CR67" s="399">
        <v>-4.6357765016305876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-4.1817144852863066</v>
      </c>
      <c r="DA67" s="399">
        <v>0</v>
      </c>
      <c r="DB67" s="399">
        <v>0</v>
      </c>
      <c r="DC67" s="399">
        <v>0</v>
      </c>
      <c r="DD67" s="399">
        <v>0</v>
      </c>
      <c r="DE67" s="399">
        <v>0</v>
      </c>
      <c r="DF67" s="399">
        <v>0</v>
      </c>
      <c r="DG67" s="399">
        <v>0</v>
      </c>
      <c r="DH67" s="399">
        <v>0</v>
      </c>
      <c r="DI67" s="399">
        <v>-0.38945262137524939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-5.2173149805166075E-2</v>
      </c>
      <c r="DP67" s="399">
        <v>-1.243624516387537E-2</v>
      </c>
      <c r="DQ67" s="399">
        <v>0</v>
      </c>
      <c r="DR67" s="399">
        <v>0</v>
      </c>
      <c r="DS67" s="399"/>
      <c r="DT67" s="399"/>
      <c r="DU67" s="399"/>
      <c r="DV67" s="399">
        <v>204.63407172716779</v>
      </c>
      <c r="DW67" s="399">
        <v>0</v>
      </c>
      <c r="DX67" s="399">
        <v>0</v>
      </c>
      <c r="DY67" s="399">
        <v>-132.22011000000001</v>
      </c>
      <c r="DZ67" s="399">
        <v>0</v>
      </c>
      <c r="EA67" s="399">
        <v>0</v>
      </c>
      <c r="EB67" s="399">
        <v>0</v>
      </c>
      <c r="EC67" s="399">
        <v>-127.58462009730962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221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2335</v>
      </c>
      <c r="D68" s="399" t="s">
        <v>1824</v>
      </c>
      <c r="E68" s="399" t="s">
        <v>918</v>
      </c>
      <c r="F68" s="399" t="s">
        <v>1239</v>
      </c>
      <c r="G68" s="399" t="s">
        <v>1239</v>
      </c>
      <c r="H68" s="399" t="s">
        <v>1239</v>
      </c>
      <c r="I68" s="399" t="s">
        <v>2323</v>
      </c>
      <c r="J68" s="399" t="s">
        <v>2326</v>
      </c>
      <c r="K68" s="786">
        <v>44470</v>
      </c>
      <c r="L68" s="399">
        <v>0</v>
      </c>
      <c r="M68" s="399">
        <v>0</v>
      </c>
      <c r="N68" s="399">
        <v>0.97599999999999998</v>
      </c>
      <c r="O68" s="399">
        <v>0.97599999999999998</v>
      </c>
      <c r="P68" s="399">
        <v>0.97599999999999998</v>
      </c>
      <c r="Q68" s="399">
        <v>0.97599999999999998</v>
      </c>
      <c r="R68" s="399"/>
      <c r="S68" s="399">
        <v>603.13</v>
      </c>
      <c r="T68" s="399">
        <v>185.74</v>
      </c>
      <c r="U68" s="399"/>
      <c r="V68" s="399">
        <v>769.93711999999994</v>
      </c>
      <c r="W68" s="399">
        <v>769.93711999999994</v>
      </c>
      <c r="X68" s="399">
        <v>510.89696000000004</v>
      </c>
      <c r="Y68" s="399">
        <v>0</v>
      </c>
      <c r="Z68" s="399">
        <v>60.848882101995549</v>
      </c>
      <c r="AA68" s="399">
        <v>0</v>
      </c>
      <c r="AB68" s="399">
        <v>0</v>
      </c>
      <c r="AC68" s="399">
        <v>0</v>
      </c>
      <c r="AD68" s="399">
        <v>87.754894273948949</v>
      </c>
      <c r="AE68" s="399">
        <v>395.49119503583466</v>
      </c>
      <c r="AF68" s="399">
        <v>181.28642502794381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9.403949555266756</v>
      </c>
      <c r="AM68" s="399"/>
      <c r="AN68" s="399">
        <v>2.3139665319087577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32.842887078404779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214.12931210634858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512.99080000000004</v>
      </c>
      <c r="CJ68" s="399">
        <v>-256.97631999999987</v>
      </c>
      <c r="CK68" s="399"/>
      <c r="CL68" s="399"/>
      <c r="CM68" s="399"/>
      <c r="CN68" s="399"/>
      <c r="CO68" s="399">
        <v>-259.04015999999996</v>
      </c>
      <c r="CP68" s="399">
        <v>0</v>
      </c>
      <c r="CQ68" s="399">
        <v>31</v>
      </c>
      <c r="CR68" s="399">
        <v>-12.46618611482711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-8.0784185113416953</v>
      </c>
      <c r="DA68" s="399">
        <v>0</v>
      </c>
      <c r="DB68" s="399">
        <v>0</v>
      </c>
      <c r="DC68" s="399">
        <v>0</v>
      </c>
      <c r="DD68" s="399">
        <v>0</v>
      </c>
      <c r="DE68" s="399">
        <v>0</v>
      </c>
      <c r="DF68" s="399">
        <v>0</v>
      </c>
      <c r="DG68" s="399">
        <v>0</v>
      </c>
      <c r="DH68" s="399">
        <v>0</v>
      </c>
      <c r="DI68" s="399">
        <v>-3.7634233511113209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-0.50416825950338762</v>
      </c>
      <c r="DP68" s="399">
        <v>-0.12017599287071645</v>
      </c>
      <c r="DQ68" s="399">
        <v>0</v>
      </c>
      <c r="DR68" s="399">
        <v>0</v>
      </c>
      <c r="DS68" s="399"/>
      <c r="DT68" s="399"/>
      <c r="DU68" s="399"/>
      <c r="DV68" s="399">
        <v>395.49119503583466</v>
      </c>
      <c r="DW68" s="399">
        <v>0</v>
      </c>
      <c r="DX68" s="399">
        <v>0</v>
      </c>
      <c r="DY68" s="399">
        <v>-259.0401599999999</v>
      </c>
      <c r="DZ68" s="399">
        <v>0</v>
      </c>
      <c r="EA68" s="399">
        <v>0</v>
      </c>
      <c r="EB68" s="399">
        <v>0</v>
      </c>
      <c r="EC68" s="399">
        <v>-246.57963087277415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221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2335</v>
      </c>
      <c r="D69" s="399" t="s">
        <v>1824</v>
      </c>
      <c r="E69" s="399" t="s">
        <v>918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2326</v>
      </c>
      <c r="K69" s="786">
        <v>44470</v>
      </c>
      <c r="L69" s="399">
        <v>0</v>
      </c>
      <c r="M69" s="399">
        <v>0</v>
      </c>
      <c r="N69" s="399">
        <v>0</v>
      </c>
      <c r="O69" s="399">
        <v>0</v>
      </c>
      <c r="P69" s="399">
        <v>0</v>
      </c>
      <c r="Q69" s="399">
        <v>0</v>
      </c>
      <c r="R69" s="399"/>
      <c r="S69" s="399"/>
      <c r="T69" s="399"/>
      <c r="U69" s="399"/>
      <c r="V69" s="399"/>
      <c r="W69" s="399"/>
      <c r="X69" s="399"/>
      <c r="Y69" s="399"/>
      <c r="Z69" s="399"/>
      <c r="AA69" s="399">
        <v>0</v>
      </c>
      <c r="AB69" s="399"/>
      <c r="AC69" s="399"/>
      <c r="AD69" s="399"/>
      <c r="AE69" s="399"/>
      <c r="AF69" s="399"/>
      <c r="AG69" s="399"/>
      <c r="AH69" s="399"/>
      <c r="AI69" s="399"/>
      <c r="AJ69" s="399"/>
      <c r="AK69" s="399"/>
      <c r="AL69" s="399"/>
      <c r="AM69" s="399"/>
      <c r="AN69" s="399"/>
      <c r="AO69" s="399"/>
      <c r="AP69" s="399"/>
      <c r="AQ69" s="399"/>
      <c r="AR69" s="399"/>
      <c r="AS69" s="399"/>
      <c r="AT69" s="399"/>
      <c r="AU69" s="399"/>
      <c r="AV69" s="399"/>
      <c r="AW69" s="399"/>
      <c r="AX69" s="399"/>
      <c r="AY69" s="399"/>
      <c r="AZ69" s="399">
        <v>0</v>
      </c>
      <c r="BA69" s="399"/>
      <c r="BB69" s="399"/>
      <c r="BC69" s="399"/>
      <c r="BD69" s="399"/>
      <c r="BE69" s="399"/>
      <c r="BF69" s="399"/>
      <c r="BG69" s="399"/>
      <c r="BH69" s="399"/>
      <c r="BI69" s="399">
        <v>0.82</v>
      </c>
      <c r="BJ69" s="399">
        <v>3.54</v>
      </c>
      <c r="BK69" s="399">
        <v>294.89999999999998</v>
      </c>
      <c r="BL69" s="399">
        <v>1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/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/>
      <c r="CJ69" s="399">
        <v>-0.03</v>
      </c>
      <c r="CK69" s="399"/>
      <c r="CL69" s="399"/>
      <c r="CM69" s="399"/>
      <c r="CN69" s="399"/>
      <c r="CO69" s="399">
        <v>0</v>
      </c>
      <c r="CP69" s="399">
        <v>0</v>
      </c>
      <c r="CQ69" s="399">
        <v>31</v>
      </c>
      <c r="CR69" s="399"/>
      <c r="CS69" s="399"/>
      <c r="CT69" s="399"/>
      <c r="CU69" s="399"/>
      <c r="CV69" s="399"/>
      <c r="CW69" s="399"/>
      <c r="CX69" s="399"/>
      <c r="CY69" s="399"/>
      <c r="CZ69" s="399"/>
      <c r="DA69" s="399"/>
      <c r="DB69" s="399"/>
      <c r="DC69" s="399"/>
      <c r="DD69" s="399"/>
      <c r="DE69" s="399"/>
      <c r="DF69" s="399"/>
      <c r="DG69" s="399"/>
      <c r="DH69" s="399"/>
      <c r="DI69" s="399"/>
      <c r="DJ69" s="399"/>
      <c r="DK69" s="399">
        <v>0</v>
      </c>
      <c r="DL69" s="399"/>
      <c r="DM69" s="399"/>
      <c r="DN69" s="399"/>
      <c r="DO69" s="399"/>
      <c r="DP69" s="399"/>
      <c r="DQ69" s="399"/>
      <c r="DR69" s="399"/>
      <c r="DS69" s="399"/>
      <c r="DT69" s="399"/>
      <c r="DU69" s="399"/>
      <c r="DV69" s="399"/>
      <c r="DW69" s="399"/>
      <c r="DX69" s="399"/>
      <c r="DY69" s="399"/>
      <c r="DZ69" s="399"/>
      <c r="EA69" s="399"/>
      <c r="EB69" s="399"/>
      <c r="EC69" s="399"/>
      <c r="ED69" s="399"/>
      <c r="EE69" s="399"/>
      <c r="EF69" s="399"/>
      <c r="EG69" s="399"/>
      <c r="EH69" s="399"/>
      <c r="EI69" s="399"/>
      <c r="EJ69" s="399"/>
      <c r="EK69" s="399"/>
      <c r="EL69" s="399"/>
      <c r="EM69" s="399"/>
      <c r="EN69" s="399"/>
      <c r="EO69" s="399"/>
      <c r="EP69" s="399"/>
      <c r="EQ69" s="399"/>
      <c r="ER69" s="399"/>
      <c r="ES69" s="399"/>
      <c r="ET69" s="399"/>
      <c r="EU69" s="399"/>
      <c r="EV69" s="399">
        <v>221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2335</v>
      </c>
      <c r="D70" s="399" t="s">
        <v>1824</v>
      </c>
      <c r="E70" s="399" t="s">
        <v>918</v>
      </c>
      <c r="F70" s="399" t="s">
        <v>1239</v>
      </c>
      <c r="G70" s="399" t="s">
        <v>1239</v>
      </c>
      <c r="H70" s="399" t="s">
        <v>1239</v>
      </c>
      <c r="I70" s="399" t="s">
        <v>2336</v>
      </c>
      <c r="J70" s="399" t="s">
        <v>2326</v>
      </c>
      <c r="K70" s="786">
        <v>44470</v>
      </c>
      <c r="L70" s="399">
        <v>0</v>
      </c>
      <c r="M70" s="399">
        <v>0</v>
      </c>
      <c r="N70" s="399">
        <v>7.0999999999999994E-2</v>
      </c>
      <c r="O70" s="399">
        <v>7.0999999999999994E-2</v>
      </c>
      <c r="P70" s="399">
        <v>7.0999999999999994E-2</v>
      </c>
      <c r="Q70" s="399">
        <v>7.0999999999999994E-2</v>
      </c>
      <c r="R70" s="399"/>
      <c r="S70" s="399">
        <v>1593.45</v>
      </c>
      <c r="T70" s="399">
        <v>185.74</v>
      </c>
      <c r="U70" s="399"/>
      <c r="V70" s="399">
        <v>126.32248999999999</v>
      </c>
      <c r="W70" s="399">
        <v>126.32248999999999</v>
      </c>
      <c r="X70" s="399">
        <v>70.427030000000002</v>
      </c>
      <c r="Y70" s="399">
        <v>0</v>
      </c>
      <c r="Z70" s="399">
        <v>4.4265067922558234</v>
      </c>
      <c r="AA70" s="399">
        <v>0</v>
      </c>
      <c r="AB70" s="399">
        <v>0</v>
      </c>
      <c r="AC70" s="399">
        <v>0</v>
      </c>
      <c r="AD70" s="399">
        <v>19.155995944927195</v>
      </c>
      <c r="AE70" s="399">
        <v>86.310994931861401</v>
      </c>
      <c r="AF70" s="399">
        <v>13.187844443631157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0.68409878936879065</v>
      </c>
      <c r="AM70" s="399"/>
      <c r="AN70" s="399">
        <v>0.16833158172696905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2.3891854329577242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15.577029876588881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69.435100000000006</v>
      </c>
      <c r="CJ70" s="399">
        <v>-56.917389999999997</v>
      </c>
      <c r="CK70" s="399"/>
      <c r="CL70" s="399"/>
      <c r="CM70" s="399"/>
      <c r="CN70" s="399"/>
      <c r="CO70" s="399">
        <v>-55.895459999999993</v>
      </c>
      <c r="CP70" s="399">
        <v>0</v>
      </c>
      <c r="CQ70" s="399">
        <v>31</v>
      </c>
      <c r="CR70" s="399">
        <v>-2.0826282530078544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-1.7634361425084037</v>
      </c>
      <c r="DA70" s="399">
        <v>0</v>
      </c>
      <c r="DB70" s="399">
        <v>0</v>
      </c>
      <c r="DC70" s="399">
        <v>0</v>
      </c>
      <c r="DD70" s="399">
        <v>0</v>
      </c>
      <c r="DE70" s="399">
        <v>0</v>
      </c>
      <c r="DF70" s="399">
        <v>0</v>
      </c>
      <c r="DG70" s="399">
        <v>0</v>
      </c>
      <c r="DH70" s="399">
        <v>0</v>
      </c>
      <c r="DI70" s="399">
        <v>-0.27377362492715562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-3.6676174615512869E-2</v>
      </c>
      <c r="DP70" s="399">
        <v>-8.7423109567836832E-3</v>
      </c>
      <c r="DQ70" s="399">
        <v>0</v>
      </c>
      <c r="DR70" s="399">
        <v>0</v>
      </c>
      <c r="DS70" s="399"/>
      <c r="DT70" s="399"/>
      <c r="DU70" s="399"/>
      <c r="DV70" s="399">
        <v>86.310994931861401</v>
      </c>
      <c r="DW70" s="399">
        <v>0</v>
      </c>
      <c r="DX70" s="399">
        <v>0</v>
      </c>
      <c r="DY70" s="399">
        <v>-55.895459999999993</v>
      </c>
      <c r="DZ70" s="399">
        <v>0</v>
      </c>
      <c r="EA70" s="399">
        <v>0</v>
      </c>
      <c r="EB70" s="399">
        <v>0</v>
      </c>
      <c r="EC70" s="399">
        <v>-53.812912999572291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221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2328</v>
      </c>
      <c r="D71" s="399" t="s">
        <v>2337</v>
      </c>
      <c r="E71" s="399" t="s">
        <v>894</v>
      </c>
      <c r="F71" s="399" t="s">
        <v>1239</v>
      </c>
      <c r="G71" s="399" t="s">
        <v>1239</v>
      </c>
      <c r="H71" s="399" t="s">
        <v>1239</v>
      </c>
      <c r="I71" s="399" t="s">
        <v>1239</v>
      </c>
      <c r="J71" s="399" t="s">
        <v>2326</v>
      </c>
      <c r="K71" s="786">
        <v>44470</v>
      </c>
      <c r="L71" s="399">
        <v>0</v>
      </c>
      <c r="M71" s="399">
        <v>0</v>
      </c>
      <c r="N71" s="399">
        <v>1479.7449999999999</v>
      </c>
      <c r="O71" s="399">
        <v>1479.7449999999999</v>
      </c>
      <c r="P71" s="399">
        <v>1479.7449999999999</v>
      </c>
      <c r="Q71" s="399">
        <v>1479.7449999999999</v>
      </c>
      <c r="R71" s="399"/>
      <c r="S71" s="399">
        <v>825.6</v>
      </c>
      <c r="T71" s="399">
        <v>185.74</v>
      </c>
      <c r="U71" s="399"/>
      <c r="V71" s="399">
        <v>1496525.3082999997</v>
      </c>
      <c r="W71" s="399">
        <v>1496525.3082999997</v>
      </c>
      <c r="X71" s="399">
        <v>930315.68149999983</v>
      </c>
      <c r="Y71" s="399">
        <v>0</v>
      </c>
      <c r="Z71" s="399">
        <v>92254.947793050611</v>
      </c>
      <c r="AA71" s="399">
        <v>0</v>
      </c>
      <c r="AB71" s="399">
        <v>0</v>
      </c>
      <c r="AC71" s="399">
        <v>0</v>
      </c>
      <c r="AD71" s="399">
        <v>192857.69066662868</v>
      </c>
      <c r="AE71" s="399">
        <v>869009.52448890498</v>
      </c>
      <c r="AF71" s="399">
        <v>274854.18135550682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14257.630465838325</v>
      </c>
      <c r="AM71" s="399"/>
      <c r="AN71" s="399">
        <v>3508.2791042616032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49794.157725239827</v>
      </c>
      <c r="BH71" s="399">
        <v>0</v>
      </c>
      <c r="BI71" s="399">
        <v>806.52</v>
      </c>
      <c r="BJ71" s="399">
        <v>3583.2</v>
      </c>
      <c r="BK71" s="399">
        <v>197067.17</v>
      </c>
      <c r="BL71" s="399">
        <v>5740</v>
      </c>
      <c r="BM71" s="399"/>
      <c r="BN71" s="399"/>
      <c r="BO71" s="399"/>
      <c r="BP71" s="399"/>
      <c r="BQ71" s="399"/>
      <c r="BR71" s="399">
        <v>111631.96279999998</v>
      </c>
      <c r="BS71" s="399"/>
      <c r="BT71" s="399"/>
      <c r="BU71" s="399"/>
      <c r="BV71" s="399">
        <v>324648.33908074663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818686.48499999999</v>
      </c>
      <c r="CJ71" s="399">
        <v>-498257.00009999971</v>
      </c>
      <c r="CK71" s="399"/>
      <c r="CL71" s="399"/>
      <c r="CM71" s="399"/>
      <c r="CN71" s="399"/>
      <c r="CO71" s="399">
        <v>-566209.62679999997</v>
      </c>
      <c r="CP71" s="399">
        <v>0</v>
      </c>
      <c r="CQ71" s="399">
        <v>31</v>
      </c>
      <c r="CR71" s="399">
        <v>-24406.2617955358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-17753.826168056665</v>
      </c>
      <c r="DA71" s="399">
        <v>0</v>
      </c>
      <c r="DB71" s="399">
        <v>0</v>
      </c>
      <c r="DC71" s="399">
        <v>0</v>
      </c>
      <c r="DD71" s="399">
        <v>0</v>
      </c>
      <c r="DE71" s="399">
        <v>0</v>
      </c>
      <c r="DF71" s="399">
        <v>0</v>
      </c>
      <c r="DG71" s="399">
        <v>0</v>
      </c>
      <c r="DH71" s="399">
        <v>0</v>
      </c>
      <c r="DI71" s="399">
        <v>-5705.8472199694806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-764.38571840045006</v>
      </c>
      <c r="DP71" s="399">
        <v>-182.20268910909681</v>
      </c>
      <c r="DQ71" s="399">
        <v>0</v>
      </c>
      <c r="DR71" s="399">
        <v>0</v>
      </c>
      <c r="DS71" s="399"/>
      <c r="DT71" s="399"/>
      <c r="DU71" s="399"/>
      <c r="DV71" s="399">
        <v>869009.52448890498</v>
      </c>
      <c r="DW71" s="399">
        <v>0</v>
      </c>
      <c r="DX71" s="399">
        <v>0</v>
      </c>
      <c r="DY71" s="399">
        <v>-566209.62679999997</v>
      </c>
      <c r="DZ71" s="399">
        <v>0</v>
      </c>
      <c r="EA71" s="399">
        <v>0</v>
      </c>
      <c r="EB71" s="399">
        <v>0</v>
      </c>
      <c r="EC71" s="399">
        <v>-541807.37893288373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221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2329</v>
      </c>
      <c r="C72" s="399" t="s">
        <v>2328</v>
      </c>
      <c r="D72" s="399" t="s">
        <v>2337</v>
      </c>
      <c r="E72" s="399" t="s">
        <v>894</v>
      </c>
      <c r="F72" s="399" t="s">
        <v>1239</v>
      </c>
      <c r="G72" s="399" t="s">
        <v>1239</v>
      </c>
      <c r="H72" s="399" t="s">
        <v>1239</v>
      </c>
      <c r="I72" s="399" t="s">
        <v>1239</v>
      </c>
      <c r="J72" s="399" t="s">
        <v>2326</v>
      </c>
      <c r="K72" s="786">
        <v>44470</v>
      </c>
      <c r="L72" s="399">
        <v>0</v>
      </c>
      <c r="M72" s="399">
        <v>0</v>
      </c>
      <c r="N72" s="399">
        <v>-4.7249999999999996</v>
      </c>
      <c r="O72" s="399">
        <v>-4.7249999999999996</v>
      </c>
      <c r="P72" s="399">
        <v>-4.7249999999999996</v>
      </c>
      <c r="Q72" s="399">
        <v>-4.7249999999999996</v>
      </c>
      <c r="R72" s="399"/>
      <c r="S72" s="399">
        <v>825.6</v>
      </c>
      <c r="T72" s="399">
        <v>185.74</v>
      </c>
      <c r="U72" s="399"/>
      <c r="V72" s="399">
        <v>-4778.5815000000002</v>
      </c>
      <c r="W72" s="399">
        <v>-4778.5815000000002</v>
      </c>
      <c r="X72" s="399">
        <v>-2970.6075000000001</v>
      </c>
      <c r="Y72" s="399">
        <v>0</v>
      </c>
      <c r="Z72" s="399">
        <v>-294.58090976632064</v>
      </c>
      <c r="AA72" s="399">
        <v>0</v>
      </c>
      <c r="AB72" s="399">
        <v>0</v>
      </c>
      <c r="AC72" s="399">
        <v>0</v>
      </c>
      <c r="AD72" s="399">
        <v>-615.81731203674985</v>
      </c>
      <c r="AE72" s="399">
        <v>-2774.8497228982533</v>
      </c>
      <c r="AF72" s="399">
        <v>-877.64176050925653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-45.526292672782191</v>
      </c>
      <c r="AM72" s="399"/>
      <c r="AN72" s="399">
        <v>-11.202348220562376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-158.99860803838376</v>
      </c>
      <c r="BH72" s="399">
        <v>0</v>
      </c>
      <c r="BI72" s="399">
        <v>-3.07</v>
      </c>
      <c r="BJ72" s="399">
        <v>-13.13</v>
      </c>
      <c r="BK72" s="399">
        <v>-1187.99</v>
      </c>
      <c r="BL72" s="399">
        <v>0</v>
      </c>
      <c r="BM72" s="399"/>
      <c r="BN72" s="399"/>
      <c r="BO72" s="399"/>
      <c r="BP72" s="399"/>
      <c r="BQ72" s="399"/>
      <c r="BR72" s="399">
        <v>-356.45399999999995</v>
      </c>
      <c r="BS72" s="399"/>
      <c r="BT72" s="399"/>
      <c r="BU72" s="399"/>
      <c r="BV72" s="399">
        <v>-1036.6403685476403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-2616.9198000000001</v>
      </c>
      <c r="CJ72" s="399">
        <v>1588.2056999999982</v>
      </c>
      <c r="CK72" s="399"/>
      <c r="CL72" s="399"/>
      <c r="CM72" s="399"/>
      <c r="CN72" s="399"/>
      <c r="CO72" s="399">
        <v>1807.9740000000002</v>
      </c>
      <c r="CP72" s="399">
        <v>0</v>
      </c>
      <c r="CQ72" s="399">
        <v>31</v>
      </c>
      <c r="CR72" s="399">
        <v>77.93206733856573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56.690057168003705</v>
      </c>
      <c r="DA72" s="399">
        <v>0</v>
      </c>
      <c r="DB72" s="399">
        <v>0</v>
      </c>
      <c r="DC72" s="399">
        <v>0</v>
      </c>
      <c r="DD72" s="399">
        <v>0</v>
      </c>
      <c r="DE72" s="399">
        <v>0</v>
      </c>
      <c r="DF72" s="399">
        <v>0</v>
      </c>
      <c r="DG72" s="399">
        <v>0</v>
      </c>
      <c r="DH72" s="399">
        <v>0</v>
      </c>
      <c r="DI72" s="399">
        <v>18.219441940574768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2.440773592370391</v>
      </c>
      <c r="DP72" s="399">
        <v>0.58179463761694272</v>
      </c>
      <c r="DQ72" s="399">
        <v>0</v>
      </c>
      <c r="DR72" s="399">
        <v>0</v>
      </c>
      <c r="DS72" s="399"/>
      <c r="DT72" s="399"/>
      <c r="DU72" s="399"/>
      <c r="DV72" s="399">
        <v>-2774.8497228982533</v>
      </c>
      <c r="DW72" s="399">
        <v>0</v>
      </c>
      <c r="DX72" s="399">
        <v>0</v>
      </c>
      <c r="DY72" s="399">
        <v>1807.9740000000002</v>
      </c>
      <c r="DZ72" s="399">
        <v>0</v>
      </c>
      <c r="EA72" s="399">
        <v>0</v>
      </c>
      <c r="EB72" s="399">
        <v>0</v>
      </c>
      <c r="EC72" s="399">
        <v>1730.0547496074496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221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2330</v>
      </c>
      <c r="C73" s="399" t="s">
        <v>2328</v>
      </c>
      <c r="D73" s="399" t="s">
        <v>2337</v>
      </c>
      <c r="E73" s="399" t="s">
        <v>894</v>
      </c>
      <c r="F73" s="399" t="s">
        <v>1239</v>
      </c>
      <c r="G73" s="399" t="s">
        <v>1239</v>
      </c>
      <c r="H73" s="399" t="s">
        <v>1239</v>
      </c>
      <c r="I73" s="399" t="s">
        <v>1239</v>
      </c>
      <c r="J73" s="399" t="s">
        <v>2326</v>
      </c>
      <c r="K73" s="786">
        <v>44470</v>
      </c>
      <c r="L73" s="399">
        <v>0</v>
      </c>
      <c r="M73" s="399">
        <v>0</v>
      </c>
      <c r="N73" s="399">
        <v>20.302</v>
      </c>
      <c r="O73" s="399">
        <v>20.302</v>
      </c>
      <c r="P73" s="399">
        <v>20.302</v>
      </c>
      <c r="Q73" s="399">
        <v>20.302</v>
      </c>
      <c r="R73" s="399"/>
      <c r="S73" s="399">
        <v>825.6</v>
      </c>
      <c r="T73" s="399">
        <v>185.74</v>
      </c>
      <c r="U73" s="399"/>
      <c r="V73" s="399">
        <v>20532.224679999999</v>
      </c>
      <c r="W73" s="399">
        <v>20532.224679999999</v>
      </c>
      <c r="X73" s="399">
        <v>12763.867399999999</v>
      </c>
      <c r="Y73" s="399">
        <v>0</v>
      </c>
      <c r="Z73" s="399">
        <v>1265.7315619208132</v>
      </c>
      <c r="AA73" s="399">
        <v>0</v>
      </c>
      <c r="AB73" s="399">
        <v>0</v>
      </c>
      <c r="AC73" s="399">
        <v>0</v>
      </c>
      <c r="AD73" s="399">
        <v>2645.9943003111316</v>
      </c>
      <c r="AE73" s="399">
        <v>11922.751126831819</v>
      </c>
      <c r="AF73" s="399">
        <v>3770.9805337267571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195.61371298260829</v>
      </c>
      <c r="AM73" s="399"/>
      <c r="AN73" s="399">
        <v>48.133348904520084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683.17243182968627</v>
      </c>
      <c r="BH73" s="399">
        <v>0</v>
      </c>
      <c r="BI73" s="399">
        <v>10.73</v>
      </c>
      <c r="BJ73" s="399">
        <v>47.36</v>
      </c>
      <c r="BK73" s="399">
        <v>7248.09</v>
      </c>
      <c r="BL73" s="399">
        <v>89</v>
      </c>
      <c r="BM73" s="399"/>
      <c r="BN73" s="399"/>
      <c r="BO73" s="399"/>
      <c r="BP73" s="399"/>
      <c r="BQ73" s="399"/>
      <c r="BR73" s="399">
        <v>1531.5828799999999</v>
      </c>
      <c r="BS73" s="399"/>
      <c r="BT73" s="399"/>
      <c r="BU73" s="399"/>
      <c r="BV73" s="399">
        <v>4454.1529655564436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11231.178</v>
      </c>
      <c r="CJ73" s="399">
        <v>-6837.2259599999998</v>
      </c>
      <c r="CK73" s="399"/>
      <c r="CL73" s="399"/>
      <c r="CM73" s="399"/>
      <c r="CN73" s="399"/>
      <c r="CO73" s="399">
        <v>-7768.3572800000011</v>
      </c>
      <c r="CP73" s="399">
        <v>0</v>
      </c>
      <c r="CQ73" s="399">
        <v>31</v>
      </c>
      <c r="CR73" s="399">
        <v>-334.85223938784475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-243.5812784391137</v>
      </c>
      <c r="DA73" s="399">
        <v>0</v>
      </c>
      <c r="DB73" s="399">
        <v>0</v>
      </c>
      <c r="DC73" s="399">
        <v>0</v>
      </c>
      <c r="DD73" s="399">
        <v>0</v>
      </c>
      <c r="DE73" s="399">
        <v>0</v>
      </c>
      <c r="DF73" s="399">
        <v>0</v>
      </c>
      <c r="DG73" s="399">
        <v>0</v>
      </c>
      <c r="DH73" s="399">
        <v>0</v>
      </c>
      <c r="DI73" s="399">
        <v>-78.283832862973441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-10.487319676678055</v>
      </c>
      <c r="DP73" s="399">
        <v>-2.4998084090791934</v>
      </c>
      <c r="DQ73" s="399">
        <v>0</v>
      </c>
      <c r="DR73" s="399">
        <v>0</v>
      </c>
      <c r="DS73" s="399"/>
      <c r="DT73" s="399"/>
      <c r="DU73" s="399"/>
      <c r="DV73" s="399">
        <v>11922.751126831819</v>
      </c>
      <c r="DW73" s="399">
        <v>0</v>
      </c>
      <c r="DX73" s="399">
        <v>0</v>
      </c>
      <c r="DY73" s="399">
        <v>-7768.357280000002</v>
      </c>
      <c r="DZ73" s="399">
        <v>0</v>
      </c>
      <c r="EA73" s="399">
        <v>0</v>
      </c>
      <c r="EB73" s="399">
        <v>0</v>
      </c>
      <c r="EC73" s="399">
        <v>-7433.5601114350156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221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2328</v>
      </c>
      <c r="D74" s="399" t="s">
        <v>1824</v>
      </c>
      <c r="E74" s="399" t="s">
        <v>2338</v>
      </c>
      <c r="F74" s="399" t="s">
        <v>1239</v>
      </c>
      <c r="G74" s="399" t="s">
        <v>1239</v>
      </c>
      <c r="H74" s="399" t="s">
        <v>1239</v>
      </c>
      <c r="I74" s="399" t="s">
        <v>1239</v>
      </c>
      <c r="J74" s="399" t="s">
        <v>2326</v>
      </c>
      <c r="K74" s="786">
        <v>44470</v>
      </c>
      <c r="L74" s="399">
        <v>0</v>
      </c>
      <c r="M74" s="399">
        <v>0</v>
      </c>
      <c r="N74" s="399">
        <v>20.651</v>
      </c>
      <c r="O74" s="399">
        <v>20.651</v>
      </c>
      <c r="P74" s="399">
        <v>20.651</v>
      </c>
      <c r="Q74" s="399">
        <v>20.651</v>
      </c>
      <c r="R74" s="399"/>
      <c r="S74" s="399">
        <v>825.6</v>
      </c>
      <c r="T74" s="399">
        <v>185.74</v>
      </c>
      <c r="U74" s="399"/>
      <c r="V74" s="399">
        <v>20885.182339999999</v>
      </c>
      <c r="W74" s="399">
        <v>20885.182339999999</v>
      </c>
      <c r="X74" s="399">
        <v>12983.2837</v>
      </c>
      <c r="Y74" s="399">
        <v>0</v>
      </c>
      <c r="Z74" s="399">
        <v>1287.4900248855636</v>
      </c>
      <c r="AA74" s="399">
        <v>0</v>
      </c>
      <c r="AB74" s="399">
        <v>0</v>
      </c>
      <c r="AC74" s="399">
        <v>0</v>
      </c>
      <c r="AD74" s="399">
        <v>2691.4800657927881</v>
      </c>
      <c r="AE74" s="399">
        <v>12127.708280967585</v>
      </c>
      <c r="AF74" s="399">
        <v>3835.8052902172822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198.97639576415347</v>
      </c>
      <c r="AM74" s="399"/>
      <c r="AN74" s="399">
        <v>48.960781609065322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694.91645600014044</v>
      </c>
      <c r="BH74" s="399">
        <v>0</v>
      </c>
      <c r="BI74" s="399">
        <v>13.14</v>
      </c>
      <c r="BJ74" s="399">
        <v>57.58</v>
      </c>
      <c r="BK74" s="399">
        <v>3413.85</v>
      </c>
      <c r="BL74" s="399">
        <v>90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4530.7217462174231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12982.654999999999</v>
      </c>
      <c r="CJ74" s="399">
        <v>-7902.5573399999957</v>
      </c>
      <c r="CK74" s="399"/>
      <c r="CL74" s="399"/>
      <c r="CM74" s="399"/>
      <c r="CN74" s="399"/>
      <c r="CO74" s="399">
        <v>-7901.8986400000013</v>
      </c>
      <c r="CP74" s="399">
        <v>0</v>
      </c>
      <c r="CQ74" s="399">
        <v>31</v>
      </c>
      <c r="CR74" s="399">
        <v>-340.60849155739925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-247.76854403734296</v>
      </c>
      <c r="DA74" s="399">
        <v>0</v>
      </c>
      <c r="DB74" s="399">
        <v>0</v>
      </c>
      <c r="DC74" s="399">
        <v>0</v>
      </c>
      <c r="DD74" s="399">
        <v>0</v>
      </c>
      <c r="DE74" s="399">
        <v>0</v>
      </c>
      <c r="DF74" s="399">
        <v>0</v>
      </c>
      <c r="DG74" s="399">
        <v>0</v>
      </c>
      <c r="DH74" s="399">
        <v>0</v>
      </c>
      <c r="DI74" s="399">
        <v>-79.629565188319475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-10.667601154717659</v>
      </c>
      <c r="DP74" s="399">
        <v>-2.5427811770216877</v>
      </c>
      <c r="DQ74" s="399">
        <v>0</v>
      </c>
      <c r="DR74" s="399">
        <v>0</v>
      </c>
      <c r="DS74" s="399"/>
      <c r="DT74" s="399"/>
      <c r="DU74" s="399"/>
      <c r="DV74" s="399">
        <v>12127.708280967585</v>
      </c>
      <c r="DW74" s="399">
        <v>0</v>
      </c>
      <c r="DX74" s="399">
        <v>0</v>
      </c>
      <c r="DY74" s="399">
        <v>-7901.8986399999994</v>
      </c>
      <c r="DZ74" s="399">
        <v>0</v>
      </c>
      <c r="EA74" s="399">
        <v>0</v>
      </c>
      <c r="EB74" s="399">
        <v>0</v>
      </c>
      <c r="EC74" s="399">
        <v>-7561.3461659562854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221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2328</v>
      </c>
      <c r="D75" s="399" t="s">
        <v>2339</v>
      </c>
      <c r="E75" s="399" t="s">
        <v>2340</v>
      </c>
      <c r="F75" s="399" t="s">
        <v>2341</v>
      </c>
      <c r="G75" s="399" t="s">
        <v>1239</v>
      </c>
      <c r="H75" s="399" t="s">
        <v>1239</v>
      </c>
      <c r="I75" s="399" t="s">
        <v>1239</v>
      </c>
      <c r="J75" s="399" t="s">
        <v>2326</v>
      </c>
      <c r="K75" s="786">
        <v>44470</v>
      </c>
      <c r="L75" s="399">
        <v>0</v>
      </c>
      <c r="M75" s="399">
        <v>0</v>
      </c>
      <c r="N75" s="399">
        <v>191.27699999999999</v>
      </c>
      <c r="O75" s="399">
        <v>191.27699999999999</v>
      </c>
      <c r="P75" s="399">
        <v>191.27699999999999</v>
      </c>
      <c r="Q75" s="399">
        <v>191.27699999999999</v>
      </c>
      <c r="R75" s="399"/>
      <c r="S75" s="399">
        <v>454.08</v>
      </c>
      <c r="T75" s="399">
        <v>102.16</v>
      </c>
      <c r="U75" s="399"/>
      <c r="V75" s="399">
        <v>106395.91847999999</v>
      </c>
      <c r="W75" s="399">
        <v>106395.91847999999</v>
      </c>
      <c r="X75" s="399">
        <v>66141.673829999985</v>
      </c>
      <c r="Y75" s="399">
        <v>0</v>
      </c>
      <c r="Z75" s="399">
        <v>6558.8579836094978</v>
      </c>
      <c r="AA75" s="399">
        <v>0</v>
      </c>
      <c r="AB75" s="399">
        <v>0</v>
      </c>
      <c r="AC75" s="399">
        <v>0</v>
      </c>
      <c r="AD75" s="399">
        <v>13711.201777132179</v>
      </c>
      <c r="AE75" s="399">
        <v>61782.161216030712</v>
      </c>
      <c r="AF75" s="399">
        <v>19540.735590203411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1013.6450742781938</v>
      </c>
      <c r="AM75" s="399"/>
      <c r="AN75" s="399">
        <v>249.42081657597595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3540.1115793368967</v>
      </c>
      <c r="BH75" s="399">
        <v>0</v>
      </c>
      <c r="BI75" s="399">
        <v>87.48</v>
      </c>
      <c r="BJ75" s="399">
        <v>375.05</v>
      </c>
      <c r="BK75" s="399">
        <v>31255.11</v>
      </c>
      <c r="BL75" s="399">
        <v>9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23080.847169540306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66142.711199999991</v>
      </c>
      <c r="CJ75" s="399">
        <v>-40253.237279999987</v>
      </c>
      <c r="CK75" s="399"/>
      <c r="CL75" s="399"/>
      <c r="CM75" s="399"/>
      <c r="CN75" s="399"/>
      <c r="CO75" s="399">
        <v>-40254.244649999993</v>
      </c>
      <c r="CP75" s="399">
        <v>0</v>
      </c>
      <c r="CQ75" s="399">
        <v>31</v>
      </c>
      <c r="CR75" s="399">
        <v>-1735.1611903440207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-1262.2068223721526</v>
      </c>
      <c r="DA75" s="399">
        <v>0</v>
      </c>
      <c r="DB75" s="399">
        <v>0</v>
      </c>
      <c r="DC75" s="399">
        <v>0</v>
      </c>
      <c r="DD75" s="399">
        <v>0</v>
      </c>
      <c r="DE75" s="399">
        <v>0</v>
      </c>
      <c r="DF75" s="399">
        <v>0</v>
      </c>
      <c r="DG75" s="399">
        <v>0</v>
      </c>
      <c r="DH75" s="399">
        <v>0</v>
      </c>
      <c r="DI75" s="399">
        <v>-405.6567423993738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-54.343940261440594</v>
      </c>
      <c r="DP75" s="399">
        <v>-12.953685311048872</v>
      </c>
      <c r="DQ75" s="399">
        <v>0</v>
      </c>
      <c r="DR75" s="399">
        <v>0</v>
      </c>
      <c r="DS75" s="399"/>
      <c r="DT75" s="399"/>
      <c r="DU75" s="399"/>
      <c r="DV75" s="399">
        <v>61782.161216030712</v>
      </c>
      <c r="DW75" s="399">
        <v>0</v>
      </c>
      <c r="DX75" s="399">
        <v>0</v>
      </c>
      <c r="DY75" s="399">
        <v>-40254.244650000001</v>
      </c>
      <c r="DZ75" s="399">
        <v>0</v>
      </c>
      <c r="EA75" s="399">
        <v>0</v>
      </c>
      <c r="EB75" s="399">
        <v>0</v>
      </c>
      <c r="EC75" s="399">
        <v>-38519.751383569426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221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2328</v>
      </c>
      <c r="D76" s="399" t="s">
        <v>2339</v>
      </c>
      <c r="E76" s="399" t="s">
        <v>2340</v>
      </c>
      <c r="F76" s="399" t="s">
        <v>2578</v>
      </c>
      <c r="G76" s="399" t="s">
        <v>1239</v>
      </c>
      <c r="H76" s="399" t="s">
        <v>1239</v>
      </c>
      <c r="I76" s="399" t="s">
        <v>1239</v>
      </c>
      <c r="J76" s="399" t="s">
        <v>2326</v>
      </c>
      <c r="K76" s="786">
        <v>44470</v>
      </c>
      <c r="L76" s="399">
        <v>0</v>
      </c>
      <c r="M76" s="399">
        <v>0</v>
      </c>
      <c r="N76" s="399">
        <v>130.39699999999999</v>
      </c>
      <c r="O76" s="399">
        <v>130.39699999999999</v>
      </c>
      <c r="P76" s="399">
        <v>130.39699999999999</v>
      </c>
      <c r="Q76" s="399">
        <v>130.39699999999999</v>
      </c>
      <c r="R76" s="399"/>
      <c r="S76" s="399">
        <v>495.36</v>
      </c>
      <c r="T76" s="399">
        <v>111.45</v>
      </c>
      <c r="U76" s="399"/>
      <c r="V76" s="399">
        <v>79126.203569999998</v>
      </c>
      <c r="W76" s="399">
        <v>79126.203569999998</v>
      </c>
      <c r="X76" s="399">
        <v>49189.660309999992</v>
      </c>
      <c r="Y76" s="399">
        <v>0</v>
      </c>
      <c r="Z76" s="399">
        <v>4877.7735734347807</v>
      </c>
      <c r="AA76" s="399">
        <v>0</v>
      </c>
      <c r="AB76" s="399">
        <v>0</v>
      </c>
      <c r="AC76" s="399">
        <v>0</v>
      </c>
      <c r="AD76" s="399">
        <v>10196.918100019844</v>
      </c>
      <c r="AE76" s="399">
        <v>45946.930706890686</v>
      </c>
      <c r="AF76" s="399">
        <v>14532.298748587342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753.84025214638416</v>
      </c>
      <c r="AM76" s="399"/>
      <c r="AN76" s="399">
        <v>185.49239376719623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2632.7544752229928</v>
      </c>
      <c r="BH76" s="399">
        <v>0</v>
      </c>
      <c r="BI76" s="399">
        <v>63.48</v>
      </c>
      <c r="BJ76" s="399">
        <v>272.16000000000003</v>
      </c>
      <c r="BK76" s="399">
        <v>22680.51</v>
      </c>
      <c r="BL76" s="399">
        <v>6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17165.053223810333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49190.792000000001</v>
      </c>
      <c r="CJ76" s="399">
        <v>-29935.441569999995</v>
      </c>
      <c r="CK76" s="399"/>
      <c r="CL76" s="399"/>
      <c r="CM76" s="399"/>
      <c r="CN76" s="399"/>
      <c r="CO76" s="399">
        <v>-29936.543260000002</v>
      </c>
      <c r="CP76" s="399">
        <v>0</v>
      </c>
      <c r="CQ76" s="399">
        <v>31</v>
      </c>
      <c r="CR76" s="399">
        <v>-1290.4263853647099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-938.69376311571796</v>
      </c>
      <c r="DA76" s="399">
        <v>0</v>
      </c>
      <c r="DB76" s="399">
        <v>0</v>
      </c>
      <c r="DC76" s="399">
        <v>0</v>
      </c>
      <c r="DD76" s="399">
        <v>0</v>
      </c>
      <c r="DE76" s="399">
        <v>0</v>
      </c>
      <c r="DF76" s="399">
        <v>0</v>
      </c>
      <c r="DG76" s="399">
        <v>0</v>
      </c>
      <c r="DH76" s="399">
        <v>0</v>
      </c>
      <c r="DI76" s="399">
        <v>-301.68388199684523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-40.415181476103726</v>
      </c>
      <c r="DP76" s="399">
        <v>-9.6335587760422356</v>
      </c>
      <c r="DQ76" s="399">
        <v>0</v>
      </c>
      <c r="DR76" s="399">
        <v>0</v>
      </c>
      <c r="DS76" s="399"/>
      <c r="DT76" s="399"/>
      <c r="DU76" s="399"/>
      <c r="DV76" s="399">
        <v>45946.930706890686</v>
      </c>
      <c r="DW76" s="399">
        <v>0</v>
      </c>
      <c r="DX76" s="399">
        <v>0</v>
      </c>
      <c r="DY76" s="399">
        <v>-29936.543260000006</v>
      </c>
      <c r="DZ76" s="399">
        <v>0</v>
      </c>
      <c r="EA76" s="399">
        <v>0</v>
      </c>
      <c r="EB76" s="399">
        <v>0</v>
      </c>
      <c r="EC76" s="399">
        <v>-28646.850690103263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221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2328</v>
      </c>
      <c r="D77" s="399" t="s">
        <v>1824</v>
      </c>
      <c r="E77" s="399" t="s">
        <v>921</v>
      </c>
      <c r="F77" s="399" t="s">
        <v>2327</v>
      </c>
      <c r="G77" s="399" t="s">
        <v>1239</v>
      </c>
      <c r="H77" s="399" t="s">
        <v>1239</v>
      </c>
      <c r="I77" s="399" t="s">
        <v>1239</v>
      </c>
      <c r="J77" s="399" t="s">
        <v>2326</v>
      </c>
      <c r="K77" s="786">
        <v>44470</v>
      </c>
      <c r="L77" s="399">
        <v>0</v>
      </c>
      <c r="M77" s="399">
        <v>0</v>
      </c>
      <c r="N77" s="399">
        <v>8.4420000000000002</v>
      </c>
      <c r="O77" s="399">
        <v>7.9354800000000001</v>
      </c>
      <c r="P77" s="399">
        <v>8.4420000000000002</v>
      </c>
      <c r="Q77" s="399">
        <v>7.9354800000000001</v>
      </c>
      <c r="R77" s="399"/>
      <c r="S77" s="399">
        <v>825.6</v>
      </c>
      <c r="T77" s="399">
        <v>185.74</v>
      </c>
      <c r="U77" s="399"/>
      <c r="V77" s="399">
        <v>8537.7322800000002</v>
      </c>
      <c r="W77" s="399">
        <v>8537.7322800000002</v>
      </c>
      <c r="X77" s="399">
        <v>5307.4853999999996</v>
      </c>
      <c r="Y77" s="399">
        <v>0</v>
      </c>
      <c r="Z77" s="399">
        <v>526.31789211582634</v>
      </c>
      <c r="AA77" s="399">
        <v>0</v>
      </c>
      <c r="AB77" s="399">
        <v>0</v>
      </c>
      <c r="AC77" s="399">
        <v>0</v>
      </c>
      <c r="AD77" s="399">
        <v>1100.2602641723265</v>
      </c>
      <c r="AE77" s="399">
        <v>4957.7315049115468</v>
      </c>
      <c r="AF77" s="399">
        <v>1568.0532787765385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81.340309575370867</v>
      </c>
      <c r="AM77" s="399"/>
      <c r="AN77" s="399">
        <v>20.014862154071448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284.07751302857901</v>
      </c>
      <c r="BH77" s="399">
        <v>0</v>
      </c>
      <c r="BI77" s="399">
        <v>3.92</v>
      </c>
      <c r="BJ77" s="399">
        <v>16.91</v>
      </c>
      <c r="BK77" s="399">
        <v>0</v>
      </c>
      <c r="BL77" s="399">
        <v>5</v>
      </c>
      <c r="BM77" s="399"/>
      <c r="BN77" s="399"/>
      <c r="BO77" s="399"/>
      <c r="BP77" s="399"/>
      <c r="BQ77" s="399">
        <v>318.44912400000004</v>
      </c>
      <c r="BR77" s="399"/>
      <c r="BS77" s="399"/>
      <c r="BT77" s="399"/>
      <c r="BU77" s="399"/>
      <c r="BV77" s="399">
        <v>1852.1307918051175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4991.8780000000006</v>
      </c>
      <c r="CJ77" s="399">
        <v>-3033.6203432000002</v>
      </c>
      <c r="CK77" s="399"/>
      <c r="CL77" s="399"/>
      <c r="CM77" s="399"/>
      <c r="CN77" s="399"/>
      <c r="CO77" s="399">
        <v>-3230.2468800000006</v>
      </c>
      <c r="CP77" s="399">
        <v>0</v>
      </c>
      <c r="CQ77" s="399">
        <v>31</v>
      </c>
      <c r="CR77" s="399">
        <v>-139.23862697823824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-101.28623547349991</v>
      </c>
      <c r="DA77" s="399">
        <v>0</v>
      </c>
      <c r="DB77" s="399">
        <v>0</v>
      </c>
      <c r="DC77" s="399">
        <v>0</v>
      </c>
      <c r="DD77" s="399">
        <v>0</v>
      </c>
      <c r="DE77" s="399">
        <v>0</v>
      </c>
      <c r="DF77" s="399">
        <v>0</v>
      </c>
      <c r="DG77" s="399">
        <v>0</v>
      </c>
      <c r="DH77" s="399">
        <v>0</v>
      </c>
      <c r="DI77" s="399">
        <v>-32.552069600493667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-4.3608488183684386</v>
      </c>
      <c r="DP77" s="399">
        <v>-1.0394730858756027</v>
      </c>
      <c r="DQ77" s="399">
        <v>0</v>
      </c>
      <c r="DR77" s="399">
        <v>0</v>
      </c>
      <c r="DS77" s="399"/>
      <c r="DT77" s="399"/>
      <c r="DU77" s="399"/>
      <c r="DV77" s="399">
        <v>4957.7315049115468</v>
      </c>
      <c r="DW77" s="399">
        <v>0</v>
      </c>
      <c r="DX77" s="399">
        <v>0</v>
      </c>
      <c r="DY77" s="399">
        <v>-3230.2468800000006</v>
      </c>
      <c r="DZ77" s="399">
        <v>0</v>
      </c>
      <c r="EA77" s="399">
        <v>0</v>
      </c>
      <c r="EB77" s="399">
        <v>0</v>
      </c>
      <c r="EC77" s="399">
        <v>-3091.0311526319774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221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2328</v>
      </c>
      <c r="D78" s="399" t="s">
        <v>1824</v>
      </c>
      <c r="E78" s="399" t="s">
        <v>2579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2326</v>
      </c>
      <c r="K78" s="786">
        <v>44470</v>
      </c>
      <c r="L78" s="399">
        <v>0</v>
      </c>
      <c r="M78" s="399">
        <v>0</v>
      </c>
      <c r="N78" s="399">
        <v>0.504</v>
      </c>
      <c r="O78" s="399">
        <v>0.504</v>
      </c>
      <c r="P78" s="399">
        <v>0.504</v>
      </c>
      <c r="Q78" s="399">
        <v>0.504</v>
      </c>
      <c r="R78" s="399"/>
      <c r="S78" s="399">
        <v>825.6</v>
      </c>
      <c r="T78" s="399">
        <v>185.74</v>
      </c>
      <c r="U78" s="399"/>
      <c r="V78" s="399">
        <v>509.71535999999998</v>
      </c>
      <c r="W78" s="399">
        <v>509.71535999999998</v>
      </c>
      <c r="X78" s="399">
        <v>316.8648</v>
      </c>
      <c r="Y78" s="399">
        <v>0</v>
      </c>
      <c r="Z78" s="399">
        <v>31.421963708407539</v>
      </c>
      <c r="AA78" s="399">
        <v>0</v>
      </c>
      <c r="AB78" s="399">
        <v>0</v>
      </c>
      <c r="AC78" s="399">
        <v>0</v>
      </c>
      <c r="AD78" s="399">
        <v>65.687179950586653</v>
      </c>
      <c r="AE78" s="399">
        <v>295.98397044248037</v>
      </c>
      <c r="AF78" s="399">
        <v>93.615121120987368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4.8561378850967678</v>
      </c>
      <c r="AM78" s="399"/>
      <c r="AN78" s="399">
        <v>1.1949171435266537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16.959851524094269</v>
      </c>
      <c r="BH78" s="399">
        <v>0</v>
      </c>
      <c r="BI78" s="399">
        <v>0.34</v>
      </c>
      <c r="BJ78" s="399">
        <v>1.54</v>
      </c>
      <c r="BK78" s="399">
        <v>128.52000000000001</v>
      </c>
      <c r="BL78" s="399">
        <v>4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110.57497264508163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314.35000000000002</v>
      </c>
      <c r="CJ78" s="399">
        <v>-195.39535999999993</v>
      </c>
      <c r="CK78" s="399"/>
      <c r="CL78" s="399"/>
      <c r="CM78" s="399"/>
      <c r="CN78" s="399"/>
      <c r="CO78" s="399">
        <v>-192.85056000000003</v>
      </c>
      <c r="CP78" s="399">
        <v>0</v>
      </c>
      <c r="CQ78" s="399">
        <v>31</v>
      </c>
      <c r="CR78" s="399">
        <v>-8.3127538494469775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-6.0469394312537261</v>
      </c>
      <c r="DA78" s="399">
        <v>0</v>
      </c>
      <c r="DB78" s="399">
        <v>0</v>
      </c>
      <c r="DC78" s="399">
        <v>0</v>
      </c>
      <c r="DD78" s="399">
        <v>0</v>
      </c>
      <c r="DE78" s="399">
        <v>0</v>
      </c>
      <c r="DF78" s="399">
        <v>0</v>
      </c>
      <c r="DG78" s="399">
        <v>0</v>
      </c>
      <c r="DH78" s="399">
        <v>0</v>
      </c>
      <c r="DI78" s="399">
        <v>-1.9434071403279773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-0.26034918318617528</v>
      </c>
      <c r="DP78" s="399">
        <v>-6.2058094679140696E-2</v>
      </c>
      <c r="DQ78" s="399">
        <v>0</v>
      </c>
      <c r="DR78" s="399">
        <v>0</v>
      </c>
      <c r="DS78" s="399"/>
      <c r="DT78" s="399"/>
      <c r="DU78" s="399"/>
      <c r="DV78" s="399">
        <v>295.98397044248037</v>
      </c>
      <c r="DW78" s="399">
        <v>0</v>
      </c>
      <c r="DX78" s="399">
        <v>0</v>
      </c>
      <c r="DY78" s="399">
        <v>-192.85056</v>
      </c>
      <c r="DZ78" s="399">
        <v>0</v>
      </c>
      <c r="EA78" s="399">
        <v>0</v>
      </c>
      <c r="EB78" s="399">
        <v>0</v>
      </c>
      <c r="EC78" s="399">
        <v>-184.53917329146128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221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2328</v>
      </c>
      <c r="D79" s="399" t="s">
        <v>1824</v>
      </c>
      <c r="E79" s="399" t="s">
        <v>921</v>
      </c>
      <c r="F79" s="399" t="s">
        <v>2580</v>
      </c>
      <c r="G79" s="399" t="s">
        <v>1239</v>
      </c>
      <c r="H79" s="399" t="s">
        <v>1239</v>
      </c>
      <c r="I79" s="399" t="s">
        <v>1239</v>
      </c>
      <c r="J79" s="399" t="s">
        <v>2326</v>
      </c>
      <c r="K79" s="786">
        <v>44470</v>
      </c>
      <c r="L79" s="399">
        <v>0</v>
      </c>
      <c r="M79" s="399">
        <v>0</v>
      </c>
      <c r="N79" s="399">
        <v>5.8000000000000003E-2</v>
      </c>
      <c r="O79" s="399">
        <v>5.8000000000000003E-2</v>
      </c>
      <c r="P79" s="399">
        <v>5.8000000000000003E-2</v>
      </c>
      <c r="Q79" s="399">
        <v>5.8000000000000003E-2</v>
      </c>
      <c r="R79" s="399"/>
      <c r="S79" s="399">
        <v>825.6</v>
      </c>
      <c r="T79" s="399">
        <v>185.74</v>
      </c>
      <c r="U79" s="399"/>
      <c r="V79" s="399">
        <v>58.657720000000005</v>
      </c>
      <c r="W79" s="399">
        <v>58.657720000000005</v>
      </c>
      <c r="X79" s="399">
        <v>36.464600000000004</v>
      </c>
      <c r="Y79" s="399">
        <v>0</v>
      </c>
      <c r="Z79" s="399">
        <v>3.6160196331103918</v>
      </c>
      <c r="AA79" s="399">
        <v>0</v>
      </c>
      <c r="AB79" s="399">
        <v>0</v>
      </c>
      <c r="AC79" s="399">
        <v>0</v>
      </c>
      <c r="AD79" s="399">
        <v>7.5592389625675125</v>
      </c>
      <c r="AE79" s="399">
        <v>34.061647392190203</v>
      </c>
      <c r="AF79" s="399">
        <v>10.773168700431087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0.55884126455478678</v>
      </c>
      <c r="AM79" s="399"/>
      <c r="AN79" s="399">
        <v>0.13751030619949586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1.9517289452330708</v>
      </c>
      <c r="BH79" s="399">
        <v>0</v>
      </c>
      <c r="BI79" s="399">
        <v>0.03</v>
      </c>
      <c r="BJ79" s="399">
        <v>0.13</v>
      </c>
      <c r="BK79" s="399">
        <v>0</v>
      </c>
      <c r="BL79" s="399">
        <v>1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12.724897645664159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37.721999999999994</v>
      </c>
      <c r="CJ79" s="399">
        <v>-20.965720000000005</v>
      </c>
      <c r="CK79" s="399"/>
      <c r="CL79" s="399"/>
      <c r="CM79" s="399"/>
      <c r="CN79" s="399"/>
      <c r="CO79" s="399">
        <v>-22.193120000000004</v>
      </c>
      <c r="CP79" s="399">
        <v>0</v>
      </c>
      <c r="CQ79" s="399">
        <v>31</v>
      </c>
      <c r="CR79" s="399">
        <v>-0.95662643505541212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-0.69587795042205602</v>
      </c>
      <c r="DA79" s="399">
        <v>0</v>
      </c>
      <c r="DB79" s="399">
        <v>0</v>
      </c>
      <c r="DC79" s="399">
        <v>0</v>
      </c>
      <c r="DD79" s="399">
        <v>0</v>
      </c>
      <c r="DE79" s="399">
        <v>0</v>
      </c>
      <c r="DF79" s="399">
        <v>0</v>
      </c>
      <c r="DG79" s="399">
        <v>0</v>
      </c>
      <c r="DH79" s="399">
        <v>0</v>
      </c>
      <c r="DI79" s="399">
        <v>-0.22364605979964836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-2.9960818699996339E-2</v>
      </c>
      <c r="DP79" s="399">
        <v>-7.1416061337106207E-3</v>
      </c>
      <c r="DQ79" s="399">
        <v>0</v>
      </c>
      <c r="DR79" s="399">
        <v>0</v>
      </c>
      <c r="DS79" s="399"/>
      <c r="DT79" s="399"/>
      <c r="DU79" s="399"/>
      <c r="DV79" s="399">
        <v>34.061647392190203</v>
      </c>
      <c r="DW79" s="399">
        <v>0</v>
      </c>
      <c r="DX79" s="399">
        <v>0</v>
      </c>
      <c r="DY79" s="399">
        <v>-22.193120000000004</v>
      </c>
      <c r="DZ79" s="399">
        <v>0</v>
      </c>
      <c r="EA79" s="399">
        <v>0</v>
      </c>
      <c r="EB79" s="399">
        <v>0</v>
      </c>
      <c r="EC79" s="399">
        <v>-21.236650894652293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221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2328</v>
      </c>
      <c r="D80" s="399" t="s">
        <v>1821</v>
      </c>
      <c r="E80" s="399" t="s">
        <v>889</v>
      </c>
      <c r="F80" s="399" t="s">
        <v>889</v>
      </c>
      <c r="G80" s="399" t="s">
        <v>1239</v>
      </c>
      <c r="H80" s="399" t="s">
        <v>1239</v>
      </c>
      <c r="I80" s="399" t="s">
        <v>1239</v>
      </c>
      <c r="J80" s="399" t="s">
        <v>2326</v>
      </c>
      <c r="K80" s="786">
        <v>44501</v>
      </c>
      <c r="L80" s="399">
        <v>0</v>
      </c>
      <c r="M80" s="399">
        <v>0</v>
      </c>
      <c r="N80" s="399">
        <v>1202.6389999999999</v>
      </c>
      <c r="O80" s="399">
        <v>1202.6389999999999</v>
      </c>
      <c r="P80" s="399">
        <v>1202.6389999999999</v>
      </c>
      <c r="Q80" s="399">
        <v>1202.6389999999999</v>
      </c>
      <c r="R80" s="399"/>
      <c r="S80" s="399">
        <v>825.6</v>
      </c>
      <c r="T80" s="399">
        <v>185.74</v>
      </c>
      <c r="U80" s="399"/>
      <c r="V80" s="399">
        <v>1216276.9262599999</v>
      </c>
      <c r="W80" s="399">
        <v>1216276.9262599999</v>
      </c>
      <c r="X80" s="399">
        <v>756099.13929999992</v>
      </c>
      <c r="Y80" s="399">
        <v>0</v>
      </c>
      <c r="Z80" s="399">
        <v>74978.728199038756</v>
      </c>
      <c r="AA80" s="399">
        <v>0</v>
      </c>
      <c r="AB80" s="399">
        <v>0</v>
      </c>
      <c r="AC80" s="399">
        <v>0</v>
      </c>
      <c r="AD80" s="399">
        <v>156741.99287419362</v>
      </c>
      <c r="AE80" s="399">
        <v>706273.54410510743</v>
      </c>
      <c r="AF80" s="399">
        <v>223383.32470203002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11587.660337291451</v>
      </c>
      <c r="AM80" s="399"/>
      <c r="AN80" s="399">
        <v>2851.2975368526804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40469.402533899221</v>
      </c>
      <c r="BH80" s="399">
        <v>0</v>
      </c>
      <c r="BI80" s="399">
        <v>700.06</v>
      </c>
      <c r="BJ80" s="399">
        <v>3630.56</v>
      </c>
      <c r="BK80" s="399">
        <v>189048.81</v>
      </c>
      <c r="BL80" s="399">
        <v>8057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263852.72723592923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756099.76800000004</v>
      </c>
      <c r="CJ80" s="399">
        <v>-460177.18825999985</v>
      </c>
      <c r="CK80" s="399"/>
      <c r="CL80" s="399"/>
      <c r="CM80" s="399"/>
      <c r="CN80" s="399"/>
      <c r="CO80" s="399">
        <v>-460177.78696</v>
      </c>
      <c r="CP80" s="399">
        <v>0</v>
      </c>
      <c r="CQ80" s="399">
        <v>30</v>
      </c>
      <c r="CR80" s="399">
        <v>-19835.797572906944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-14429.137283062621</v>
      </c>
      <c r="DA80" s="399">
        <v>0</v>
      </c>
      <c r="DB80" s="399">
        <v>0</v>
      </c>
      <c r="DC80" s="399">
        <v>0</v>
      </c>
      <c r="DD80" s="399">
        <v>0</v>
      </c>
      <c r="DE80" s="399">
        <v>0</v>
      </c>
      <c r="DF80" s="399">
        <v>0</v>
      </c>
      <c r="DG80" s="399">
        <v>0</v>
      </c>
      <c r="DH80" s="399">
        <v>0</v>
      </c>
      <c r="DI80" s="399">
        <v>-4637.335753644642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-621.24222483698213</v>
      </c>
      <c r="DP80" s="399">
        <v>-148.08231136275162</v>
      </c>
      <c r="DQ80" s="399">
        <v>0</v>
      </c>
      <c r="DR80" s="399">
        <v>0</v>
      </c>
      <c r="DS80" s="399"/>
      <c r="DT80" s="399"/>
      <c r="DU80" s="399"/>
      <c r="DV80" s="399">
        <v>706273.54410510743</v>
      </c>
      <c r="DW80" s="399">
        <v>0</v>
      </c>
      <c r="DX80" s="399">
        <v>0</v>
      </c>
      <c r="DY80" s="399">
        <v>-460177.78696000006</v>
      </c>
      <c r="DZ80" s="399">
        <v>0</v>
      </c>
      <c r="EA80" s="399">
        <v>0</v>
      </c>
      <c r="EB80" s="399">
        <v>0</v>
      </c>
      <c r="EC80" s="399">
        <v>-440345.25164299546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221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2329</v>
      </c>
      <c r="C81" s="399" t="s">
        <v>2328</v>
      </c>
      <c r="D81" s="399" t="s">
        <v>1821</v>
      </c>
      <c r="E81" s="399" t="s">
        <v>889</v>
      </c>
      <c r="F81" s="399" t="s">
        <v>889</v>
      </c>
      <c r="G81" s="399" t="s">
        <v>1239</v>
      </c>
      <c r="H81" s="399" t="s">
        <v>1239</v>
      </c>
      <c r="I81" s="399" t="s">
        <v>1239</v>
      </c>
      <c r="J81" s="399" t="s">
        <v>2326</v>
      </c>
      <c r="K81" s="786">
        <v>44501</v>
      </c>
      <c r="L81" s="399">
        <v>0</v>
      </c>
      <c r="M81" s="399">
        <v>0</v>
      </c>
      <c r="N81" s="399">
        <v>-2.8410000000000002</v>
      </c>
      <c r="O81" s="399">
        <v>-2.8410000000000002</v>
      </c>
      <c r="P81" s="399">
        <v>-2.8410000000000002</v>
      </c>
      <c r="Q81" s="399">
        <v>-2.8410000000000002</v>
      </c>
      <c r="R81" s="399"/>
      <c r="S81" s="399">
        <v>825.6</v>
      </c>
      <c r="T81" s="399">
        <v>185.74</v>
      </c>
      <c r="U81" s="399"/>
      <c r="V81" s="399">
        <v>-2873.2169400000002</v>
      </c>
      <c r="W81" s="399">
        <v>-2873.2169400000002</v>
      </c>
      <c r="X81" s="399">
        <v>-1786.1367</v>
      </c>
      <c r="Y81" s="399">
        <v>0</v>
      </c>
      <c r="Z81" s="399">
        <v>-177.12261685632109</v>
      </c>
      <c r="AA81" s="399">
        <v>0</v>
      </c>
      <c r="AB81" s="399">
        <v>0</v>
      </c>
      <c r="AC81" s="399">
        <v>0</v>
      </c>
      <c r="AD81" s="399">
        <v>-370.27237745955699</v>
      </c>
      <c r="AE81" s="399">
        <v>-1668.4334524346962</v>
      </c>
      <c r="AF81" s="399">
        <v>-527.69952203318485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-27.373586768968092</v>
      </c>
      <c r="AM81" s="399"/>
      <c r="AN81" s="399">
        <v>-6.7356341364270298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-95.601067817364736</v>
      </c>
      <c r="BH81" s="399">
        <v>0</v>
      </c>
      <c r="BI81" s="399">
        <v>-1.86</v>
      </c>
      <c r="BJ81" s="399">
        <v>-8.2799999999999994</v>
      </c>
      <c r="BK81" s="399">
        <v>-596.24</v>
      </c>
      <c r="BL81" s="399">
        <v>0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-623.30058985054961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-1785.508</v>
      </c>
      <c r="CJ81" s="399">
        <v>1087.6789399999996</v>
      </c>
      <c r="CK81" s="399"/>
      <c r="CL81" s="399"/>
      <c r="CM81" s="399"/>
      <c r="CN81" s="399"/>
      <c r="CO81" s="399">
        <v>1087.0802400000002</v>
      </c>
      <c r="CP81" s="399">
        <v>0</v>
      </c>
      <c r="CQ81" s="399">
        <v>30</v>
      </c>
      <c r="CR81" s="399">
        <v>46.858201758490168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34.08602167498384</v>
      </c>
      <c r="DA81" s="399">
        <v>0</v>
      </c>
      <c r="DB81" s="399">
        <v>0</v>
      </c>
      <c r="DC81" s="399">
        <v>0</v>
      </c>
      <c r="DD81" s="399">
        <v>0</v>
      </c>
      <c r="DE81" s="399">
        <v>0</v>
      </c>
      <c r="DF81" s="399">
        <v>0</v>
      </c>
      <c r="DG81" s="399">
        <v>0</v>
      </c>
      <c r="DH81" s="399">
        <v>0</v>
      </c>
      <c r="DI81" s="399">
        <v>10.954800963634511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1.4675635504601665</v>
      </c>
      <c r="DP81" s="399">
        <v>0.34981556941158409</v>
      </c>
      <c r="DQ81" s="399">
        <v>0</v>
      </c>
      <c r="DR81" s="399">
        <v>0</v>
      </c>
      <c r="DS81" s="399"/>
      <c r="DT81" s="399"/>
      <c r="DU81" s="399"/>
      <c r="DV81" s="399">
        <v>-1668.4334524346962</v>
      </c>
      <c r="DW81" s="399">
        <v>0</v>
      </c>
      <c r="DX81" s="399">
        <v>0</v>
      </c>
      <c r="DY81" s="399">
        <v>1087.0802400000002</v>
      </c>
      <c r="DZ81" s="399">
        <v>0</v>
      </c>
      <c r="EA81" s="399">
        <v>0</v>
      </c>
      <c r="EB81" s="399">
        <v>0</v>
      </c>
      <c r="EC81" s="399">
        <v>1040.2297446846064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221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2330</v>
      </c>
      <c r="C82" s="399" t="s">
        <v>2328</v>
      </c>
      <c r="D82" s="399" t="s">
        <v>1821</v>
      </c>
      <c r="E82" s="399" t="s">
        <v>889</v>
      </c>
      <c r="F82" s="399" t="s">
        <v>889</v>
      </c>
      <c r="G82" s="399" t="s">
        <v>1239</v>
      </c>
      <c r="H82" s="399" t="s">
        <v>1239</v>
      </c>
      <c r="I82" s="399" t="s">
        <v>1239</v>
      </c>
      <c r="J82" s="399" t="s">
        <v>2326</v>
      </c>
      <c r="K82" s="786">
        <v>44501</v>
      </c>
      <c r="L82" s="399">
        <v>0</v>
      </c>
      <c r="M82" s="399">
        <v>0</v>
      </c>
      <c r="N82" s="399">
        <v>8.9350000000000005</v>
      </c>
      <c r="O82" s="399">
        <v>8.9350000000000005</v>
      </c>
      <c r="P82" s="399">
        <v>8.9350000000000005</v>
      </c>
      <c r="Q82" s="399">
        <v>8.9350000000000005</v>
      </c>
      <c r="R82" s="399"/>
      <c r="S82" s="399">
        <v>825.6</v>
      </c>
      <c r="T82" s="399">
        <v>185.74</v>
      </c>
      <c r="U82" s="399"/>
      <c r="V82" s="399">
        <v>9036.322900000001</v>
      </c>
      <c r="W82" s="399">
        <v>9036.322900000001</v>
      </c>
      <c r="X82" s="399">
        <v>5617.4345000000003</v>
      </c>
      <c r="Y82" s="399">
        <v>0</v>
      </c>
      <c r="Z82" s="399">
        <v>557.05405899726463</v>
      </c>
      <c r="AA82" s="399">
        <v>0</v>
      </c>
      <c r="AB82" s="399">
        <v>0</v>
      </c>
      <c r="AC82" s="399">
        <v>0</v>
      </c>
      <c r="AD82" s="399">
        <v>1164.5137953541505</v>
      </c>
      <c r="AE82" s="399">
        <v>5247.2555077451634</v>
      </c>
      <c r="AF82" s="399">
        <v>1659.6252127302027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86.09046032408655</v>
      </c>
      <c r="AM82" s="399"/>
      <c r="AN82" s="399">
        <v>21.183699756767165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300.66720906306017</v>
      </c>
      <c r="BH82" s="399">
        <v>0</v>
      </c>
      <c r="BI82" s="399">
        <v>4.53</v>
      </c>
      <c r="BJ82" s="399">
        <v>23.32</v>
      </c>
      <c r="BK82" s="399">
        <v>3347.22</v>
      </c>
      <c r="BL82" s="399">
        <v>51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1960.292421793263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5620.5779999999995</v>
      </c>
      <c r="CJ82" s="399">
        <v>-3415.7749000000022</v>
      </c>
      <c r="CK82" s="399"/>
      <c r="CL82" s="399"/>
      <c r="CM82" s="399"/>
      <c r="CN82" s="399"/>
      <c r="CO82" s="399">
        <v>-3418.8884000000007</v>
      </c>
      <c r="CP82" s="399">
        <v>0</v>
      </c>
      <c r="CQ82" s="399">
        <v>30</v>
      </c>
      <c r="CR82" s="399">
        <v>-147.36995167620898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-107.20119805208742</v>
      </c>
      <c r="DA82" s="399">
        <v>0</v>
      </c>
      <c r="DB82" s="399">
        <v>0</v>
      </c>
      <c r="DC82" s="399">
        <v>0</v>
      </c>
      <c r="DD82" s="399">
        <v>0</v>
      </c>
      <c r="DE82" s="399">
        <v>0</v>
      </c>
      <c r="DF82" s="399">
        <v>0</v>
      </c>
      <c r="DG82" s="399">
        <v>0</v>
      </c>
      <c r="DH82" s="399">
        <v>0</v>
      </c>
      <c r="DI82" s="399">
        <v>-34.453061108790621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-4.6155157773184072</v>
      </c>
      <c r="DP82" s="399">
        <v>-1.100176738012145</v>
      </c>
      <c r="DQ82" s="399">
        <v>0</v>
      </c>
      <c r="DR82" s="399">
        <v>0</v>
      </c>
      <c r="DS82" s="399"/>
      <c r="DT82" s="399"/>
      <c r="DU82" s="399"/>
      <c r="DV82" s="399">
        <v>5247.2555077451634</v>
      </c>
      <c r="DW82" s="399">
        <v>0</v>
      </c>
      <c r="DX82" s="399">
        <v>0</v>
      </c>
      <c r="DY82" s="399">
        <v>-3418.8884000000007</v>
      </c>
      <c r="DZ82" s="399">
        <v>0</v>
      </c>
      <c r="EA82" s="399">
        <v>0</v>
      </c>
      <c r="EB82" s="399">
        <v>0</v>
      </c>
      <c r="EC82" s="399">
        <v>-3271.5426852365217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221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6" customFormat="1">
      <c r="A83" s="399">
        <v>81</v>
      </c>
      <c r="B83" s="399" t="s">
        <v>956</v>
      </c>
      <c r="C83" s="399" t="s">
        <v>2328</v>
      </c>
      <c r="D83" s="399" t="s">
        <v>1821</v>
      </c>
      <c r="E83" s="399" t="s">
        <v>889</v>
      </c>
      <c r="F83" s="399" t="s">
        <v>2331</v>
      </c>
      <c r="G83" s="399" t="s">
        <v>1239</v>
      </c>
      <c r="H83" s="399" t="s">
        <v>1239</v>
      </c>
      <c r="I83" s="399" t="s">
        <v>1239</v>
      </c>
      <c r="J83" s="399" t="s">
        <v>2326</v>
      </c>
      <c r="K83" s="786">
        <v>44501</v>
      </c>
      <c r="L83" s="399">
        <v>0</v>
      </c>
      <c r="M83" s="399">
        <v>0</v>
      </c>
      <c r="N83" s="399">
        <v>6.03</v>
      </c>
      <c r="O83" s="399">
        <v>6.03</v>
      </c>
      <c r="P83" s="399">
        <v>6.03</v>
      </c>
      <c r="Q83" s="399">
        <v>6.03</v>
      </c>
      <c r="R83" s="399"/>
      <c r="S83" s="399">
        <v>753.62</v>
      </c>
      <c r="T83" s="399">
        <v>185.74</v>
      </c>
      <c r="U83" s="399"/>
      <c r="V83" s="399">
        <v>5664.3407999999999</v>
      </c>
      <c r="W83" s="399">
        <v>5664.3407999999999</v>
      </c>
      <c r="X83" s="399">
        <v>3383.3727000000003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785.90018869451899</v>
      </c>
      <c r="AE83" s="399">
        <v>3541.2367892225334</v>
      </c>
      <c r="AF83" s="399">
        <v>1120.0380562689561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14.296330110051034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202.91250930612787</v>
      </c>
      <c r="BH83" s="399">
        <v>0</v>
      </c>
      <c r="BI83" s="399">
        <v>0</v>
      </c>
      <c r="BJ83" s="399">
        <v>4.1399999999999997</v>
      </c>
      <c r="BK83" s="399">
        <v>161.99</v>
      </c>
      <c r="BL83" s="399">
        <v>11</v>
      </c>
      <c r="BM83" s="399"/>
      <c r="BN83" s="399"/>
      <c r="BO83" s="399"/>
      <c r="BP83" s="399"/>
      <c r="BQ83" s="399"/>
      <c r="BR83" s="399"/>
      <c r="BS83" s="399"/>
      <c r="BT83" s="399">
        <v>2199.2013000000002</v>
      </c>
      <c r="BU83" s="399"/>
      <c r="BV83" s="399">
        <v>1322.9505655750841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1184.1714000000002</v>
      </c>
      <c r="CJ83" s="399">
        <v>-798.40199999999982</v>
      </c>
      <c r="CK83" s="399"/>
      <c r="CL83" s="399"/>
      <c r="CM83" s="399"/>
      <c r="CN83" s="399"/>
      <c r="CO83" s="399">
        <v>-2280.9681</v>
      </c>
      <c r="CP83" s="399">
        <v>0</v>
      </c>
      <c r="CQ83" s="399">
        <v>30</v>
      </c>
      <c r="CR83" s="399">
        <v>-73.089791828125726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-72.347311052500004</v>
      </c>
      <c r="DA83" s="399">
        <v>0</v>
      </c>
      <c r="DB83" s="399">
        <v>0</v>
      </c>
      <c r="DC83" s="399">
        <v>0</v>
      </c>
      <c r="DD83" s="399">
        <v>0</v>
      </c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0</v>
      </c>
      <c r="DP83" s="399">
        <v>-0.74248077562543102</v>
      </c>
      <c r="DQ83" s="399">
        <v>0</v>
      </c>
      <c r="DR83" s="399">
        <v>0</v>
      </c>
      <c r="DS83" s="399"/>
      <c r="DT83" s="399"/>
      <c r="DU83" s="399"/>
      <c r="DV83" s="399">
        <v>3541.2367892225334</v>
      </c>
      <c r="DW83" s="399">
        <v>0</v>
      </c>
      <c r="DX83" s="399">
        <v>0</v>
      </c>
      <c r="DY83" s="399">
        <v>-2280.9680999999996</v>
      </c>
      <c r="DZ83" s="399">
        <v>0</v>
      </c>
      <c r="EA83" s="399">
        <v>0</v>
      </c>
      <c r="EB83" s="399">
        <v>0</v>
      </c>
      <c r="EC83" s="399">
        <v>-2207.8793947371264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221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6" customFormat="1">
      <c r="A84" s="399">
        <v>82</v>
      </c>
      <c r="B84" s="399" t="s">
        <v>2329</v>
      </c>
      <c r="C84" s="399" t="s">
        <v>2328</v>
      </c>
      <c r="D84" s="399" t="s">
        <v>1821</v>
      </c>
      <c r="E84" s="399" t="s">
        <v>889</v>
      </c>
      <c r="F84" s="399" t="s">
        <v>2331</v>
      </c>
      <c r="G84" s="399" t="s">
        <v>1239</v>
      </c>
      <c r="H84" s="399" t="s">
        <v>1239</v>
      </c>
      <c r="I84" s="399" t="s">
        <v>1239</v>
      </c>
      <c r="J84" s="399" t="s">
        <v>2326</v>
      </c>
      <c r="K84" s="786">
        <v>44501</v>
      </c>
      <c r="L84" s="399">
        <v>0</v>
      </c>
      <c r="M84" s="399">
        <v>0</v>
      </c>
      <c r="N84" s="399">
        <v>-5.0000000000000001E-3</v>
      </c>
      <c r="O84" s="399">
        <v>-5.0000000000000001E-3</v>
      </c>
      <c r="P84" s="399">
        <v>-5.0000000000000001E-3</v>
      </c>
      <c r="Q84" s="399">
        <v>-5.0000000000000001E-3</v>
      </c>
      <c r="R84" s="399"/>
      <c r="S84" s="399">
        <v>753.62</v>
      </c>
      <c r="T84" s="399">
        <v>185.74</v>
      </c>
      <c r="U84" s="399"/>
      <c r="V84" s="399">
        <v>-4.6967999999999996</v>
      </c>
      <c r="W84" s="399">
        <v>-4.6967999999999996</v>
      </c>
      <c r="X84" s="399">
        <v>-2.8054500000000004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-0.65165853125582007</v>
      </c>
      <c r="AE84" s="399">
        <v>-2.9363489131198452</v>
      </c>
      <c r="AF84" s="399">
        <v>-0.92872143969233512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-1.1854336741335849E-2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-0.168252495278713</v>
      </c>
      <c r="BH84" s="399">
        <v>0</v>
      </c>
      <c r="BI84" s="399">
        <v>0</v>
      </c>
      <c r="BJ84" s="399">
        <v>0.01</v>
      </c>
      <c r="BK84" s="399">
        <v>0.19</v>
      </c>
      <c r="BL84" s="399">
        <v>0</v>
      </c>
      <c r="BM84" s="399"/>
      <c r="BN84" s="399"/>
      <c r="BO84" s="399"/>
      <c r="BP84" s="399"/>
      <c r="BQ84" s="399"/>
      <c r="BR84" s="399"/>
      <c r="BS84" s="399"/>
      <c r="BT84" s="399">
        <v>-1.8235500000000002</v>
      </c>
      <c r="BU84" s="399"/>
      <c r="BV84" s="399">
        <v>-1.0969739349710481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-1.9638</v>
      </c>
      <c r="CJ84" s="399">
        <v>-0.3499000000000001</v>
      </c>
      <c r="CK84" s="399"/>
      <c r="CL84" s="399"/>
      <c r="CM84" s="399"/>
      <c r="CN84" s="399"/>
      <c r="CO84" s="399">
        <v>1.8913499999999999</v>
      </c>
      <c r="CP84" s="399">
        <v>0</v>
      </c>
      <c r="CQ84" s="399">
        <v>30</v>
      </c>
      <c r="CR84" s="399">
        <v>6.0605134185842013E-2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5.9989478484660075E-2</v>
      </c>
      <c r="DA84" s="399">
        <v>0</v>
      </c>
      <c r="DB84" s="399">
        <v>0</v>
      </c>
      <c r="DC84" s="399">
        <v>0</v>
      </c>
      <c r="DD84" s="399">
        <v>0</v>
      </c>
      <c r="DE84" s="399">
        <v>0</v>
      </c>
      <c r="DF84" s="399">
        <v>0</v>
      </c>
      <c r="DG84" s="399">
        <v>0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0</v>
      </c>
      <c r="DP84" s="399">
        <v>6.1565570118194898E-4</v>
      </c>
      <c r="DQ84" s="399">
        <v>0</v>
      </c>
      <c r="DR84" s="399">
        <v>0</v>
      </c>
      <c r="DS84" s="399"/>
      <c r="DT84" s="399"/>
      <c r="DU84" s="399"/>
      <c r="DV84" s="399">
        <v>-2.9363489131198452</v>
      </c>
      <c r="DW84" s="399">
        <v>0</v>
      </c>
      <c r="DX84" s="399">
        <v>0</v>
      </c>
      <c r="DY84" s="399">
        <v>1.8913499999999999</v>
      </c>
      <c r="DZ84" s="399">
        <v>0</v>
      </c>
      <c r="EA84" s="399">
        <v>0</v>
      </c>
      <c r="EB84" s="399">
        <v>0</v>
      </c>
      <c r="EC84" s="399">
        <v>1.8307457667803702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221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6" customFormat="1">
      <c r="A85" s="399">
        <v>83</v>
      </c>
      <c r="B85" s="399" t="s">
        <v>2330</v>
      </c>
      <c r="C85" s="399" t="s">
        <v>2328</v>
      </c>
      <c r="D85" s="399" t="s">
        <v>1821</v>
      </c>
      <c r="E85" s="399" t="s">
        <v>889</v>
      </c>
      <c r="F85" s="399" t="s">
        <v>2331</v>
      </c>
      <c r="G85" s="399" t="s">
        <v>1239</v>
      </c>
      <c r="H85" s="399" t="s">
        <v>1239</v>
      </c>
      <c r="I85" s="399" t="s">
        <v>1239</v>
      </c>
      <c r="J85" s="399" t="s">
        <v>2326</v>
      </c>
      <c r="K85" s="786">
        <v>44501</v>
      </c>
      <c r="L85" s="399">
        <v>0</v>
      </c>
      <c r="M85" s="399">
        <v>0</v>
      </c>
      <c r="N85" s="399">
        <v>0.03</v>
      </c>
      <c r="O85" s="399">
        <v>1.0500000000000001E-2</v>
      </c>
      <c r="P85" s="399">
        <v>0.03</v>
      </c>
      <c r="Q85" s="399">
        <v>1.0500000000000001E-2</v>
      </c>
      <c r="R85" s="399"/>
      <c r="S85" s="399">
        <v>753.62</v>
      </c>
      <c r="T85" s="399">
        <v>185.74</v>
      </c>
      <c r="U85" s="399"/>
      <c r="V85" s="399">
        <v>28.180799999999998</v>
      </c>
      <c r="W85" s="399">
        <v>28.180799999999998</v>
      </c>
      <c r="X85" s="399">
        <v>16.832700000000003</v>
      </c>
      <c r="Y85" s="399">
        <v>0</v>
      </c>
      <c r="Z85" s="399">
        <v>0</v>
      </c>
      <c r="AA85" s="399">
        <v>0</v>
      </c>
      <c r="AB85" s="399">
        <v>0</v>
      </c>
      <c r="AC85" s="399">
        <v>0</v>
      </c>
      <c r="AD85" s="399">
        <v>3.90995118753492</v>
      </c>
      <c r="AE85" s="399">
        <v>17.618093478719071</v>
      </c>
      <c r="AF85" s="399">
        <v>5.5723286381540102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0</v>
      </c>
      <c r="AM85" s="399"/>
      <c r="AN85" s="399">
        <v>7.1126020448015095E-2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1.009514971672278</v>
      </c>
      <c r="BH85" s="399">
        <v>0</v>
      </c>
      <c r="BI85" s="399">
        <v>0</v>
      </c>
      <c r="BJ85" s="399">
        <v>0.02</v>
      </c>
      <c r="BK85" s="399">
        <v>0.8</v>
      </c>
      <c r="BL85" s="399">
        <v>0</v>
      </c>
      <c r="BM85" s="399"/>
      <c r="BN85" s="399"/>
      <c r="BO85" s="399"/>
      <c r="BP85" s="399"/>
      <c r="BQ85" s="399"/>
      <c r="BR85" s="399"/>
      <c r="BS85" s="399"/>
      <c r="BT85" s="399">
        <v>14.770709999999999</v>
      </c>
      <c r="BU85" s="399"/>
      <c r="BV85" s="399">
        <v>6.5818436098262882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1.9638</v>
      </c>
      <c r="CJ85" s="399">
        <v>-1.5183899999999997</v>
      </c>
      <c r="CK85" s="399"/>
      <c r="CL85" s="399"/>
      <c r="CM85" s="399"/>
      <c r="CN85" s="399"/>
      <c r="CO85" s="399">
        <v>-11.348099999999999</v>
      </c>
      <c r="CP85" s="399">
        <v>0</v>
      </c>
      <c r="CQ85" s="399">
        <v>30</v>
      </c>
      <c r="CR85" s="399">
        <v>-0.36363080511505075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-0.35993687090796023</v>
      </c>
      <c r="DA85" s="399">
        <v>0</v>
      </c>
      <c r="DB85" s="399">
        <v>0</v>
      </c>
      <c r="DC85" s="399">
        <v>0</v>
      </c>
      <c r="DD85" s="399">
        <v>0</v>
      </c>
      <c r="DE85" s="399">
        <v>0</v>
      </c>
      <c r="DF85" s="399">
        <v>0</v>
      </c>
      <c r="DG85" s="399">
        <v>0</v>
      </c>
      <c r="DH85" s="399">
        <v>0</v>
      </c>
      <c r="DI85" s="399">
        <v>0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0</v>
      </c>
      <c r="DP85" s="399">
        <v>-3.6939342070917008E-3</v>
      </c>
      <c r="DQ85" s="399">
        <v>0</v>
      </c>
      <c r="DR85" s="399">
        <v>0</v>
      </c>
      <c r="DS85" s="399"/>
      <c r="DT85" s="399"/>
      <c r="DU85" s="399"/>
      <c r="DV85" s="399">
        <v>17.618093478719071</v>
      </c>
      <c r="DW85" s="399">
        <v>0</v>
      </c>
      <c r="DX85" s="399">
        <v>0</v>
      </c>
      <c r="DY85" s="399">
        <v>-11.348099999999999</v>
      </c>
      <c r="DZ85" s="399">
        <v>0</v>
      </c>
      <c r="EA85" s="399">
        <v>0</v>
      </c>
      <c r="EB85" s="399">
        <v>0</v>
      </c>
      <c r="EC85" s="399">
        <v>-10.984474600682223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221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6" customFormat="1">
      <c r="A86" s="399">
        <v>84</v>
      </c>
      <c r="B86" s="399" t="s">
        <v>956</v>
      </c>
      <c r="C86" s="399" t="s">
        <v>2328</v>
      </c>
      <c r="D86" s="399" t="s">
        <v>1821</v>
      </c>
      <c r="E86" s="399" t="s">
        <v>889</v>
      </c>
      <c r="F86" s="399" t="s">
        <v>2332</v>
      </c>
      <c r="G86" s="399" t="s">
        <v>1239</v>
      </c>
      <c r="H86" s="399" t="s">
        <v>1239</v>
      </c>
      <c r="I86" s="399" t="s">
        <v>1239</v>
      </c>
      <c r="J86" s="399" t="s">
        <v>2326</v>
      </c>
      <c r="K86" s="786">
        <v>44501</v>
      </c>
      <c r="L86" s="399">
        <v>0</v>
      </c>
      <c r="M86" s="399">
        <v>0</v>
      </c>
      <c r="N86" s="399">
        <v>12.07</v>
      </c>
      <c r="O86" s="399">
        <v>12.07</v>
      </c>
      <c r="P86" s="399">
        <v>12.07</v>
      </c>
      <c r="Q86" s="399">
        <v>12.07</v>
      </c>
      <c r="R86" s="399"/>
      <c r="S86" s="399">
        <v>753.62</v>
      </c>
      <c r="T86" s="399">
        <v>185.74</v>
      </c>
      <c r="U86" s="399"/>
      <c r="V86" s="399">
        <v>11338.075199999999</v>
      </c>
      <c r="W86" s="399">
        <v>11338.075199999999</v>
      </c>
      <c r="X86" s="399">
        <v>6772.3563000000004</v>
      </c>
      <c r="Y86" s="399">
        <v>0</v>
      </c>
      <c r="Z86" s="399">
        <v>0</v>
      </c>
      <c r="AA86" s="399">
        <v>0</v>
      </c>
      <c r="AB86" s="399">
        <v>0</v>
      </c>
      <c r="AC86" s="399">
        <v>0</v>
      </c>
      <c r="AD86" s="399">
        <v>1573.1036944515497</v>
      </c>
      <c r="AE86" s="399">
        <v>7088.3462762713061</v>
      </c>
      <c r="AF86" s="399">
        <v>2241.9335554172967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0</v>
      </c>
      <c r="AM86" s="399"/>
      <c r="AN86" s="399">
        <v>28.616368893584742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406.16152360281319</v>
      </c>
      <c r="BH86" s="399">
        <v>0</v>
      </c>
      <c r="BI86" s="399">
        <v>3.34</v>
      </c>
      <c r="BJ86" s="399">
        <v>16.36</v>
      </c>
      <c r="BK86" s="399">
        <v>572.91</v>
      </c>
      <c r="BL86" s="399">
        <v>48</v>
      </c>
      <c r="BM86" s="399"/>
      <c r="BN86" s="399"/>
      <c r="BO86" s="399"/>
      <c r="BP86" s="399"/>
      <c r="BQ86" s="399"/>
      <c r="BR86" s="399"/>
      <c r="BS86" s="399"/>
      <c r="BT86" s="399">
        <v>2708.8701000000005</v>
      </c>
      <c r="BU86" s="399"/>
      <c r="BV86" s="399">
        <v>2648.09507902011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4063.4862000000003</v>
      </c>
      <c r="CJ86" s="399">
        <v>-2739.4372000000012</v>
      </c>
      <c r="CK86" s="399"/>
      <c r="CL86" s="399"/>
      <c r="CM86" s="399"/>
      <c r="CN86" s="399"/>
      <c r="CO86" s="399">
        <v>-4565.7188999999998</v>
      </c>
      <c r="CP86" s="399">
        <v>0</v>
      </c>
      <c r="CQ86" s="399">
        <v>30</v>
      </c>
      <c r="CR86" s="399">
        <v>-146.30079392462267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-144.81460106196937</v>
      </c>
      <c r="DA86" s="399">
        <v>0</v>
      </c>
      <c r="DB86" s="399">
        <v>0</v>
      </c>
      <c r="DC86" s="399">
        <v>0</v>
      </c>
      <c r="DD86" s="399">
        <v>0</v>
      </c>
      <c r="DE86" s="399">
        <v>0</v>
      </c>
      <c r="DF86" s="399">
        <v>0</v>
      </c>
      <c r="DG86" s="399">
        <v>0</v>
      </c>
      <c r="DH86" s="399">
        <v>0</v>
      </c>
      <c r="DI86" s="399">
        <v>0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0</v>
      </c>
      <c r="DP86" s="399">
        <v>-1.4861928626532261</v>
      </c>
      <c r="DQ86" s="399">
        <v>0</v>
      </c>
      <c r="DR86" s="399">
        <v>0</v>
      </c>
      <c r="DS86" s="399"/>
      <c r="DT86" s="399"/>
      <c r="DU86" s="399"/>
      <c r="DV86" s="399">
        <v>7088.3462762713061</v>
      </c>
      <c r="DW86" s="399">
        <v>0</v>
      </c>
      <c r="DX86" s="399">
        <v>0</v>
      </c>
      <c r="DY86" s="399">
        <v>-4565.7188999999998</v>
      </c>
      <c r="DZ86" s="399">
        <v>0</v>
      </c>
      <c r="EA86" s="399">
        <v>0</v>
      </c>
      <c r="EB86" s="399">
        <v>0</v>
      </c>
      <c r="EC86" s="399">
        <v>-4419.4202810078132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221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6" customFormat="1">
      <c r="A87" s="399">
        <v>85</v>
      </c>
      <c r="B87" s="399" t="s">
        <v>2329</v>
      </c>
      <c r="C87" s="399" t="s">
        <v>2328</v>
      </c>
      <c r="D87" s="399" t="s">
        <v>1821</v>
      </c>
      <c r="E87" s="399" t="s">
        <v>889</v>
      </c>
      <c r="F87" s="399" t="s">
        <v>2332</v>
      </c>
      <c r="G87" s="399" t="s">
        <v>1239</v>
      </c>
      <c r="H87" s="399" t="s">
        <v>1239</v>
      </c>
      <c r="I87" s="399" t="s">
        <v>1239</v>
      </c>
      <c r="J87" s="399" t="s">
        <v>2326</v>
      </c>
      <c r="K87" s="786">
        <v>44501</v>
      </c>
      <c r="L87" s="399">
        <v>0</v>
      </c>
      <c r="M87" s="399">
        <v>0</v>
      </c>
      <c r="N87" s="399">
        <v>-5.1999999999999998E-2</v>
      </c>
      <c r="O87" s="399">
        <v>-5.1999999999999998E-2</v>
      </c>
      <c r="P87" s="399">
        <v>-5.1999999999999998E-2</v>
      </c>
      <c r="Q87" s="399">
        <v>-5.1999999999999998E-2</v>
      </c>
      <c r="R87" s="399"/>
      <c r="S87" s="399">
        <v>753.62</v>
      </c>
      <c r="T87" s="399">
        <v>185.74</v>
      </c>
      <c r="U87" s="399"/>
      <c r="V87" s="399">
        <v>-48.846720000000005</v>
      </c>
      <c r="W87" s="399">
        <v>-48.846720000000005</v>
      </c>
      <c r="X87" s="399">
        <v>-29.176680000000001</v>
      </c>
      <c r="Y87" s="399">
        <v>0</v>
      </c>
      <c r="Z87" s="399">
        <v>0</v>
      </c>
      <c r="AA87" s="399">
        <v>0</v>
      </c>
      <c r="AB87" s="399">
        <v>0</v>
      </c>
      <c r="AC87" s="399">
        <v>0</v>
      </c>
      <c r="AD87" s="399">
        <v>-6.7772487250605282</v>
      </c>
      <c r="AE87" s="399">
        <v>-30.538028696446389</v>
      </c>
      <c r="AF87" s="399">
        <v>-9.6587029728002847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0</v>
      </c>
      <c r="AM87" s="399"/>
      <c r="AN87" s="399">
        <v>-0.12328510210989282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-1.7498259508986151</v>
      </c>
      <c r="BH87" s="399">
        <v>0</v>
      </c>
      <c r="BI87" s="399">
        <v>-0.02</v>
      </c>
      <c r="BJ87" s="399">
        <v>-0.08</v>
      </c>
      <c r="BK87" s="399">
        <v>-3.41</v>
      </c>
      <c r="BL87" s="399">
        <v>0</v>
      </c>
      <c r="BM87" s="399"/>
      <c r="BN87" s="399"/>
      <c r="BO87" s="399"/>
      <c r="BP87" s="399"/>
      <c r="BQ87" s="399"/>
      <c r="BR87" s="399"/>
      <c r="BS87" s="399"/>
      <c r="BT87" s="399">
        <v>-11.670360000000001</v>
      </c>
      <c r="BU87" s="399"/>
      <c r="BV87" s="399">
        <v>-11.408528923698899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-16.833000000000002</v>
      </c>
      <c r="CJ87" s="399">
        <v>12.445239999999995</v>
      </c>
      <c r="CK87" s="399"/>
      <c r="CL87" s="399"/>
      <c r="CM87" s="399"/>
      <c r="CN87" s="399"/>
      <c r="CO87" s="399">
        <v>19.670039999999997</v>
      </c>
      <c r="CP87" s="399">
        <v>0</v>
      </c>
      <c r="CQ87" s="399">
        <v>30</v>
      </c>
      <c r="CR87" s="399">
        <v>0.63029339553275676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0.62389057624046451</v>
      </c>
      <c r="DA87" s="399">
        <v>0</v>
      </c>
      <c r="DB87" s="399">
        <v>0</v>
      </c>
      <c r="DC87" s="399">
        <v>0</v>
      </c>
      <c r="DD87" s="399">
        <v>0</v>
      </c>
      <c r="DE87" s="399">
        <v>0</v>
      </c>
      <c r="DF87" s="399">
        <v>0</v>
      </c>
      <c r="DG87" s="399">
        <v>0</v>
      </c>
      <c r="DH87" s="399">
        <v>0</v>
      </c>
      <c r="DI87" s="399">
        <v>0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0</v>
      </c>
      <c r="DP87" s="399">
        <v>6.4028192922922778E-3</v>
      </c>
      <c r="DQ87" s="399">
        <v>0</v>
      </c>
      <c r="DR87" s="399">
        <v>0</v>
      </c>
      <c r="DS87" s="399"/>
      <c r="DT87" s="399"/>
      <c r="DU87" s="399"/>
      <c r="DV87" s="399">
        <v>-30.538028696446389</v>
      </c>
      <c r="DW87" s="399">
        <v>0</v>
      </c>
      <c r="DX87" s="399">
        <v>0</v>
      </c>
      <c r="DY87" s="399">
        <v>19.67004</v>
      </c>
      <c r="DZ87" s="399">
        <v>0</v>
      </c>
      <c r="EA87" s="399">
        <v>0</v>
      </c>
      <c r="EB87" s="399">
        <v>0</v>
      </c>
      <c r="EC87" s="399">
        <v>19.039755974515849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221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6" customFormat="1">
      <c r="A88" s="399">
        <v>86</v>
      </c>
      <c r="B88" s="399" t="s">
        <v>2330</v>
      </c>
      <c r="C88" s="399" t="s">
        <v>2328</v>
      </c>
      <c r="D88" s="399" t="s">
        <v>1821</v>
      </c>
      <c r="E88" s="399" t="s">
        <v>889</v>
      </c>
      <c r="F88" s="399" t="s">
        <v>2332</v>
      </c>
      <c r="G88" s="399" t="s">
        <v>1239</v>
      </c>
      <c r="H88" s="399" t="s">
        <v>1239</v>
      </c>
      <c r="I88" s="399" t="s">
        <v>1239</v>
      </c>
      <c r="J88" s="399" t="s">
        <v>2326</v>
      </c>
      <c r="K88" s="786">
        <v>44501</v>
      </c>
      <c r="L88" s="399">
        <v>0</v>
      </c>
      <c r="M88" s="399">
        <v>0</v>
      </c>
      <c r="N88" s="399">
        <v>2.8000000000000001E-2</v>
      </c>
      <c r="O88" s="399">
        <v>1.6799999999999999E-2</v>
      </c>
      <c r="P88" s="399">
        <v>2.8000000000000001E-2</v>
      </c>
      <c r="Q88" s="399">
        <v>1.6799999999999999E-2</v>
      </c>
      <c r="R88" s="399"/>
      <c r="S88" s="399">
        <v>753.62</v>
      </c>
      <c r="T88" s="399">
        <v>185.74</v>
      </c>
      <c r="U88" s="399"/>
      <c r="V88" s="399">
        <v>26.30208</v>
      </c>
      <c r="W88" s="399">
        <v>26.30208</v>
      </c>
      <c r="X88" s="399">
        <v>15.710520000000001</v>
      </c>
      <c r="Y88" s="399">
        <v>0</v>
      </c>
      <c r="Z88" s="399">
        <v>0</v>
      </c>
      <c r="AA88" s="399">
        <v>0</v>
      </c>
      <c r="AB88" s="399">
        <v>0</v>
      </c>
      <c r="AC88" s="399">
        <v>0</v>
      </c>
      <c r="AD88" s="399">
        <v>3.6492877750325925</v>
      </c>
      <c r="AE88" s="399">
        <v>16.443553913471135</v>
      </c>
      <c r="AF88" s="399">
        <v>5.2008400622770763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0</v>
      </c>
      <c r="AM88" s="399"/>
      <c r="AN88" s="399">
        <v>6.6384285751480754E-2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0.94221397356079284</v>
      </c>
      <c r="BH88" s="399">
        <v>0</v>
      </c>
      <c r="BI88" s="399">
        <v>0.01</v>
      </c>
      <c r="BJ88" s="399">
        <v>0.04</v>
      </c>
      <c r="BK88" s="399">
        <v>3.22</v>
      </c>
      <c r="BL88" s="399">
        <v>0</v>
      </c>
      <c r="BM88" s="399"/>
      <c r="BN88" s="399"/>
      <c r="BO88" s="399"/>
      <c r="BP88" s="399"/>
      <c r="BQ88" s="399"/>
      <c r="BR88" s="399"/>
      <c r="BS88" s="399"/>
      <c r="BT88" s="399">
        <v>10.054632000000002</v>
      </c>
      <c r="BU88" s="399"/>
      <c r="BV88" s="399">
        <v>6.1430540358378689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6.7332000000000001</v>
      </c>
      <c r="CJ88" s="399">
        <v>-2.7656159999999996</v>
      </c>
      <c r="CK88" s="399"/>
      <c r="CL88" s="399"/>
      <c r="CM88" s="399"/>
      <c r="CN88" s="399"/>
      <c r="CO88" s="399">
        <v>-10.591559999999999</v>
      </c>
      <c r="CP88" s="399">
        <v>0</v>
      </c>
      <c r="CQ88" s="399">
        <v>30</v>
      </c>
      <c r="CR88" s="399">
        <v>-0.33938875144071545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-0.33594107951409624</v>
      </c>
      <c r="DA88" s="399">
        <v>0</v>
      </c>
      <c r="DB88" s="399">
        <v>0</v>
      </c>
      <c r="DC88" s="399">
        <v>0</v>
      </c>
      <c r="DD88" s="399">
        <v>0</v>
      </c>
      <c r="DE88" s="399">
        <v>0</v>
      </c>
      <c r="DF88" s="399">
        <v>0</v>
      </c>
      <c r="DG88" s="399">
        <v>0</v>
      </c>
      <c r="DH88" s="399">
        <v>0</v>
      </c>
      <c r="DI88" s="399">
        <v>0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0</v>
      </c>
      <c r="DP88" s="399">
        <v>-3.4476719266189199E-3</v>
      </c>
      <c r="DQ88" s="399">
        <v>0</v>
      </c>
      <c r="DR88" s="399">
        <v>0</v>
      </c>
      <c r="DS88" s="399"/>
      <c r="DT88" s="399"/>
      <c r="DU88" s="399"/>
      <c r="DV88" s="399">
        <v>16.443553913471135</v>
      </c>
      <c r="DW88" s="399">
        <v>0</v>
      </c>
      <c r="DX88" s="399">
        <v>0</v>
      </c>
      <c r="DY88" s="399">
        <v>-10.591559999999999</v>
      </c>
      <c r="DZ88" s="399">
        <v>0</v>
      </c>
      <c r="EA88" s="399">
        <v>0</v>
      </c>
      <c r="EB88" s="399">
        <v>0</v>
      </c>
      <c r="EC88" s="399">
        <v>-10.252176293970074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221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6" customFormat="1">
      <c r="A89" s="399">
        <v>87</v>
      </c>
      <c r="B89" s="399" t="s">
        <v>956</v>
      </c>
      <c r="C89" s="399" t="s">
        <v>2328</v>
      </c>
      <c r="D89" s="399" t="s">
        <v>1821</v>
      </c>
      <c r="E89" s="399" t="s">
        <v>889</v>
      </c>
      <c r="F89" s="399" t="s">
        <v>2333</v>
      </c>
      <c r="G89" s="399" t="s">
        <v>1239</v>
      </c>
      <c r="H89" s="399" t="s">
        <v>1239</v>
      </c>
      <c r="I89" s="399" t="s">
        <v>1239</v>
      </c>
      <c r="J89" s="399" t="s">
        <v>2326</v>
      </c>
      <c r="K89" s="786">
        <v>44501</v>
      </c>
      <c r="L89" s="399">
        <v>0</v>
      </c>
      <c r="M89" s="399">
        <v>0</v>
      </c>
      <c r="N89" s="399">
        <v>10.247999999999999</v>
      </c>
      <c r="O89" s="399">
        <v>10.247999999999999</v>
      </c>
      <c r="P89" s="399">
        <v>10.247999999999999</v>
      </c>
      <c r="Q89" s="399">
        <v>10.247999999999999</v>
      </c>
      <c r="R89" s="399"/>
      <c r="S89" s="399">
        <v>753.62</v>
      </c>
      <c r="T89" s="399">
        <v>185.74</v>
      </c>
      <c r="U89" s="399"/>
      <c r="V89" s="399">
        <v>9626.5612799999999</v>
      </c>
      <c r="W89" s="399">
        <v>9626.5612799999999</v>
      </c>
      <c r="X89" s="399">
        <v>5750.0503200000003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1335.6393256619288</v>
      </c>
      <c r="AE89" s="399">
        <v>6018.3407323304345</v>
      </c>
      <c r="AF89" s="399">
        <v>1903.5074627934098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24.296648585041954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344.85031432325013</v>
      </c>
      <c r="BH89" s="399">
        <v>0</v>
      </c>
      <c r="BI89" s="399">
        <v>4.7699999999999996</v>
      </c>
      <c r="BJ89" s="399">
        <v>23.43</v>
      </c>
      <c r="BK89" s="399">
        <v>1252.42</v>
      </c>
      <c r="BL89" s="399">
        <v>106</v>
      </c>
      <c r="BM89" s="399"/>
      <c r="BN89" s="399"/>
      <c r="BO89" s="399"/>
      <c r="BP89" s="399"/>
      <c r="BQ89" s="399"/>
      <c r="BR89" s="399"/>
      <c r="BS89" s="399"/>
      <c r="BT89" s="399">
        <v>574.91280000000052</v>
      </c>
      <c r="BU89" s="399"/>
      <c r="BV89" s="399">
        <v>2248.3577771166601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5176.1474999999991</v>
      </c>
      <c r="CJ89" s="399">
        <v>-3487.8491400000003</v>
      </c>
      <c r="CK89" s="399"/>
      <c r="CL89" s="399"/>
      <c r="CM89" s="399"/>
      <c r="CN89" s="399"/>
      <c r="CO89" s="399">
        <v>-3876.5109599999996</v>
      </c>
      <c r="CP89" s="399">
        <v>0</v>
      </c>
      <c r="CQ89" s="399">
        <v>30</v>
      </c>
      <c r="CR89" s="399">
        <v>-124.21628302730187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-122.95443510215932</v>
      </c>
      <c r="DA89" s="399">
        <v>0</v>
      </c>
      <c r="DB89" s="399">
        <v>0</v>
      </c>
      <c r="DC89" s="399">
        <v>0</v>
      </c>
      <c r="DD89" s="399">
        <v>0</v>
      </c>
      <c r="DE89" s="399">
        <v>0</v>
      </c>
      <c r="DF89" s="399">
        <v>0</v>
      </c>
      <c r="DG89" s="399">
        <v>0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0</v>
      </c>
      <c r="DP89" s="399">
        <v>-1.2618479251425221</v>
      </c>
      <c r="DQ89" s="399">
        <v>0</v>
      </c>
      <c r="DR89" s="399">
        <v>0</v>
      </c>
      <c r="DS89" s="399"/>
      <c r="DT89" s="399"/>
      <c r="DU89" s="399"/>
      <c r="DV89" s="399">
        <v>6018.3407323304345</v>
      </c>
      <c r="DW89" s="399">
        <v>0</v>
      </c>
      <c r="DX89" s="399">
        <v>0</v>
      </c>
      <c r="DY89" s="399">
        <v>-3876.5109599999996</v>
      </c>
      <c r="DZ89" s="399">
        <v>0</v>
      </c>
      <c r="EA89" s="399">
        <v>0</v>
      </c>
      <c r="EB89" s="399">
        <v>0</v>
      </c>
      <c r="EC89" s="399">
        <v>-3752.2965235930469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221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6" customFormat="1">
      <c r="A90" s="399">
        <v>88</v>
      </c>
      <c r="B90" s="399" t="s">
        <v>2329</v>
      </c>
      <c r="C90" s="399" t="s">
        <v>2328</v>
      </c>
      <c r="D90" s="399" t="s">
        <v>1821</v>
      </c>
      <c r="E90" s="399" t="s">
        <v>889</v>
      </c>
      <c r="F90" s="399" t="s">
        <v>2333</v>
      </c>
      <c r="G90" s="399" t="s">
        <v>1239</v>
      </c>
      <c r="H90" s="399" t="s">
        <v>1239</v>
      </c>
      <c r="I90" s="399" t="s">
        <v>1239</v>
      </c>
      <c r="J90" s="399" t="s">
        <v>2326</v>
      </c>
      <c r="K90" s="786">
        <v>44501</v>
      </c>
      <c r="L90" s="399">
        <v>0</v>
      </c>
      <c r="M90" s="399">
        <v>0</v>
      </c>
      <c r="N90" s="399">
        <v>4.7E-2</v>
      </c>
      <c r="O90" s="399">
        <v>4.7E-2</v>
      </c>
      <c r="P90" s="399">
        <v>4.7E-2</v>
      </c>
      <c r="Q90" s="399">
        <v>4.7E-2</v>
      </c>
      <c r="R90" s="399"/>
      <c r="S90" s="399">
        <v>753.62</v>
      </c>
      <c r="T90" s="399">
        <v>185.74</v>
      </c>
      <c r="U90" s="399"/>
      <c r="V90" s="399">
        <v>44.149920000000002</v>
      </c>
      <c r="W90" s="399">
        <v>44.149920000000002</v>
      </c>
      <c r="X90" s="399">
        <v>26.371230000000004</v>
      </c>
      <c r="Y90" s="399">
        <v>0</v>
      </c>
      <c r="Z90" s="399">
        <v>0</v>
      </c>
      <c r="AA90" s="399">
        <v>0</v>
      </c>
      <c r="AB90" s="399">
        <v>0</v>
      </c>
      <c r="AC90" s="399">
        <v>0</v>
      </c>
      <c r="AD90" s="399">
        <v>6.1255901938047082</v>
      </c>
      <c r="AE90" s="399">
        <v>27.601679783326546</v>
      </c>
      <c r="AF90" s="399">
        <v>8.7299815331079493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0</v>
      </c>
      <c r="AM90" s="399"/>
      <c r="AN90" s="399">
        <v>0.11143076536855698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1.5815734556199021</v>
      </c>
      <c r="BH90" s="399">
        <v>0</v>
      </c>
      <c r="BI90" s="399">
        <v>0.01</v>
      </c>
      <c r="BJ90" s="399">
        <v>0.03</v>
      </c>
      <c r="BK90" s="399">
        <v>5.0999999999999996</v>
      </c>
      <c r="BL90" s="399">
        <v>0</v>
      </c>
      <c r="BM90" s="399"/>
      <c r="BN90" s="399"/>
      <c r="BO90" s="399"/>
      <c r="BP90" s="399"/>
      <c r="BQ90" s="399"/>
      <c r="BR90" s="399"/>
      <c r="BS90" s="399"/>
      <c r="BT90" s="399">
        <v>2.6367000000000025</v>
      </c>
      <c r="BU90" s="399"/>
      <c r="BV90" s="399">
        <v>10.311554988727851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25.249500000000001</v>
      </c>
      <c r="CJ90" s="399">
        <v>-14.515710000000002</v>
      </c>
      <c r="CK90" s="399"/>
      <c r="CL90" s="399"/>
      <c r="CM90" s="399"/>
      <c r="CN90" s="399"/>
      <c r="CO90" s="399">
        <v>-17.778689999999997</v>
      </c>
      <c r="CP90" s="399">
        <v>0</v>
      </c>
      <c r="CQ90" s="399">
        <v>30</v>
      </c>
      <c r="CR90" s="399">
        <v>-0.56968826134691675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-0.56390109775580388</v>
      </c>
      <c r="DA90" s="399">
        <v>0</v>
      </c>
      <c r="DB90" s="399">
        <v>0</v>
      </c>
      <c r="DC90" s="399">
        <v>0</v>
      </c>
      <c r="DD90" s="399">
        <v>0</v>
      </c>
      <c r="DE90" s="399">
        <v>0</v>
      </c>
      <c r="DF90" s="399">
        <v>0</v>
      </c>
      <c r="DG90" s="399">
        <v>0</v>
      </c>
      <c r="DH90" s="399">
        <v>0</v>
      </c>
      <c r="DI90" s="399">
        <v>0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0</v>
      </c>
      <c r="DP90" s="399">
        <v>-5.7871635911103253E-3</v>
      </c>
      <c r="DQ90" s="399">
        <v>0</v>
      </c>
      <c r="DR90" s="399">
        <v>0</v>
      </c>
      <c r="DS90" s="399"/>
      <c r="DT90" s="399"/>
      <c r="DU90" s="399"/>
      <c r="DV90" s="399">
        <v>27.601679783326546</v>
      </c>
      <c r="DW90" s="399">
        <v>0</v>
      </c>
      <c r="DX90" s="399">
        <v>0</v>
      </c>
      <c r="DY90" s="399">
        <v>-17.778690000000001</v>
      </c>
      <c r="DZ90" s="399">
        <v>0</v>
      </c>
      <c r="EA90" s="399">
        <v>0</v>
      </c>
      <c r="EB90" s="399">
        <v>0</v>
      </c>
      <c r="EC90" s="399">
        <v>-17.209010207735481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221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6" customFormat="1">
      <c r="A91" s="399">
        <v>89</v>
      </c>
      <c r="B91" s="399" t="s">
        <v>2330</v>
      </c>
      <c r="C91" s="399" t="s">
        <v>2328</v>
      </c>
      <c r="D91" s="399" t="s">
        <v>1821</v>
      </c>
      <c r="E91" s="399" t="s">
        <v>889</v>
      </c>
      <c r="F91" s="399" t="s">
        <v>2333</v>
      </c>
      <c r="G91" s="399" t="s">
        <v>1239</v>
      </c>
      <c r="H91" s="399" t="s">
        <v>1239</v>
      </c>
      <c r="I91" s="399" t="s">
        <v>1239</v>
      </c>
      <c r="J91" s="399" t="s">
        <v>2326</v>
      </c>
      <c r="K91" s="786">
        <v>44501</v>
      </c>
      <c r="L91" s="399">
        <v>0</v>
      </c>
      <c r="M91" s="399">
        <v>0</v>
      </c>
      <c r="N91" s="399">
        <v>0</v>
      </c>
      <c r="O91" s="399">
        <v>0</v>
      </c>
      <c r="P91" s="399">
        <v>0</v>
      </c>
      <c r="Q91" s="399">
        <v>0</v>
      </c>
      <c r="R91" s="399"/>
      <c r="S91" s="399"/>
      <c r="T91" s="399"/>
      <c r="U91" s="399"/>
      <c r="V91" s="399"/>
      <c r="W91" s="399"/>
      <c r="X91" s="399"/>
      <c r="Y91" s="399"/>
      <c r="Z91" s="399"/>
      <c r="AA91" s="399">
        <v>0</v>
      </c>
      <c r="AB91" s="399"/>
      <c r="AC91" s="399"/>
      <c r="AD91" s="399"/>
      <c r="AE91" s="399"/>
      <c r="AF91" s="399"/>
      <c r="AG91" s="399"/>
      <c r="AH91" s="399"/>
      <c r="AI91" s="399"/>
      <c r="AJ91" s="399"/>
      <c r="AK91" s="399"/>
      <c r="AL91" s="399"/>
      <c r="AM91" s="399"/>
      <c r="AN91" s="399"/>
      <c r="AO91" s="399"/>
      <c r="AP91" s="399"/>
      <c r="AQ91" s="399"/>
      <c r="AR91" s="399"/>
      <c r="AS91" s="399"/>
      <c r="AT91" s="399"/>
      <c r="AU91" s="399"/>
      <c r="AV91" s="399"/>
      <c r="AW91" s="399"/>
      <c r="AX91" s="399"/>
      <c r="AY91" s="399"/>
      <c r="AZ91" s="399">
        <v>0</v>
      </c>
      <c r="BA91" s="399"/>
      <c r="BB91" s="399"/>
      <c r="BC91" s="399"/>
      <c r="BD91" s="399"/>
      <c r="BE91" s="399"/>
      <c r="BF91" s="399"/>
      <c r="BG91" s="399"/>
      <c r="BH91" s="399"/>
      <c r="BI91" s="399">
        <v>0</v>
      </c>
      <c r="BJ91" s="399">
        <v>0</v>
      </c>
      <c r="BK91" s="399">
        <v>4.1900000000000004</v>
      </c>
      <c r="BL91" s="399">
        <v>1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/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/>
      <c r="CJ91" s="399">
        <v>-0.03</v>
      </c>
      <c r="CK91" s="399"/>
      <c r="CL91" s="399"/>
      <c r="CM91" s="399"/>
      <c r="CN91" s="399"/>
      <c r="CO91" s="399">
        <v>0</v>
      </c>
      <c r="CP91" s="399">
        <v>0</v>
      </c>
      <c r="CQ91" s="399">
        <v>30</v>
      </c>
      <c r="CR91" s="399"/>
      <c r="CS91" s="399"/>
      <c r="CT91" s="399"/>
      <c r="CU91" s="399"/>
      <c r="CV91" s="399"/>
      <c r="CW91" s="399"/>
      <c r="CX91" s="399"/>
      <c r="CY91" s="399"/>
      <c r="CZ91" s="399"/>
      <c r="DA91" s="399"/>
      <c r="DB91" s="399"/>
      <c r="DC91" s="399"/>
      <c r="DD91" s="399"/>
      <c r="DE91" s="399"/>
      <c r="DF91" s="399"/>
      <c r="DG91" s="399"/>
      <c r="DH91" s="399"/>
      <c r="DI91" s="399"/>
      <c r="DJ91" s="399"/>
      <c r="DK91" s="399">
        <v>0</v>
      </c>
      <c r="DL91" s="399"/>
      <c r="DM91" s="399"/>
      <c r="DN91" s="399"/>
      <c r="DO91" s="399"/>
      <c r="DP91" s="399"/>
      <c r="DQ91" s="399"/>
      <c r="DR91" s="399"/>
      <c r="DS91" s="399"/>
      <c r="DT91" s="399"/>
      <c r="DU91" s="399"/>
      <c r="DV91" s="399"/>
      <c r="DW91" s="399"/>
      <c r="DX91" s="399"/>
      <c r="DY91" s="399"/>
      <c r="DZ91" s="399"/>
      <c r="EA91" s="399"/>
      <c r="EB91" s="399"/>
      <c r="EC91" s="399"/>
      <c r="ED91" s="399"/>
      <c r="EE91" s="399"/>
      <c r="EF91" s="399"/>
      <c r="EG91" s="399"/>
      <c r="EH91" s="399"/>
      <c r="EI91" s="399"/>
      <c r="EJ91" s="399"/>
      <c r="EK91" s="399"/>
      <c r="EL91" s="399"/>
      <c r="EM91" s="399"/>
      <c r="EN91" s="399"/>
      <c r="EO91" s="399"/>
      <c r="EP91" s="399"/>
      <c r="EQ91" s="399"/>
      <c r="ER91" s="399"/>
      <c r="ES91" s="399"/>
      <c r="ET91" s="399"/>
      <c r="EU91" s="399"/>
      <c r="EV91" s="399">
        <v>221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6" customFormat="1">
      <c r="A92" s="399">
        <v>90</v>
      </c>
      <c r="B92" s="399" t="s">
        <v>956</v>
      </c>
      <c r="C92" s="399" t="s">
        <v>2328</v>
      </c>
      <c r="D92" s="399" t="s">
        <v>1821</v>
      </c>
      <c r="E92" s="399" t="s">
        <v>889</v>
      </c>
      <c r="F92" s="399" t="s">
        <v>2334</v>
      </c>
      <c r="G92" s="399" t="s">
        <v>1239</v>
      </c>
      <c r="H92" s="399" t="s">
        <v>1239</v>
      </c>
      <c r="I92" s="399" t="s">
        <v>1239</v>
      </c>
      <c r="J92" s="399" t="s">
        <v>2326</v>
      </c>
      <c r="K92" s="786">
        <v>44501</v>
      </c>
      <c r="L92" s="399">
        <v>0</v>
      </c>
      <c r="M92" s="399">
        <v>0</v>
      </c>
      <c r="N92" s="399">
        <v>2.5720000000000001</v>
      </c>
      <c r="O92" s="399">
        <v>2.5720000000000001</v>
      </c>
      <c r="P92" s="399">
        <v>2.5720000000000001</v>
      </c>
      <c r="Q92" s="399">
        <v>2.5720000000000001</v>
      </c>
      <c r="R92" s="399"/>
      <c r="S92" s="399">
        <v>753.62</v>
      </c>
      <c r="T92" s="399">
        <v>185.74</v>
      </c>
      <c r="U92" s="399"/>
      <c r="V92" s="399">
        <v>2416.0339200000003</v>
      </c>
      <c r="W92" s="399">
        <v>2416.0339200000003</v>
      </c>
      <c r="X92" s="399">
        <v>1443.1234800000002</v>
      </c>
      <c r="Y92" s="399">
        <v>0</v>
      </c>
      <c r="Z92" s="399">
        <v>0</v>
      </c>
      <c r="AA92" s="399">
        <v>0</v>
      </c>
      <c r="AB92" s="399">
        <v>0</v>
      </c>
      <c r="AC92" s="399">
        <v>0</v>
      </c>
      <c r="AD92" s="399">
        <v>335.21314847799385</v>
      </c>
      <c r="AE92" s="399">
        <v>1510.4578809088484</v>
      </c>
      <c r="AF92" s="399">
        <v>477.73430857773718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0</v>
      </c>
      <c r="AM92" s="399"/>
      <c r="AN92" s="399">
        <v>6.0978708197431608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86.549083571369962</v>
      </c>
      <c r="BH92" s="399">
        <v>0</v>
      </c>
      <c r="BI92" s="399">
        <v>1.57</v>
      </c>
      <c r="BJ92" s="399">
        <v>8.25</v>
      </c>
      <c r="BK92" s="399">
        <v>633.91</v>
      </c>
      <c r="BL92" s="399">
        <v>36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564.28339214910716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1442.0012999999999</v>
      </c>
      <c r="CJ92" s="399">
        <v>-974.06262000000061</v>
      </c>
      <c r="CK92" s="399"/>
      <c r="CL92" s="399"/>
      <c r="CM92" s="399"/>
      <c r="CN92" s="399"/>
      <c r="CO92" s="399">
        <v>-972.91043999999999</v>
      </c>
      <c r="CP92" s="399">
        <v>0</v>
      </c>
      <c r="CQ92" s="399">
        <v>30</v>
      </c>
      <c r="CR92" s="399">
        <v>-31.175281025197137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-30.858587732509136</v>
      </c>
      <c r="DA92" s="399">
        <v>0</v>
      </c>
      <c r="DB92" s="399">
        <v>0</v>
      </c>
      <c r="DC92" s="399">
        <v>0</v>
      </c>
      <c r="DD92" s="399">
        <v>0</v>
      </c>
      <c r="DE92" s="399">
        <v>0</v>
      </c>
      <c r="DF92" s="399">
        <v>0</v>
      </c>
      <c r="DG92" s="399">
        <v>0</v>
      </c>
      <c r="DH92" s="399">
        <v>0</v>
      </c>
      <c r="DI92" s="399">
        <v>0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0</v>
      </c>
      <c r="DP92" s="399">
        <v>-0.31669329268799462</v>
      </c>
      <c r="DQ92" s="399">
        <v>0</v>
      </c>
      <c r="DR92" s="399">
        <v>0</v>
      </c>
      <c r="DS92" s="399"/>
      <c r="DT92" s="399"/>
      <c r="DU92" s="399"/>
      <c r="DV92" s="399">
        <v>1510.4578809088484</v>
      </c>
      <c r="DW92" s="399">
        <v>0</v>
      </c>
      <c r="DX92" s="399">
        <v>0</v>
      </c>
      <c r="DY92" s="399">
        <v>-972.91044000000011</v>
      </c>
      <c r="DZ92" s="399">
        <v>0</v>
      </c>
      <c r="EA92" s="399">
        <v>0</v>
      </c>
      <c r="EB92" s="399">
        <v>0</v>
      </c>
      <c r="EC92" s="399">
        <v>-941.73562243182243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221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6" customFormat="1">
      <c r="A93" s="399">
        <v>91</v>
      </c>
      <c r="B93" s="399" t="s">
        <v>2329</v>
      </c>
      <c r="C93" s="399" t="s">
        <v>2328</v>
      </c>
      <c r="D93" s="399" t="s">
        <v>1821</v>
      </c>
      <c r="E93" s="399" t="s">
        <v>889</v>
      </c>
      <c r="F93" s="399" t="s">
        <v>2334</v>
      </c>
      <c r="G93" s="399" t="s">
        <v>1239</v>
      </c>
      <c r="H93" s="399" t="s">
        <v>1239</v>
      </c>
      <c r="I93" s="399" t="s">
        <v>1239</v>
      </c>
      <c r="J93" s="399" t="s">
        <v>2326</v>
      </c>
      <c r="K93" s="786">
        <v>44501</v>
      </c>
      <c r="L93" s="399">
        <v>0</v>
      </c>
      <c r="M93" s="399">
        <v>0</v>
      </c>
      <c r="N93" s="399">
        <v>0.01</v>
      </c>
      <c r="O93" s="399">
        <v>0.01</v>
      </c>
      <c r="P93" s="399">
        <v>0.01</v>
      </c>
      <c r="Q93" s="399">
        <v>0.01</v>
      </c>
      <c r="R93" s="399"/>
      <c r="S93" s="399">
        <v>753.62</v>
      </c>
      <c r="T93" s="399">
        <v>185.74</v>
      </c>
      <c r="U93" s="399"/>
      <c r="V93" s="399">
        <v>9.3935999999999993</v>
      </c>
      <c r="W93" s="399">
        <v>9.3935999999999993</v>
      </c>
      <c r="X93" s="399">
        <v>5.6109000000000009</v>
      </c>
      <c r="Y93" s="399">
        <v>0</v>
      </c>
      <c r="Z93" s="399">
        <v>0</v>
      </c>
      <c r="AA93" s="399">
        <v>0</v>
      </c>
      <c r="AB93" s="399">
        <v>0</v>
      </c>
      <c r="AC93" s="399">
        <v>0</v>
      </c>
      <c r="AD93" s="399">
        <v>1.3033170625116401</v>
      </c>
      <c r="AE93" s="399">
        <v>5.8726978262396905</v>
      </c>
      <c r="AF93" s="399">
        <v>1.8574428793846702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0</v>
      </c>
      <c r="AM93" s="399"/>
      <c r="AN93" s="399">
        <v>2.3708673482671697E-2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0.336504990557426</v>
      </c>
      <c r="BH93" s="399">
        <v>0</v>
      </c>
      <c r="BI93" s="399">
        <v>0.02</v>
      </c>
      <c r="BJ93" s="399">
        <v>0.1</v>
      </c>
      <c r="BK93" s="399">
        <v>6.31</v>
      </c>
      <c r="BL93" s="399">
        <v>0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2.1939478699420962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5.6109000000000009</v>
      </c>
      <c r="CJ93" s="399">
        <v>-3.8126999999999978</v>
      </c>
      <c r="CK93" s="399"/>
      <c r="CL93" s="399"/>
      <c r="CM93" s="399"/>
      <c r="CN93" s="399"/>
      <c r="CO93" s="399">
        <v>-3.7826999999999997</v>
      </c>
      <c r="CP93" s="399">
        <v>0</v>
      </c>
      <c r="CQ93" s="399">
        <v>30</v>
      </c>
      <c r="CR93" s="399">
        <v>-0.12121026837168403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-0.11997895696932015</v>
      </c>
      <c r="DA93" s="399">
        <v>0</v>
      </c>
      <c r="DB93" s="399">
        <v>0</v>
      </c>
      <c r="DC93" s="399">
        <v>0</v>
      </c>
      <c r="DD93" s="399">
        <v>0</v>
      </c>
      <c r="DE93" s="399">
        <v>0</v>
      </c>
      <c r="DF93" s="399">
        <v>0</v>
      </c>
      <c r="DG93" s="399">
        <v>0</v>
      </c>
      <c r="DH93" s="399">
        <v>0</v>
      </c>
      <c r="DI93" s="399">
        <v>0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0</v>
      </c>
      <c r="DP93" s="399">
        <v>-1.231311402363898E-3</v>
      </c>
      <c r="DQ93" s="399">
        <v>0</v>
      </c>
      <c r="DR93" s="399">
        <v>0</v>
      </c>
      <c r="DS93" s="399"/>
      <c r="DT93" s="399"/>
      <c r="DU93" s="399"/>
      <c r="DV93" s="399">
        <v>5.8726978262396905</v>
      </c>
      <c r="DW93" s="399">
        <v>0</v>
      </c>
      <c r="DX93" s="399">
        <v>0</v>
      </c>
      <c r="DY93" s="399">
        <v>-3.7826999999999997</v>
      </c>
      <c r="DZ93" s="399">
        <v>0</v>
      </c>
      <c r="EA93" s="399">
        <v>0</v>
      </c>
      <c r="EB93" s="399">
        <v>0</v>
      </c>
      <c r="EC93" s="399">
        <v>-3.6614915335607403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221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6" customFormat="1">
      <c r="A94" s="399">
        <v>92</v>
      </c>
      <c r="B94" s="399" t="s">
        <v>956</v>
      </c>
      <c r="C94" s="399" t="s">
        <v>2335</v>
      </c>
      <c r="D94" s="399" t="s">
        <v>1821</v>
      </c>
      <c r="E94" s="399" t="s">
        <v>889</v>
      </c>
      <c r="F94" s="399" t="s">
        <v>889</v>
      </c>
      <c r="G94" s="399" t="s">
        <v>1239</v>
      </c>
      <c r="H94" s="399" t="s">
        <v>1239</v>
      </c>
      <c r="I94" s="399" t="s">
        <v>893</v>
      </c>
      <c r="J94" s="399" t="s">
        <v>2326</v>
      </c>
      <c r="K94" s="786">
        <v>44501</v>
      </c>
      <c r="L94" s="399">
        <v>0</v>
      </c>
      <c r="M94" s="399">
        <v>0</v>
      </c>
      <c r="N94" s="399">
        <v>3.3000000000000002E-2</v>
      </c>
      <c r="O94" s="399">
        <v>3.3000000000000002E-2</v>
      </c>
      <c r="P94" s="399">
        <v>3.3000000000000002E-2</v>
      </c>
      <c r="Q94" s="399">
        <v>3.3000000000000002E-2</v>
      </c>
      <c r="R94" s="399"/>
      <c r="S94" s="399">
        <v>2045.69</v>
      </c>
      <c r="T94" s="399">
        <v>185.74</v>
      </c>
      <c r="U94" s="399"/>
      <c r="V94" s="399">
        <v>73.637190000000004</v>
      </c>
      <c r="W94" s="399">
        <v>73.637190000000004</v>
      </c>
      <c r="X94" s="399">
        <v>39.795360000000002</v>
      </c>
      <c r="Y94" s="399">
        <v>0</v>
      </c>
      <c r="Z94" s="399">
        <v>2.0573904809076367</v>
      </c>
      <c r="AA94" s="399">
        <v>0</v>
      </c>
      <c r="AB94" s="399">
        <v>0</v>
      </c>
      <c r="AC94" s="399">
        <v>0</v>
      </c>
      <c r="AD94" s="399">
        <v>11.617867308244</v>
      </c>
      <c r="AE94" s="399">
        <v>52.325721307353454</v>
      </c>
      <c r="AF94" s="399">
        <v>6.1295615019694116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0.31796140914324078</v>
      </c>
      <c r="AM94" s="399"/>
      <c r="AN94" s="399">
        <v>7.8238622492816615E-2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1.1104664688395058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7.2400279708089172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36.177599999999998</v>
      </c>
      <c r="CJ94" s="399">
        <v>-37.489590000000021</v>
      </c>
      <c r="CK94" s="399"/>
      <c r="CL94" s="399"/>
      <c r="CM94" s="399"/>
      <c r="CN94" s="399"/>
      <c r="CO94" s="399">
        <v>-33.841830000000009</v>
      </c>
      <c r="CP94" s="399">
        <v>0</v>
      </c>
      <c r="CQ94" s="399">
        <v>30</v>
      </c>
      <c r="CR94" s="399">
        <v>-1.2178584336568754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-1.069501537227552</v>
      </c>
      <c r="DA94" s="399">
        <v>0</v>
      </c>
      <c r="DB94" s="399">
        <v>0</v>
      </c>
      <c r="DC94" s="399">
        <v>0</v>
      </c>
      <c r="DD94" s="399">
        <v>0</v>
      </c>
      <c r="DE94" s="399">
        <v>0</v>
      </c>
      <c r="DF94" s="399">
        <v>0</v>
      </c>
      <c r="DG94" s="399">
        <v>0</v>
      </c>
      <c r="DH94" s="399">
        <v>0</v>
      </c>
      <c r="DI94" s="399">
        <v>-0.12724689609290341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-1.7046672708618649E-2</v>
      </c>
      <c r="DP94" s="399">
        <v>-4.0633276278008723E-3</v>
      </c>
      <c r="DQ94" s="399">
        <v>0</v>
      </c>
      <c r="DR94" s="399">
        <v>0</v>
      </c>
      <c r="DS94" s="399"/>
      <c r="DT94" s="399"/>
      <c r="DU94" s="399"/>
      <c r="DV94" s="399">
        <v>52.325721307353454</v>
      </c>
      <c r="DW94" s="399">
        <v>0</v>
      </c>
      <c r="DX94" s="399">
        <v>0</v>
      </c>
      <c r="DY94" s="399">
        <v>-33.841830000000009</v>
      </c>
      <c r="DZ94" s="399">
        <v>0</v>
      </c>
      <c r="EA94" s="399">
        <v>0</v>
      </c>
      <c r="EB94" s="399">
        <v>0</v>
      </c>
      <c r="EC94" s="399">
        <v>-32.623879386113273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221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6" customFormat="1">
      <c r="A95" s="399">
        <v>93</v>
      </c>
      <c r="B95" s="399" t="s">
        <v>956</v>
      </c>
      <c r="C95" s="399" t="s">
        <v>2335</v>
      </c>
      <c r="D95" s="399" t="s">
        <v>1821</v>
      </c>
      <c r="E95" s="399" t="s">
        <v>889</v>
      </c>
      <c r="F95" s="399" t="s">
        <v>889</v>
      </c>
      <c r="G95" s="399" t="s">
        <v>1239</v>
      </c>
      <c r="H95" s="399" t="s">
        <v>1239</v>
      </c>
      <c r="I95" s="399" t="s">
        <v>2323</v>
      </c>
      <c r="J95" s="399" t="s">
        <v>2326</v>
      </c>
      <c r="K95" s="786">
        <v>44501</v>
      </c>
      <c r="L95" s="399">
        <v>0</v>
      </c>
      <c r="M95" s="399">
        <v>0</v>
      </c>
      <c r="N95" s="399">
        <v>0.51400000000000001</v>
      </c>
      <c r="O95" s="399">
        <v>0.51400000000000001</v>
      </c>
      <c r="P95" s="399">
        <v>0.51400000000000001</v>
      </c>
      <c r="Q95" s="399">
        <v>0.51400000000000001</v>
      </c>
      <c r="R95" s="399"/>
      <c r="S95" s="399">
        <v>495.6</v>
      </c>
      <c r="T95" s="399">
        <v>185.74</v>
      </c>
      <c r="U95" s="399"/>
      <c r="V95" s="399">
        <v>350.20876000000004</v>
      </c>
      <c r="W95" s="399">
        <v>350.20876000000004</v>
      </c>
      <c r="X95" s="399">
        <v>242.93696</v>
      </c>
      <c r="Y95" s="399">
        <v>0</v>
      </c>
      <c r="Z95" s="399">
        <v>32.045415369288641</v>
      </c>
      <c r="AA95" s="399">
        <v>0</v>
      </c>
      <c r="AB95" s="399">
        <v>0</v>
      </c>
      <c r="AC95" s="399">
        <v>0</v>
      </c>
      <c r="AD95" s="399">
        <v>36.224516127937015</v>
      </c>
      <c r="AE95" s="399">
        <v>163.00242287922157</v>
      </c>
      <c r="AF95" s="399">
        <v>95.472564000372046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4.9524898272613864</v>
      </c>
      <c r="AM95" s="399"/>
      <c r="AN95" s="399">
        <v>1.2186258170093254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17.296356514651698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112.76892051502375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241.04640000000001</v>
      </c>
      <c r="CJ95" s="399">
        <v>-109.19236000000001</v>
      </c>
      <c r="CK95" s="399"/>
      <c r="CL95" s="399"/>
      <c r="CM95" s="399"/>
      <c r="CN95" s="399"/>
      <c r="CO95" s="399">
        <v>-107.27180000000003</v>
      </c>
      <c r="CP95" s="399">
        <v>0</v>
      </c>
      <c r="CQ95" s="399">
        <v>30</v>
      </c>
      <c r="CR95" s="399">
        <v>-5.6454773860788237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-3.3347063326038864</v>
      </c>
      <c r="DA95" s="399">
        <v>0</v>
      </c>
      <c r="DB95" s="399">
        <v>0</v>
      </c>
      <c r="DC95" s="399">
        <v>0</v>
      </c>
      <c r="DD95" s="399">
        <v>0</v>
      </c>
      <c r="DE95" s="399">
        <v>0</v>
      </c>
      <c r="DF95" s="399">
        <v>0</v>
      </c>
      <c r="DG95" s="399">
        <v>0</v>
      </c>
      <c r="DH95" s="399">
        <v>0</v>
      </c>
      <c r="DI95" s="399">
        <v>-1.981966805810675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-0.26551484158272665</v>
      </c>
      <c r="DP95" s="399">
        <v>-6.3289406081504573E-2</v>
      </c>
      <c r="DQ95" s="399">
        <v>0</v>
      </c>
      <c r="DR95" s="399">
        <v>0</v>
      </c>
      <c r="DS95" s="399"/>
      <c r="DT95" s="399"/>
      <c r="DU95" s="399"/>
      <c r="DV95" s="399">
        <v>163.00242287922157</v>
      </c>
      <c r="DW95" s="399">
        <v>0</v>
      </c>
      <c r="DX95" s="399">
        <v>0</v>
      </c>
      <c r="DY95" s="399">
        <v>-107.27180000000001</v>
      </c>
      <c r="DZ95" s="399">
        <v>0</v>
      </c>
      <c r="EA95" s="399">
        <v>0</v>
      </c>
      <c r="EB95" s="399">
        <v>0</v>
      </c>
      <c r="EC95" s="399">
        <v>-101.62824803541972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221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6" customFormat="1">
      <c r="A96" s="399">
        <v>94</v>
      </c>
      <c r="B96" s="399" t="s">
        <v>956</v>
      </c>
      <c r="C96" s="399" t="s">
        <v>2335</v>
      </c>
      <c r="D96" s="399" t="s">
        <v>1821</v>
      </c>
      <c r="E96" s="399" t="s">
        <v>889</v>
      </c>
      <c r="F96" s="399" t="s">
        <v>889</v>
      </c>
      <c r="G96" s="399" t="s">
        <v>1239</v>
      </c>
      <c r="H96" s="399" t="s">
        <v>1239</v>
      </c>
      <c r="I96" s="399" t="s">
        <v>1239</v>
      </c>
      <c r="J96" s="399" t="s">
        <v>2326</v>
      </c>
      <c r="K96" s="786">
        <v>44501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0.31</v>
      </c>
      <c r="BJ96" s="399">
        <v>1.51</v>
      </c>
      <c r="BK96" s="399">
        <v>104.56</v>
      </c>
      <c r="BL96" s="399">
        <v>1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30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221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6" customFormat="1">
      <c r="A97" s="399">
        <v>95</v>
      </c>
      <c r="B97" s="399" t="s">
        <v>956</v>
      </c>
      <c r="C97" s="399" t="s">
        <v>2335</v>
      </c>
      <c r="D97" s="399" t="s">
        <v>1821</v>
      </c>
      <c r="E97" s="399" t="s">
        <v>889</v>
      </c>
      <c r="F97" s="399" t="s">
        <v>889</v>
      </c>
      <c r="G97" s="399" t="s">
        <v>1239</v>
      </c>
      <c r="H97" s="399" t="s">
        <v>1239</v>
      </c>
      <c r="I97" s="399" t="s">
        <v>2336</v>
      </c>
      <c r="J97" s="399" t="s">
        <v>2326</v>
      </c>
      <c r="K97" s="786">
        <v>44501</v>
      </c>
      <c r="L97" s="399">
        <v>0</v>
      </c>
      <c r="M97" s="399">
        <v>0</v>
      </c>
      <c r="N97" s="399">
        <v>2.7E-2</v>
      </c>
      <c r="O97" s="399">
        <v>2.7E-2</v>
      </c>
      <c r="P97" s="399">
        <v>2.7E-2</v>
      </c>
      <c r="Q97" s="399">
        <v>2.7E-2</v>
      </c>
      <c r="R97" s="399"/>
      <c r="S97" s="399">
        <v>1270.6099999999999</v>
      </c>
      <c r="T97" s="399">
        <v>185.74</v>
      </c>
      <c r="U97" s="399"/>
      <c r="V97" s="399">
        <v>39.321449999999999</v>
      </c>
      <c r="W97" s="399">
        <v>39.321449999999999</v>
      </c>
      <c r="X97" s="399">
        <v>22.659750000000003</v>
      </c>
      <c r="Y97" s="399">
        <v>0</v>
      </c>
      <c r="Z97" s="399">
        <v>1.6833194843789754</v>
      </c>
      <c r="AA97" s="399">
        <v>0</v>
      </c>
      <c r="AB97" s="399">
        <v>0</v>
      </c>
      <c r="AC97" s="399">
        <v>0</v>
      </c>
      <c r="AD97" s="399">
        <v>5.7033172190565633</v>
      </c>
      <c r="AE97" s="399">
        <v>25.68718563451711</v>
      </c>
      <c r="AF97" s="399">
        <v>5.0150957743386089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0.26015024384446972</v>
      </c>
      <c r="AM97" s="399"/>
      <c r="AN97" s="399">
        <v>6.401341840321359E-2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0.90856347450505015</v>
      </c>
      <c r="BH97" s="399">
        <v>0</v>
      </c>
      <c r="BI97" s="399">
        <v>0</v>
      </c>
      <c r="BJ97" s="399">
        <v>0</v>
      </c>
      <c r="BK97" s="399">
        <v>0</v>
      </c>
      <c r="BL97" s="399">
        <v>0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5.9236592488436592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25.177500000000002</v>
      </c>
      <c r="CJ97" s="399">
        <v>-14.173949999999991</v>
      </c>
      <c r="CK97" s="399"/>
      <c r="CL97" s="399"/>
      <c r="CM97" s="399"/>
      <c r="CN97" s="399"/>
      <c r="CO97" s="399">
        <v>-16.661699999999996</v>
      </c>
      <c r="CP97" s="399">
        <v>0</v>
      </c>
      <c r="CQ97" s="399">
        <v>30</v>
      </c>
      <c r="CR97" s="399">
        <v>-0.64641099237990041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-0.52502807711954702</v>
      </c>
      <c r="DA97" s="399">
        <v>0</v>
      </c>
      <c r="DB97" s="399">
        <v>0</v>
      </c>
      <c r="DC97" s="399">
        <v>0</v>
      </c>
      <c r="DD97" s="399">
        <v>0</v>
      </c>
      <c r="DE97" s="399">
        <v>0</v>
      </c>
      <c r="DF97" s="399">
        <v>0</v>
      </c>
      <c r="DG97" s="399">
        <v>0</v>
      </c>
      <c r="DH97" s="399">
        <v>0</v>
      </c>
      <c r="DI97" s="399">
        <v>-0.10411109680328456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-1.3947277670687985E-2</v>
      </c>
      <c r="DP97" s="399">
        <v>-3.3245407863825363E-3</v>
      </c>
      <c r="DQ97" s="399">
        <v>0</v>
      </c>
      <c r="DR97" s="399">
        <v>0</v>
      </c>
      <c r="DS97" s="399"/>
      <c r="DT97" s="399"/>
      <c r="DU97" s="399"/>
      <c r="DV97" s="399">
        <v>25.68718563451711</v>
      </c>
      <c r="DW97" s="399">
        <v>0</v>
      </c>
      <c r="DX97" s="399">
        <v>0</v>
      </c>
      <c r="DY97" s="399">
        <v>-16.661699999999996</v>
      </c>
      <c r="DZ97" s="399">
        <v>0</v>
      </c>
      <c r="EA97" s="399">
        <v>0</v>
      </c>
      <c r="EB97" s="399">
        <v>0</v>
      </c>
      <c r="EC97" s="399">
        <v>-16.015367298747957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221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6" customFormat="1">
      <c r="A98" s="399">
        <v>96</v>
      </c>
      <c r="B98" s="399" t="s">
        <v>956</v>
      </c>
      <c r="C98" s="399" t="s">
        <v>2328</v>
      </c>
      <c r="D98" s="399" t="s">
        <v>1824</v>
      </c>
      <c r="E98" s="399" t="s">
        <v>890</v>
      </c>
      <c r="F98" s="399" t="s">
        <v>1239</v>
      </c>
      <c r="G98" s="399" t="s">
        <v>1239</v>
      </c>
      <c r="H98" s="399" t="s">
        <v>1239</v>
      </c>
      <c r="I98" s="399" t="s">
        <v>1239</v>
      </c>
      <c r="J98" s="399" t="s">
        <v>2326</v>
      </c>
      <c r="K98" s="786">
        <v>44501</v>
      </c>
      <c r="L98" s="399">
        <v>0</v>
      </c>
      <c r="M98" s="399">
        <v>0</v>
      </c>
      <c r="N98" s="399">
        <v>41.173000000000002</v>
      </c>
      <c r="O98" s="399">
        <v>41.173000000000002</v>
      </c>
      <c r="P98" s="399">
        <v>41.173000000000002</v>
      </c>
      <c r="Q98" s="399">
        <v>41.173000000000002</v>
      </c>
      <c r="R98" s="399"/>
      <c r="S98" s="399">
        <v>825.6</v>
      </c>
      <c r="T98" s="399">
        <v>185.74</v>
      </c>
      <c r="U98" s="399"/>
      <c r="V98" s="399">
        <v>41639.901819999999</v>
      </c>
      <c r="W98" s="399">
        <v>41639.901819999999</v>
      </c>
      <c r="X98" s="399">
        <v>25885.465100000001</v>
      </c>
      <c r="Y98" s="399">
        <v>0</v>
      </c>
      <c r="Z98" s="399">
        <v>2566.9375233457613</v>
      </c>
      <c r="AA98" s="399">
        <v>0</v>
      </c>
      <c r="AB98" s="399">
        <v>0</v>
      </c>
      <c r="AC98" s="399">
        <v>0</v>
      </c>
      <c r="AD98" s="399">
        <v>5366.1473414791762</v>
      </c>
      <c r="AE98" s="399">
        <v>24179.658759976679</v>
      </c>
      <c r="AF98" s="399">
        <v>7647.649567290503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396.70985147438341</v>
      </c>
      <c r="AM98" s="399"/>
      <c r="AN98" s="399">
        <v>97.615721330204181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1385.4919976220901</v>
      </c>
      <c r="BH98" s="399">
        <v>0</v>
      </c>
      <c r="BI98" s="399">
        <v>25.29</v>
      </c>
      <c r="BJ98" s="399">
        <v>124.29</v>
      </c>
      <c r="BK98" s="399">
        <v>10626.78</v>
      </c>
      <c r="BL98" s="399">
        <v>48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9033.1415649125938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25883.578999999998</v>
      </c>
      <c r="CJ98" s="399">
        <v>-15756.352820000007</v>
      </c>
      <c r="CK98" s="399"/>
      <c r="CL98" s="399"/>
      <c r="CM98" s="399"/>
      <c r="CN98" s="399"/>
      <c r="CO98" s="399">
        <v>-15754.436720000003</v>
      </c>
      <c r="CP98" s="399">
        <v>0</v>
      </c>
      <c r="CQ98" s="399">
        <v>30</v>
      </c>
      <c r="CR98" s="399">
        <v>-679.08931397476408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-493.98935952978172</v>
      </c>
      <c r="DA98" s="399">
        <v>0</v>
      </c>
      <c r="DB98" s="399">
        <v>0</v>
      </c>
      <c r="DC98" s="399">
        <v>0</v>
      </c>
      <c r="DD98" s="399">
        <v>0</v>
      </c>
      <c r="DE98" s="399">
        <v>0</v>
      </c>
      <c r="DF98" s="399">
        <v>0</v>
      </c>
      <c r="DG98" s="399">
        <v>0</v>
      </c>
      <c r="DH98" s="399">
        <v>0</v>
      </c>
      <c r="DI98" s="399">
        <v>-158.76171069191241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-21.268565316119862</v>
      </c>
      <c r="DP98" s="399">
        <v>-5.06967843695287</v>
      </c>
      <c r="DQ98" s="399">
        <v>0</v>
      </c>
      <c r="DR98" s="399">
        <v>0</v>
      </c>
      <c r="DS98" s="399"/>
      <c r="DT98" s="399"/>
      <c r="DU98" s="399"/>
      <c r="DV98" s="399">
        <v>24179.658759976679</v>
      </c>
      <c r="DW98" s="399">
        <v>0</v>
      </c>
      <c r="DX98" s="399">
        <v>0</v>
      </c>
      <c r="DY98" s="399">
        <v>-15754.436720000002</v>
      </c>
      <c r="DZ98" s="399">
        <v>0</v>
      </c>
      <c r="EA98" s="399">
        <v>0</v>
      </c>
      <c r="EB98" s="399">
        <v>0</v>
      </c>
      <c r="EC98" s="399">
        <v>-15075.459091129638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221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6" customFormat="1">
      <c r="A99" s="399">
        <v>97</v>
      </c>
      <c r="B99" s="399" t="s">
        <v>2330</v>
      </c>
      <c r="C99" s="399" t="s">
        <v>2328</v>
      </c>
      <c r="D99" s="399" t="s">
        <v>1824</v>
      </c>
      <c r="E99" s="399" t="s">
        <v>890</v>
      </c>
      <c r="F99" s="399" t="s">
        <v>1239</v>
      </c>
      <c r="G99" s="399" t="s">
        <v>1239</v>
      </c>
      <c r="H99" s="399" t="s">
        <v>1239</v>
      </c>
      <c r="I99" s="399" t="s">
        <v>1239</v>
      </c>
      <c r="J99" s="399" t="s">
        <v>2326</v>
      </c>
      <c r="K99" s="786">
        <v>44501</v>
      </c>
      <c r="L99" s="399">
        <v>0</v>
      </c>
      <c r="M99" s="399">
        <v>0</v>
      </c>
      <c r="N99" s="399">
        <v>2.7549999999999999</v>
      </c>
      <c r="O99" s="399">
        <v>2.7549999999999999</v>
      </c>
      <c r="P99" s="399">
        <v>2.7549999999999999</v>
      </c>
      <c r="Q99" s="399">
        <v>2.7549999999999999</v>
      </c>
      <c r="R99" s="399"/>
      <c r="S99" s="399">
        <v>825.6</v>
      </c>
      <c r="T99" s="399">
        <v>185.74</v>
      </c>
      <c r="U99" s="399"/>
      <c r="V99" s="399">
        <v>2786.2416999999996</v>
      </c>
      <c r="W99" s="399">
        <v>2786.2416999999996</v>
      </c>
      <c r="X99" s="399">
        <v>1732.0684999999999</v>
      </c>
      <c r="Y99" s="399">
        <v>0</v>
      </c>
      <c r="Z99" s="399">
        <v>171.7609325727436</v>
      </c>
      <c r="AA99" s="399">
        <v>0</v>
      </c>
      <c r="AB99" s="399">
        <v>0</v>
      </c>
      <c r="AC99" s="399">
        <v>0</v>
      </c>
      <c r="AD99" s="399">
        <v>359.06385072195684</v>
      </c>
      <c r="AE99" s="399">
        <v>1617.9282511290346</v>
      </c>
      <c r="AF99" s="399">
        <v>511.7255132704766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26.54496006635237</v>
      </c>
      <c r="AM99" s="399"/>
      <c r="AN99" s="399">
        <v>6.5317395444760527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92.707124898570854</v>
      </c>
      <c r="BH99" s="399">
        <v>0</v>
      </c>
      <c r="BI99" s="399">
        <v>1.64</v>
      </c>
      <c r="BJ99" s="399">
        <v>8.07</v>
      </c>
      <c r="BK99" s="399">
        <v>1735.33</v>
      </c>
      <c r="BL99" s="399">
        <v>3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604.43263816904744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1735.2119999999998</v>
      </c>
      <c r="CJ99" s="399">
        <v>-1051.0597000000005</v>
      </c>
      <c r="CK99" s="399"/>
      <c r="CL99" s="399"/>
      <c r="CM99" s="399"/>
      <c r="CN99" s="399"/>
      <c r="CO99" s="399">
        <v>-1054.1732000000002</v>
      </c>
      <c r="CP99" s="399">
        <v>0</v>
      </c>
      <c r="CQ99" s="399">
        <v>30</v>
      </c>
      <c r="CR99" s="399">
        <v>-45.439755665132225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-33.054202645047667</v>
      </c>
      <c r="DA99" s="399">
        <v>0</v>
      </c>
      <c r="DB99" s="399">
        <v>0</v>
      </c>
      <c r="DC99" s="399">
        <v>0</v>
      </c>
      <c r="DD99" s="399">
        <v>0</v>
      </c>
      <c r="DE99" s="399">
        <v>0</v>
      </c>
      <c r="DF99" s="399">
        <v>0</v>
      </c>
      <c r="DG99" s="399">
        <v>0</v>
      </c>
      <c r="DH99" s="399">
        <v>0</v>
      </c>
      <c r="DI99" s="399">
        <v>-10.623187840483297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-1.4231388882498273</v>
      </c>
      <c r="DP99" s="399">
        <v>-0.33922629135125426</v>
      </c>
      <c r="DQ99" s="399">
        <v>0</v>
      </c>
      <c r="DR99" s="399">
        <v>0</v>
      </c>
      <c r="DS99" s="399"/>
      <c r="DT99" s="399"/>
      <c r="DU99" s="399"/>
      <c r="DV99" s="399">
        <v>1617.9282511290346</v>
      </c>
      <c r="DW99" s="399">
        <v>0</v>
      </c>
      <c r="DX99" s="399">
        <v>0</v>
      </c>
      <c r="DY99" s="399">
        <v>-1054.1732</v>
      </c>
      <c r="DZ99" s="399">
        <v>0</v>
      </c>
      <c r="EA99" s="399">
        <v>0</v>
      </c>
      <c r="EB99" s="399">
        <v>0</v>
      </c>
      <c r="EC99" s="399">
        <v>-1008.7409174959839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221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6" customFormat="1">
      <c r="A100" s="399">
        <v>98</v>
      </c>
      <c r="B100" s="399" t="s">
        <v>956</v>
      </c>
      <c r="C100" s="399" t="s">
        <v>2325</v>
      </c>
      <c r="D100" s="399" t="s">
        <v>533</v>
      </c>
      <c r="E100" s="399" t="s">
        <v>890</v>
      </c>
      <c r="F100" s="399" t="s">
        <v>1239</v>
      </c>
      <c r="G100" s="399" t="s">
        <v>1239</v>
      </c>
      <c r="H100" s="399" t="s">
        <v>1239</v>
      </c>
      <c r="I100" s="399" t="s">
        <v>893</v>
      </c>
      <c r="J100" s="399" t="s">
        <v>2326</v>
      </c>
      <c r="K100" s="786">
        <v>44501</v>
      </c>
      <c r="L100" s="399">
        <v>0</v>
      </c>
      <c r="M100" s="399">
        <v>0</v>
      </c>
      <c r="N100" s="399">
        <v>2.52</v>
      </c>
      <c r="O100" s="399">
        <v>2.52</v>
      </c>
      <c r="P100" s="399">
        <v>2.52</v>
      </c>
      <c r="Q100" s="399">
        <v>2.52</v>
      </c>
      <c r="R100" s="399"/>
      <c r="S100" s="399">
        <v>4433.21</v>
      </c>
      <c r="T100" s="399">
        <v>185.74</v>
      </c>
      <c r="U100" s="399"/>
      <c r="V100" s="399">
        <v>11639.754000000001</v>
      </c>
      <c r="W100" s="399">
        <v>11639.754000000001</v>
      </c>
      <c r="X100" s="399">
        <v>6074.7624000000005</v>
      </c>
      <c r="Y100" s="399">
        <v>0</v>
      </c>
      <c r="Z100" s="399">
        <v>136.68554213157262</v>
      </c>
      <c r="AA100" s="399">
        <v>0</v>
      </c>
      <c r="AB100" s="399">
        <v>0</v>
      </c>
      <c r="AC100" s="399">
        <v>0</v>
      </c>
      <c r="AD100" s="399">
        <v>2423.2898968182249</v>
      </c>
      <c r="AE100" s="399">
        <v>8552.0825622229295</v>
      </c>
      <c r="AF100" s="399">
        <v>468.07560560493687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24.280689425483839</v>
      </c>
      <c r="AM100" s="399"/>
      <c r="AN100" s="399">
        <v>2.6104211873831953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32.74027796962465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500.8158835745615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6074.7624000000005</v>
      </c>
      <c r="CJ100" s="399">
        <v>-5565.0216000000009</v>
      </c>
      <c r="CK100" s="399"/>
      <c r="CL100" s="399"/>
      <c r="CM100" s="399"/>
      <c r="CN100" s="399"/>
      <c r="CO100" s="399">
        <v>-5564.9916000000003</v>
      </c>
      <c r="CP100" s="399">
        <v>0</v>
      </c>
      <c r="CQ100" s="399">
        <v>30</v>
      </c>
      <c r="CR100" s="399">
        <v>-232.97100428099293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-223.07986492116424</v>
      </c>
      <c r="DA100" s="399">
        <v>0</v>
      </c>
      <c r="DB100" s="399">
        <v>0</v>
      </c>
      <c r="DC100" s="399">
        <v>0</v>
      </c>
      <c r="DD100" s="399">
        <v>0</v>
      </c>
      <c r="DE100" s="399">
        <v>0</v>
      </c>
      <c r="DF100" s="399">
        <v>0</v>
      </c>
      <c r="DG100" s="399">
        <v>0</v>
      </c>
      <c r="DH100" s="399">
        <v>0</v>
      </c>
      <c r="DI100" s="399">
        <v>-8.4538210604266339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-1.3017459159308764</v>
      </c>
      <c r="DP100" s="399">
        <v>-0.13557238347165912</v>
      </c>
      <c r="DQ100" s="399">
        <v>0</v>
      </c>
      <c r="DR100" s="399">
        <v>0</v>
      </c>
      <c r="DS100" s="399"/>
      <c r="DT100" s="399"/>
      <c r="DU100" s="399"/>
      <c r="DV100" s="399">
        <v>8552.0825622229295</v>
      </c>
      <c r="DW100" s="399">
        <v>0</v>
      </c>
      <c r="DX100" s="399">
        <v>0</v>
      </c>
      <c r="DY100" s="399">
        <v>-5564.9916000000003</v>
      </c>
      <c r="DZ100" s="399">
        <v>0</v>
      </c>
      <c r="EA100" s="399">
        <v>0</v>
      </c>
      <c r="EB100" s="399">
        <v>0</v>
      </c>
      <c r="EC100" s="399">
        <v>-5332.0260674712281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221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6" customFormat="1">
      <c r="A101" s="399">
        <v>99</v>
      </c>
      <c r="B101" s="399" t="s">
        <v>956</v>
      </c>
      <c r="C101" s="399" t="s">
        <v>2325</v>
      </c>
      <c r="D101" s="399" t="s">
        <v>533</v>
      </c>
      <c r="E101" s="399" t="s">
        <v>890</v>
      </c>
      <c r="F101" s="399" t="s">
        <v>1239</v>
      </c>
      <c r="G101" s="399" t="s">
        <v>1239</v>
      </c>
      <c r="H101" s="399" t="s">
        <v>1239</v>
      </c>
      <c r="I101" s="399" t="s">
        <v>2323</v>
      </c>
      <c r="J101" s="399" t="s">
        <v>2326</v>
      </c>
      <c r="K101" s="786">
        <v>44501</v>
      </c>
      <c r="L101" s="399">
        <v>0</v>
      </c>
      <c r="M101" s="399">
        <v>0</v>
      </c>
      <c r="N101" s="399">
        <v>57.822000000000003</v>
      </c>
      <c r="O101" s="399">
        <v>57.822000000000003</v>
      </c>
      <c r="P101" s="399">
        <v>57.822000000000003</v>
      </c>
      <c r="Q101" s="399">
        <v>57.822000000000003</v>
      </c>
      <c r="R101" s="399"/>
      <c r="S101" s="399">
        <v>77.900000000000006</v>
      </c>
      <c r="T101" s="399">
        <v>185.74</v>
      </c>
      <c r="U101" s="399"/>
      <c r="V101" s="399">
        <v>15244.192080000001</v>
      </c>
      <c r="W101" s="399">
        <v>15244.192080000001</v>
      </c>
      <c r="X101" s="399">
        <v>15017.529840000001</v>
      </c>
      <c r="Y101" s="399">
        <v>0</v>
      </c>
      <c r="Z101" s="399">
        <v>3136.2823083856319</v>
      </c>
      <c r="AA101" s="399">
        <v>0</v>
      </c>
      <c r="AB101" s="399">
        <v>0</v>
      </c>
      <c r="AC101" s="399">
        <v>0</v>
      </c>
      <c r="AD101" s="399">
        <v>0</v>
      </c>
      <c r="AE101" s="399">
        <v>0</v>
      </c>
      <c r="AF101" s="399">
        <v>10740.10621717804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557.12619998425657</v>
      </c>
      <c r="AM101" s="399"/>
      <c r="AN101" s="399">
        <v>59.896735673361555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751.23347331731611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11491.339690495355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15017.010400000001</v>
      </c>
      <c r="CJ101" s="399">
        <v>-227.21168000000034</v>
      </c>
      <c r="CK101" s="399"/>
      <c r="CL101" s="399"/>
      <c r="CM101" s="399"/>
      <c r="CN101" s="399"/>
      <c r="CO101" s="399">
        <v>-226.66224000000011</v>
      </c>
      <c r="CP101" s="399">
        <v>0</v>
      </c>
      <c r="CQ101" s="399">
        <v>30</v>
      </c>
      <c r="CR101" s="399">
        <v>-226.95454764446185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0</v>
      </c>
      <c r="DA101" s="399">
        <v>0</v>
      </c>
      <c r="DB101" s="399">
        <v>0</v>
      </c>
      <c r="DC101" s="399">
        <v>0</v>
      </c>
      <c r="DD101" s="399">
        <v>0</v>
      </c>
      <c r="DE101" s="399">
        <v>0</v>
      </c>
      <c r="DF101" s="399">
        <v>0</v>
      </c>
      <c r="DG101" s="399">
        <v>0</v>
      </c>
      <c r="DH101" s="399">
        <v>0</v>
      </c>
      <c r="DI101" s="399">
        <v>-193.97493704602766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-29.868869980537738</v>
      </c>
      <c r="DP101" s="399">
        <v>-3.1107406178961412</v>
      </c>
      <c r="DQ101" s="399">
        <v>0</v>
      </c>
      <c r="DR101" s="399">
        <v>0</v>
      </c>
      <c r="DS101" s="399"/>
      <c r="DT101" s="399"/>
      <c r="DU101" s="399"/>
      <c r="DV101" s="399">
        <v>0</v>
      </c>
      <c r="DW101" s="399">
        <v>0</v>
      </c>
      <c r="DX101" s="399">
        <v>0</v>
      </c>
      <c r="DY101" s="399">
        <v>-226.66223999999966</v>
      </c>
      <c r="DZ101" s="399">
        <v>0</v>
      </c>
      <c r="EA101" s="399">
        <v>0</v>
      </c>
      <c r="EB101" s="399">
        <v>0</v>
      </c>
      <c r="EC101" s="399">
        <v>0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221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6" customFormat="1">
      <c r="A102" s="399">
        <v>100</v>
      </c>
      <c r="B102" s="399" t="s">
        <v>956</v>
      </c>
      <c r="C102" s="399" t="s">
        <v>2325</v>
      </c>
      <c r="D102" s="399" t="s">
        <v>533</v>
      </c>
      <c r="E102" s="399" t="s">
        <v>890</v>
      </c>
      <c r="F102" s="399" t="s">
        <v>1239</v>
      </c>
      <c r="G102" s="399" t="s">
        <v>1239</v>
      </c>
      <c r="H102" s="399" t="s">
        <v>1239</v>
      </c>
      <c r="I102" s="399" t="s">
        <v>1239</v>
      </c>
      <c r="J102" s="399" t="s">
        <v>2326</v>
      </c>
      <c r="K102" s="786">
        <v>44501</v>
      </c>
      <c r="L102" s="399">
        <v>341</v>
      </c>
      <c r="M102" s="399">
        <v>341</v>
      </c>
      <c r="N102" s="399">
        <v>0</v>
      </c>
      <c r="O102" s="399">
        <v>0</v>
      </c>
      <c r="P102" s="399">
        <v>0</v>
      </c>
      <c r="Q102" s="399">
        <v>0</v>
      </c>
      <c r="R102" s="399">
        <v>55.59</v>
      </c>
      <c r="S102" s="399"/>
      <c r="T102" s="399"/>
      <c r="U102" s="399">
        <v>18956.190000000002</v>
      </c>
      <c r="V102" s="399"/>
      <c r="W102" s="399">
        <v>18956.190000000002</v>
      </c>
      <c r="X102" s="399">
        <v>10062.91</v>
      </c>
      <c r="Y102" s="399">
        <v>0</v>
      </c>
      <c r="Z102" s="399">
        <v>0</v>
      </c>
      <c r="AA102" s="399">
        <v>0</v>
      </c>
      <c r="AB102" s="399">
        <v>0</v>
      </c>
      <c r="AC102" s="399">
        <v>0</v>
      </c>
      <c r="AD102" s="399">
        <v>5508.7427522715479</v>
      </c>
      <c r="AE102" s="399">
        <v>13445.876589568221</v>
      </c>
      <c r="AF102" s="399"/>
      <c r="AG102" s="399"/>
      <c r="AH102" s="399"/>
      <c r="AI102" s="399">
        <v>0</v>
      </c>
      <c r="AJ102" s="399">
        <v>0</v>
      </c>
      <c r="AK102" s="399">
        <v>0</v>
      </c>
      <c r="AL102" s="399">
        <v>0</v>
      </c>
      <c r="AM102" s="399"/>
      <c r="AN102" s="399">
        <v>0</v>
      </c>
      <c r="AO102" s="399">
        <v>0</v>
      </c>
      <c r="AP102" s="399">
        <v>0</v>
      </c>
      <c r="AQ102" s="399">
        <v>0</v>
      </c>
      <c r="AR102" s="399">
        <v>0</v>
      </c>
      <c r="AS102" s="399"/>
      <c r="AT102" s="399"/>
      <c r="AU102" s="399">
        <v>0</v>
      </c>
      <c r="AV102" s="399">
        <v>0</v>
      </c>
      <c r="AW102" s="399">
        <v>0</v>
      </c>
      <c r="AX102" s="399"/>
      <c r="AY102" s="399"/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/>
      <c r="BG102" s="399">
        <v>0</v>
      </c>
      <c r="BH102" s="399">
        <v>0</v>
      </c>
      <c r="BI102" s="399">
        <v>32.76</v>
      </c>
      <c r="BJ102" s="399">
        <v>159.81</v>
      </c>
      <c r="BK102" s="399">
        <v>13333.37</v>
      </c>
      <c r="BL102" s="399">
        <v>5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0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10062.91</v>
      </c>
      <c r="CJ102" s="399">
        <v>-8893.3099999999977</v>
      </c>
      <c r="CK102" s="399"/>
      <c r="CL102" s="399"/>
      <c r="CM102" s="399"/>
      <c r="CN102" s="399"/>
      <c r="CO102" s="399">
        <v>-8893.2800000000007</v>
      </c>
      <c r="CP102" s="399">
        <v>0</v>
      </c>
      <c r="CQ102" s="399">
        <v>30</v>
      </c>
      <c r="CR102" s="399">
        <v>-507.11621035343342</v>
      </c>
      <c r="CS102" s="399">
        <v>0</v>
      </c>
      <c r="CT102" s="399">
        <v>0</v>
      </c>
      <c r="CU102" s="399">
        <v>0</v>
      </c>
      <c r="CV102" s="399">
        <v>0</v>
      </c>
      <c r="CW102" s="399"/>
      <c r="CX102" s="399"/>
      <c r="CY102" s="399"/>
      <c r="CZ102" s="399">
        <v>-507.11621035343342</v>
      </c>
      <c r="DA102" s="399">
        <v>0</v>
      </c>
      <c r="DB102" s="399">
        <v>0</v>
      </c>
      <c r="DC102" s="399"/>
      <c r="DD102" s="399"/>
      <c r="DE102" s="399">
        <v>0</v>
      </c>
      <c r="DF102" s="399">
        <v>0</v>
      </c>
      <c r="DG102" s="399">
        <v>0</v>
      </c>
      <c r="DH102" s="399">
        <v>0</v>
      </c>
      <c r="DI102" s="399">
        <v>0</v>
      </c>
      <c r="DJ102" s="399"/>
      <c r="DK102" s="399">
        <v>0</v>
      </c>
      <c r="DL102" s="399">
        <v>0</v>
      </c>
      <c r="DM102" s="399"/>
      <c r="DN102" s="399">
        <v>0</v>
      </c>
      <c r="DO102" s="399">
        <v>0</v>
      </c>
      <c r="DP102" s="399">
        <v>0</v>
      </c>
      <c r="DQ102" s="399">
        <v>0</v>
      </c>
      <c r="DR102" s="399">
        <v>0</v>
      </c>
      <c r="DS102" s="399"/>
      <c r="DT102" s="399"/>
      <c r="DU102" s="399">
        <v>13445.876589568221</v>
      </c>
      <c r="DV102" s="399"/>
      <c r="DW102" s="399">
        <v>0</v>
      </c>
      <c r="DX102" s="399">
        <v>0</v>
      </c>
      <c r="DY102" s="399">
        <v>-8893.2800000000025</v>
      </c>
      <c r="DZ102" s="399"/>
      <c r="EA102" s="399">
        <v>0</v>
      </c>
      <c r="EB102" s="399"/>
      <c r="EC102" s="399">
        <v>-8383.1936787270261</v>
      </c>
      <c r="ED102" s="399"/>
      <c r="EE102" s="399">
        <v>0</v>
      </c>
      <c r="EF102" s="399">
        <v>0</v>
      </c>
      <c r="EG102" s="399"/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/>
      <c r="EN102" s="399"/>
      <c r="EO102" s="399">
        <v>0</v>
      </c>
      <c r="EP102" s="399">
        <v>0</v>
      </c>
      <c r="EQ102" s="399"/>
      <c r="ER102" s="399">
        <v>0</v>
      </c>
      <c r="ES102" s="399"/>
      <c r="ET102" s="399">
        <v>0</v>
      </c>
      <c r="EU102" s="399"/>
      <c r="EV102" s="399">
        <v>221</v>
      </c>
      <c r="EW102" s="399"/>
      <c r="EX102" s="399"/>
      <c r="EY102" s="399"/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6" customFormat="1">
      <c r="A103" s="399">
        <v>102</v>
      </c>
      <c r="B103" s="399" t="s">
        <v>956</v>
      </c>
      <c r="C103" s="399" t="s">
        <v>2328</v>
      </c>
      <c r="D103" s="399" t="s">
        <v>1824</v>
      </c>
      <c r="E103" s="399" t="s">
        <v>918</v>
      </c>
      <c r="F103" s="399" t="s">
        <v>1239</v>
      </c>
      <c r="G103" s="399" t="s">
        <v>1239</v>
      </c>
      <c r="H103" s="399" t="s">
        <v>1239</v>
      </c>
      <c r="I103" s="399" t="s">
        <v>1239</v>
      </c>
      <c r="J103" s="399" t="s">
        <v>2326</v>
      </c>
      <c r="K103" s="786">
        <v>44501</v>
      </c>
      <c r="L103" s="399">
        <v>0</v>
      </c>
      <c r="M103" s="399">
        <v>0</v>
      </c>
      <c r="N103" s="399">
        <v>148.084</v>
      </c>
      <c r="O103" s="399">
        <v>148.084</v>
      </c>
      <c r="P103" s="399">
        <v>148.084</v>
      </c>
      <c r="Q103" s="399">
        <v>148.084</v>
      </c>
      <c r="R103" s="399"/>
      <c r="S103" s="399">
        <v>825.6</v>
      </c>
      <c r="T103" s="399">
        <v>185.74</v>
      </c>
      <c r="U103" s="399"/>
      <c r="V103" s="399">
        <v>149763.27256000001</v>
      </c>
      <c r="W103" s="399">
        <v>149763.27256000001</v>
      </c>
      <c r="X103" s="399">
        <v>93100.410799999998</v>
      </c>
      <c r="Y103" s="399">
        <v>0</v>
      </c>
      <c r="Z103" s="399">
        <v>9232.3215749917108</v>
      </c>
      <c r="AA103" s="399">
        <v>0</v>
      </c>
      <c r="AB103" s="399">
        <v>0</v>
      </c>
      <c r="AC103" s="399">
        <v>0</v>
      </c>
      <c r="AD103" s="399">
        <v>19300.040388497371</v>
      </c>
      <c r="AE103" s="399">
        <v>86965.258490087828</v>
      </c>
      <c r="AF103" s="399">
        <v>27505.757135079948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1426.8181003505354</v>
      </c>
      <c r="AM103" s="399"/>
      <c r="AN103" s="399">
        <v>351.0875204007956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4983.1005021705869</v>
      </c>
      <c r="BH103" s="399">
        <v>0</v>
      </c>
      <c r="BI103" s="399">
        <v>89.89</v>
      </c>
      <c r="BJ103" s="399">
        <v>446.97</v>
      </c>
      <c r="BK103" s="399">
        <v>37665.89</v>
      </c>
      <c r="BL103" s="399">
        <v>368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32488.857637250534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93097.896000000008</v>
      </c>
      <c r="CJ103" s="399">
        <v>-56665.406560000003</v>
      </c>
      <c r="CK103" s="399"/>
      <c r="CL103" s="399"/>
      <c r="CM103" s="399"/>
      <c r="CN103" s="399"/>
      <c r="CO103" s="399">
        <v>-56662.861760000007</v>
      </c>
      <c r="CP103" s="399">
        <v>0</v>
      </c>
      <c r="CQ103" s="399">
        <v>30</v>
      </c>
      <c r="CR103" s="399">
        <v>-2442.4322242887138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-1776.6963863844794</v>
      </c>
      <c r="DA103" s="399">
        <v>0</v>
      </c>
      <c r="DB103" s="399">
        <v>0</v>
      </c>
      <c r="DC103" s="399">
        <v>0</v>
      </c>
      <c r="DD103" s="399">
        <v>0</v>
      </c>
      <c r="DE103" s="399">
        <v>0</v>
      </c>
      <c r="DF103" s="399">
        <v>0</v>
      </c>
      <c r="DG103" s="399">
        <v>0</v>
      </c>
      <c r="DH103" s="399">
        <v>0</v>
      </c>
      <c r="DI103" s="399">
        <v>-571.00695033398551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-76.495135799487343</v>
      </c>
      <c r="DP103" s="399">
        <v>-18.233751770765593</v>
      </c>
      <c r="DQ103" s="399">
        <v>0</v>
      </c>
      <c r="DR103" s="399">
        <v>0</v>
      </c>
      <c r="DS103" s="399"/>
      <c r="DT103" s="399"/>
      <c r="DU103" s="399"/>
      <c r="DV103" s="399">
        <v>86965.258490087828</v>
      </c>
      <c r="DW103" s="399">
        <v>0</v>
      </c>
      <c r="DX103" s="399">
        <v>0</v>
      </c>
      <c r="DY103" s="399">
        <v>-56662.861760000014</v>
      </c>
      <c r="DZ103" s="399">
        <v>0</v>
      </c>
      <c r="EA103" s="399">
        <v>0</v>
      </c>
      <c r="EB103" s="399">
        <v>0</v>
      </c>
      <c r="EC103" s="399">
        <v>-54220.831225580863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221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6" customFormat="1">
      <c r="A104" s="399">
        <v>103</v>
      </c>
      <c r="B104" s="399" t="s">
        <v>2330</v>
      </c>
      <c r="C104" s="399" t="s">
        <v>2328</v>
      </c>
      <c r="D104" s="399" t="s">
        <v>1824</v>
      </c>
      <c r="E104" s="399" t="s">
        <v>918</v>
      </c>
      <c r="F104" s="399" t="s">
        <v>1239</v>
      </c>
      <c r="G104" s="399" t="s">
        <v>1239</v>
      </c>
      <c r="H104" s="399" t="s">
        <v>1239</v>
      </c>
      <c r="I104" s="399" t="s">
        <v>1239</v>
      </c>
      <c r="J104" s="399" t="s">
        <v>2326</v>
      </c>
      <c r="K104" s="786">
        <v>44501</v>
      </c>
      <c r="L104" s="399">
        <v>0</v>
      </c>
      <c r="M104" s="399">
        <v>0</v>
      </c>
      <c r="N104" s="399">
        <v>4.8929999999999998</v>
      </c>
      <c r="O104" s="399">
        <v>4.8929999999999998</v>
      </c>
      <c r="P104" s="399">
        <v>4.8929999999999998</v>
      </c>
      <c r="Q104" s="399">
        <v>4.8929999999999998</v>
      </c>
      <c r="R104" s="399"/>
      <c r="S104" s="399">
        <v>825.6</v>
      </c>
      <c r="T104" s="399">
        <v>185.74</v>
      </c>
      <c r="U104" s="399"/>
      <c r="V104" s="399">
        <v>4948.4866199999997</v>
      </c>
      <c r="W104" s="399">
        <v>4948.4866199999997</v>
      </c>
      <c r="X104" s="399">
        <v>3076.2291</v>
      </c>
      <c r="Y104" s="399">
        <v>0</v>
      </c>
      <c r="Z104" s="399">
        <v>305.05489766912319</v>
      </c>
      <c r="AA104" s="399">
        <v>0</v>
      </c>
      <c r="AB104" s="399">
        <v>0</v>
      </c>
      <c r="AC104" s="399">
        <v>0</v>
      </c>
      <c r="AD104" s="399">
        <v>637.71303868694542</v>
      </c>
      <c r="AE104" s="399">
        <v>2873.5110463790802</v>
      </c>
      <c r="AF104" s="399">
        <v>908.84680088291907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47.145005301147783</v>
      </c>
      <c r="AM104" s="399"/>
      <c r="AN104" s="399">
        <v>11.600653935071261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164.65189187974855</v>
      </c>
      <c r="BH104" s="399">
        <v>0</v>
      </c>
      <c r="BI104" s="399">
        <v>2.83</v>
      </c>
      <c r="BJ104" s="399">
        <v>14.07</v>
      </c>
      <c r="BK104" s="399">
        <v>2666.38</v>
      </c>
      <c r="BL104" s="399">
        <v>10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1073.4986927626676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3074.3429999999998</v>
      </c>
      <c r="CJ104" s="399">
        <v>-1874.1736200000005</v>
      </c>
      <c r="CK104" s="399"/>
      <c r="CL104" s="399"/>
      <c r="CM104" s="399"/>
      <c r="CN104" s="399"/>
      <c r="CO104" s="399">
        <v>-1872.2575200000001</v>
      </c>
      <c r="CP104" s="399">
        <v>0</v>
      </c>
      <c r="CQ104" s="399">
        <v>30</v>
      </c>
      <c r="CR104" s="399">
        <v>-80.702985288381342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-58.705703645088306</v>
      </c>
      <c r="DA104" s="399">
        <v>0</v>
      </c>
      <c r="DB104" s="399">
        <v>0</v>
      </c>
      <c r="DC104" s="399">
        <v>0</v>
      </c>
      <c r="DD104" s="399">
        <v>0</v>
      </c>
      <c r="DE104" s="399">
        <v>0</v>
      </c>
      <c r="DF104" s="399">
        <v>0</v>
      </c>
      <c r="DG104" s="399">
        <v>0</v>
      </c>
      <c r="DH104" s="399">
        <v>0</v>
      </c>
      <c r="DI104" s="399">
        <v>-18.867244320684108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-2.5275566534324483</v>
      </c>
      <c r="DP104" s="399">
        <v>-0.60248066917665533</v>
      </c>
      <c r="DQ104" s="399">
        <v>0</v>
      </c>
      <c r="DR104" s="399">
        <v>0</v>
      </c>
      <c r="DS104" s="399"/>
      <c r="DT104" s="399"/>
      <c r="DU104" s="399"/>
      <c r="DV104" s="399">
        <v>2873.5110463790802</v>
      </c>
      <c r="DW104" s="399">
        <v>0</v>
      </c>
      <c r="DX104" s="399">
        <v>0</v>
      </c>
      <c r="DY104" s="399">
        <v>-1872.2575200000001</v>
      </c>
      <c r="DZ104" s="399">
        <v>0</v>
      </c>
      <c r="EA104" s="399">
        <v>0</v>
      </c>
      <c r="EB104" s="399">
        <v>0</v>
      </c>
      <c r="EC104" s="399">
        <v>-1791.56780737127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221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6" customFormat="1">
      <c r="A105" s="399">
        <v>104</v>
      </c>
      <c r="B105" s="399" t="s">
        <v>956</v>
      </c>
      <c r="C105" s="399" t="s">
        <v>2577</v>
      </c>
      <c r="D105" s="399" t="s">
        <v>533</v>
      </c>
      <c r="E105" s="399" t="s">
        <v>918</v>
      </c>
      <c r="F105" s="399" t="s">
        <v>1239</v>
      </c>
      <c r="G105" s="399" t="s">
        <v>1239</v>
      </c>
      <c r="H105" s="399" t="s">
        <v>1239</v>
      </c>
      <c r="I105" s="399" t="s">
        <v>893</v>
      </c>
      <c r="J105" s="399" t="s">
        <v>2326</v>
      </c>
      <c r="K105" s="786">
        <v>44501</v>
      </c>
      <c r="L105" s="399">
        <v>555</v>
      </c>
      <c r="M105" s="399">
        <v>555</v>
      </c>
      <c r="N105" s="399">
        <v>30.646999999999998</v>
      </c>
      <c r="O105" s="399">
        <v>30.646999999999998</v>
      </c>
      <c r="P105" s="399">
        <v>30.646999999999998</v>
      </c>
      <c r="Q105" s="399">
        <v>30.646999999999998</v>
      </c>
      <c r="R105" s="399">
        <v>181.08</v>
      </c>
      <c r="S105" s="399">
        <v>77.900000000000006</v>
      </c>
      <c r="T105" s="399">
        <v>185.74</v>
      </c>
      <c r="U105" s="399">
        <v>100499.40000000001</v>
      </c>
      <c r="V105" s="399">
        <v>8079.7750799999994</v>
      </c>
      <c r="W105" s="399">
        <v>108579.17508</v>
      </c>
      <c r="X105" s="399">
        <v>57587.738839999998</v>
      </c>
      <c r="Y105" s="399">
        <v>0</v>
      </c>
      <c r="Z105" s="399">
        <v>1662.3023054390103</v>
      </c>
      <c r="AA105" s="399">
        <v>0</v>
      </c>
      <c r="AB105" s="399">
        <v>0</v>
      </c>
      <c r="AC105" s="399">
        <v>0</v>
      </c>
      <c r="AD105" s="399">
        <v>22182.471957302732</v>
      </c>
      <c r="AE105" s="399">
        <v>78315.71691169063</v>
      </c>
      <c r="AF105" s="399">
        <v>5692.5051924501986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295.28979715190604</v>
      </c>
      <c r="AM105" s="399"/>
      <c r="AN105" s="399">
        <v>31.746657987989199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398.17115037106612</v>
      </c>
      <c r="BH105" s="399">
        <v>0</v>
      </c>
      <c r="BI105" s="399">
        <v>0</v>
      </c>
      <c r="BJ105" s="399">
        <v>0</v>
      </c>
      <c r="BK105" s="399">
        <v>0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6090.6763428212644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57588.517999999996</v>
      </c>
      <c r="CJ105" s="399">
        <v>-50990.687079999989</v>
      </c>
      <c r="CK105" s="399"/>
      <c r="CL105" s="399"/>
      <c r="CM105" s="399"/>
      <c r="CN105" s="399"/>
      <c r="CO105" s="399">
        <v>-50991.436240000003</v>
      </c>
      <c r="CP105" s="399">
        <v>0</v>
      </c>
      <c r="CQ105" s="399">
        <v>30</v>
      </c>
      <c r="CR105" s="399">
        <v>-2162.3344492327269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-2042.0432794070621</v>
      </c>
      <c r="DA105" s="399">
        <v>0</v>
      </c>
      <c r="DB105" s="399">
        <v>0</v>
      </c>
      <c r="DC105" s="399">
        <v>0</v>
      </c>
      <c r="DD105" s="399">
        <v>0</v>
      </c>
      <c r="DE105" s="399">
        <v>0</v>
      </c>
      <c r="DF105" s="399">
        <v>0</v>
      </c>
      <c r="DG105" s="399">
        <v>0</v>
      </c>
      <c r="DH105" s="399">
        <v>0</v>
      </c>
      <c r="DI105" s="399">
        <v>-102.81121192019646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-15.831193287910196</v>
      </c>
      <c r="DP105" s="399">
        <v>-1.6487646175618806</v>
      </c>
      <c r="DQ105" s="399">
        <v>0</v>
      </c>
      <c r="DR105" s="399">
        <v>0</v>
      </c>
      <c r="DS105" s="399"/>
      <c r="DT105" s="399"/>
      <c r="DU105" s="399">
        <v>78315.71691169063</v>
      </c>
      <c r="DV105" s="399">
        <v>0</v>
      </c>
      <c r="DW105" s="399">
        <v>0</v>
      </c>
      <c r="DX105" s="399">
        <v>0</v>
      </c>
      <c r="DY105" s="399">
        <v>-50991.43624000001</v>
      </c>
      <c r="DZ105" s="399">
        <v>0</v>
      </c>
      <c r="EA105" s="399">
        <v>0</v>
      </c>
      <c r="EB105" s="399">
        <v>0</v>
      </c>
      <c r="EC105" s="399">
        <v>-48828.041711198297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221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6" customFormat="1">
      <c r="A106" s="399">
        <v>105</v>
      </c>
      <c r="B106" s="399" t="s">
        <v>956</v>
      </c>
      <c r="C106" s="399" t="s">
        <v>2577</v>
      </c>
      <c r="D106" s="399" t="s">
        <v>533</v>
      </c>
      <c r="E106" s="399" t="s">
        <v>918</v>
      </c>
      <c r="F106" s="399" t="s">
        <v>1239</v>
      </c>
      <c r="G106" s="399" t="s">
        <v>1239</v>
      </c>
      <c r="H106" s="399" t="s">
        <v>1239</v>
      </c>
      <c r="I106" s="399" t="s">
        <v>2323</v>
      </c>
      <c r="J106" s="399" t="s">
        <v>2326</v>
      </c>
      <c r="K106" s="786">
        <v>44501</v>
      </c>
      <c r="L106" s="399">
        <v>555</v>
      </c>
      <c r="M106" s="399">
        <v>555</v>
      </c>
      <c r="N106" s="399">
        <v>329.20600000000002</v>
      </c>
      <c r="O106" s="399">
        <v>329.20600000000002</v>
      </c>
      <c r="P106" s="399">
        <v>329.20600000000002</v>
      </c>
      <c r="Q106" s="399">
        <v>329.20600000000002</v>
      </c>
      <c r="R106" s="399">
        <v>55.59</v>
      </c>
      <c r="S106" s="399">
        <v>77.900000000000006</v>
      </c>
      <c r="T106" s="399">
        <v>185.74</v>
      </c>
      <c r="U106" s="399">
        <v>30852.45</v>
      </c>
      <c r="V106" s="399">
        <v>86791.869839999999</v>
      </c>
      <c r="W106" s="399">
        <v>117644.31984000001</v>
      </c>
      <c r="X106" s="399">
        <v>101879.43232000001</v>
      </c>
      <c r="Y106" s="399">
        <v>0</v>
      </c>
      <c r="Z106" s="399">
        <v>17856.23039006607</v>
      </c>
      <c r="AA106" s="399">
        <v>0</v>
      </c>
      <c r="AB106" s="399">
        <v>0</v>
      </c>
      <c r="AC106" s="399">
        <v>0</v>
      </c>
      <c r="AD106" s="399">
        <v>8965.8423094155678</v>
      </c>
      <c r="AE106" s="399">
        <v>21884.051340792852</v>
      </c>
      <c r="AF106" s="399">
        <v>61148.134055070972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3171.9637472245367</v>
      </c>
      <c r="AM106" s="399"/>
      <c r="AN106" s="399">
        <v>341.01837992606039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4277.1015671699415</v>
      </c>
      <c r="BH106" s="399">
        <v>0</v>
      </c>
      <c r="BI106" s="399">
        <v>0</v>
      </c>
      <c r="BJ106" s="399">
        <v>0</v>
      </c>
      <c r="BK106" s="399">
        <v>0</v>
      </c>
      <c r="BL106" s="399">
        <v>0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65425.235622240914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101880.4712</v>
      </c>
      <c r="CJ106" s="399">
        <v>-15763.878639999995</v>
      </c>
      <c r="CK106" s="399"/>
      <c r="CL106" s="399"/>
      <c r="CM106" s="399"/>
      <c r="CN106" s="399"/>
      <c r="CO106" s="399">
        <v>-15764.887520000002</v>
      </c>
      <c r="CP106" s="399">
        <v>0</v>
      </c>
      <c r="CQ106" s="399">
        <v>30</v>
      </c>
      <c r="CR106" s="399">
        <v>-2117.5168486892508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-825.36509309722805</v>
      </c>
      <c r="DA106" s="399">
        <v>0</v>
      </c>
      <c r="DB106" s="399">
        <v>0</v>
      </c>
      <c r="DC106" s="399">
        <v>0</v>
      </c>
      <c r="DD106" s="399">
        <v>0</v>
      </c>
      <c r="DE106" s="399">
        <v>0</v>
      </c>
      <c r="DF106" s="399">
        <v>0</v>
      </c>
      <c r="DG106" s="399">
        <v>0</v>
      </c>
      <c r="DH106" s="399">
        <v>0</v>
      </c>
      <c r="DI106" s="399">
        <v>-1104.3843714360373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-170.05657380950015</v>
      </c>
      <c r="DP106" s="399">
        <v>-17.71081034649643</v>
      </c>
      <c r="DQ106" s="399">
        <v>0</v>
      </c>
      <c r="DR106" s="399">
        <v>0</v>
      </c>
      <c r="DS106" s="399"/>
      <c r="DT106" s="399"/>
      <c r="DU106" s="399">
        <v>21884.051340792852</v>
      </c>
      <c r="DV106" s="399">
        <v>0</v>
      </c>
      <c r="DW106" s="399">
        <v>0</v>
      </c>
      <c r="DX106" s="399">
        <v>0</v>
      </c>
      <c r="DY106" s="399">
        <v>-15764.887519999997</v>
      </c>
      <c r="DZ106" s="399">
        <v>0</v>
      </c>
      <c r="EA106" s="399">
        <v>0</v>
      </c>
      <c r="EB106" s="399">
        <v>0</v>
      </c>
      <c r="EC106" s="399">
        <v>-13644.200855406156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221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6" customFormat="1">
      <c r="A107" s="399">
        <v>106</v>
      </c>
      <c r="B107" s="399" t="s">
        <v>956</v>
      </c>
      <c r="C107" s="399" t="s">
        <v>2577</v>
      </c>
      <c r="D107" s="399" t="s">
        <v>533</v>
      </c>
      <c r="E107" s="399" t="s">
        <v>918</v>
      </c>
      <c r="F107" s="399" t="s">
        <v>1239</v>
      </c>
      <c r="G107" s="399" t="s">
        <v>1239</v>
      </c>
      <c r="H107" s="399" t="s">
        <v>1239</v>
      </c>
      <c r="I107" s="399" t="s">
        <v>1239</v>
      </c>
      <c r="J107" s="399" t="s">
        <v>2326</v>
      </c>
      <c r="K107" s="786">
        <v>44501</v>
      </c>
      <c r="L107" s="399">
        <v>0</v>
      </c>
      <c r="M107" s="399">
        <v>0</v>
      </c>
      <c r="N107" s="399">
        <v>0</v>
      </c>
      <c r="O107" s="399">
        <v>0</v>
      </c>
      <c r="P107" s="399">
        <v>0</v>
      </c>
      <c r="Q107" s="399">
        <v>0</v>
      </c>
      <c r="R107" s="399"/>
      <c r="S107" s="399"/>
      <c r="T107" s="399"/>
      <c r="U107" s="399"/>
      <c r="V107" s="399"/>
      <c r="W107" s="399"/>
      <c r="X107" s="399"/>
      <c r="Y107" s="399"/>
      <c r="Z107" s="399"/>
      <c r="AA107" s="399">
        <v>0</v>
      </c>
      <c r="AB107" s="399"/>
      <c r="AC107" s="399"/>
      <c r="AD107" s="399"/>
      <c r="AE107" s="399"/>
      <c r="AF107" s="399"/>
      <c r="AG107" s="399"/>
      <c r="AH107" s="399"/>
      <c r="AI107" s="399"/>
      <c r="AJ107" s="399"/>
      <c r="AK107" s="399"/>
      <c r="AL107" s="399"/>
      <c r="AM107" s="399"/>
      <c r="AN107" s="399"/>
      <c r="AO107" s="399"/>
      <c r="AP107" s="399"/>
      <c r="AQ107" s="399"/>
      <c r="AR107" s="399"/>
      <c r="AS107" s="399"/>
      <c r="AT107" s="399"/>
      <c r="AU107" s="399"/>
      <c r="AV107" s="399"/>
      <c r="AW107" s="399"/>
      <c r="AX107" s="399"/>
      <c r="AY107" s="399"/>
      <c r="AZ107" s="399">
        <v>0</v>
      </c>
      <c r="BA107" s="399"/>
      <c r="BB107" s="399"/>
      <c r="BC107" s="399"/>
      <c r="BD107" s="399"/>
      <c r="BE107" s="399"/>
      <c r="BF107" s="399"/>
      <c r="BG107" s="399"/>
      <c r="BH107" s="399"/>
      <c r="BI107" s="399">
        <v>174.6</v>
      </c>
      <c r="BJ107" s="399">
        <v>851.18</v>
      </c>
      <c r="BK107" s="399">
        <v>72750.7</v>
      </c>
      <c r="BL107" s="399">
        <v>1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/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/>
      <c r="CJ107" s="399">
        <v>-0.03</v>
      </c>
      <c r="CK107" s="399"/>
      <c r="CL107" s="399"/>
      <c r="CM107" s="399"/>
      <c r="CN107" s="399"/>
      <c r="CO107" s="399">
        <v>0</v>
      </c>
      <c r="CP107" s="399">
        <v>0</v>
      </c>
      <c r="CQ107" s="399">
        <v>30</v>
      </c>
      <c r="CR107" s="399"/>
      <c r="CS107" s="399"/>
      <c r="CT107" s="399"/>
      <c r="CU107" s="399"/>
      <c r="CV107" s="399"/>
      <c r="CW107" s="399"/>
      <c r="CX107" s="399"/>
      <c r="CY107" s="399"/>
      <c r="CZ107" s="399"/>
      <c r="DA107" s="399"/>
      <c r="DB107" s="399"/>
      <c r="DC107" s="399"/>
      <c r="DD107" s="399"/>
      <c r="DE107" s="399"/>
      <c r="DF107" s="399"/>
      <c r="DG107" s="399"/>
      <c r="DH107" s="399"/>
      <c r="DI107" s="399"/>
      <c r="DJ107" s="399"/>
      <c r="DK107" s="399">
        <v>0</v>
      </c>
      <c r="DL107" s="399"/>
      <c r="DM107" s="399"/>
      <c r="DN107" s="399"/>
      <c r="DO107" s="399"/>
      <c r="DP107" s="399"/>
      <c r="DQ107" s="399"/>
      <c r="DR107" s="399"/>
      <c r="DS107" s="399"/>
      <c r="DT107" s="399"/>
      <c r="DU107" s="399"/>
      <c r="DV107" s="399"/>
      <c r="DW107" s="399"/>
      <c r="DX107" s="399"/>
      <c r="DY107" s="399"/>
      <c r="DZ107" s="399"/>
      <c r="EA107" s="399"/>
      <c r="EB107" s="399"/>
      <c r="EC107" s="399"/>
      <c r="ED107" s="399"/>
      <c r="EE107" s="399"/>
      <c r="EF107" s="399"/>
      <c r="EG107" s="399"/>
      <c r="EH107" s="399"/>
      <c r="EI107" s="399"/>
      <c r="EJ107" s="399"/>
      <c r="EK107" s="399"/>
      <c r="EL107" s="399"/>
      <c r="EM107" s="399"/>
      <c r="EN107" s="399"/>
      <c r="EO107" s="399"/>
      <c r="EP107" s="399"/>
      <c r="EQ107" s="399"/>
      <c r="ER107" s="399"/>
      <c r="ES107" s="399"/>
      <c r="ET107" s="399"/>
      <c r="EU107" s="399"/>
      <c r="EV107" s="399">
        <v>221</v>
      </c>
      <c r="EW107" s="399"/>
      <c r="EX107" s="399"/>
      <c r="EY107" s="399"/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6" customFormat="1">
      <c r="A108" s="399">
        <v>107</v>
      </c>
      <c r="B108" s="399" t="s">
        <v>956</v>
      </c>
      <c r="C108" s="399" t="s">
        <v>2325</v>
      </c>
      <c r="D108" s="399" t="s">
        <v>533</v>
      </c>
      <c r="E108" s="399" t="s">
        <v>918</v>
      </c>
      <c r="F108" s="399" t="s">
        <v>1239</v>
      </c>
      <c r="G108" s="399" t="s">
        <v>1239</v>
      </c>
      <c r="H108" s="399" t="s">
        <v>1239</v>
      </c>
      <c r="I108" s="399" t="s">
        <v>893</v>
      </c>
      <c r="J108" s="399" t="s">
        <v>2326</v>
      </c>
      <c r="K108" s="786">
        <v>44501</v>
      </c>
      <c r="L108" s="399">
        <v>0</v>
      </c>
      <c r="M108" s="399">
        <v>0</v>
      </c>
      <c r="N108" s="399">
        <v>12.542999999999999</v>
      </c>
      <c r="O108" s="399">
        <v>12.542999999999999</v>
      </c>
      <c r="P108" s="399">
        <v>12.542999999999999</v>
      </c>
      <c r="Q108" s="399">
        <v>12.542999999999999</v>
      </c>
      <c r="R108" s="399"/>
      <c r="S108" s="399">
        <v>4433.21</v>
      </c>
      <c r="T108" s="399">
        <v>185.74</v>
      </c>
      <c r="U108" s="399"/>
      <c r="V108" s="399">
        <v>57935.489849999998</v>
      </c>
      <c r="W108" s="399">
        <v>57935.489849999998</v>
      </c>
      <c r="X108" s="399">
        <v>30236.406660000001</v>
      </c>
      <c r="Y108" s="399">
        <v>0</v>
      </c>
      <c r="Z108" s="399">
        <v>680.33601387155363</v>
      </c>
      <c r="AA108" s="399">
        <v>0</v>
      </c>
      <c r="AB108" s="399">
        <v>0</v>
      </c>
      <c r="AC108" s="399">
        <v>0</v>
      </c>
      <c r="AD108" s="399">
        <v>12061.636974520234</v>
      </c>
      <c r="AE108" s="399">
        <v>42566.972848397694</v>
      </c>
      <c r="AF108" s="399">
        <v>2329.7906036121917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120.85424105708086</v>
      </c>
      <c r="AM108" s="399"/>
      <c r="AN108" s="399">
        <v>12.993060695772783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162.96083594166745</v>
      </c>
      <c r="BH108" s="399">
        <v>0</v>
      </c>
      <c r="BI108" s="399">
        <v>0</v>
      </c>
      <c r="BJ108" s="399">
        <v>0</v>
      </c>
      <c r="BK108" s="399">
        <v>0</v>
      </c>
      <c r="BL108" s="399">
        <v>0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2492.7514395538592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30229.174800000001</v>
      </c>
      <c r="CJ108" s="399">
        <v>-27706.345050000004</v>
      </c>
      <c r="CK108" s="399"/>
      <c r="CL108" s="399"/>
      <c r="CM108" s="399"/>
      <c r="CN108" s="399"/>
      <c r="CO108" s="399">
        <v>-27699.083189999998</v>
      </c>
      <c r="CP108" s="399">
        <v>0</v>
      </c>
      <c r="CQ108" s="399">
        <v>30</v>
      </c>
      <c r="CR108" s="399">
        <v>-1159.5854391652774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-1110.3534705183174</v>
      </c>
      <c r="DA108" s="399">
        <v>0</v>
      </c>
      <c r="DB108" s="399">
        <v>0</v>
      </c>
      <c r="DC108" s="399">
        <v>0</v>
      </c>
      <c r="DD108" s="399">
        <v>0</v>
      </c>
      <c r="DE108" s="399">
        <v>0</v>
      </c>
      <c r="DF108" s="399">
        <v>0</v>
      </c>
      <c r="DG108" s="399">
        <v>0</v>
      </c>
      <c r="DH108" s="399">
        <v>0</v>
      </c>
      <c r="DI108" s="399">
        <v>-42.077887921004503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-6.4792853267940416</v>
      </c>
      <c r="DP108" s="399">
        <v>-0.67479539916072184</v>
      </c>
      <c r="DQ108" s="399">
        <v>0</v>
      </c>
      <c r="DR108" s="399">
        <v>0</v>
      </c>
      <c r="DS108" s="399"/>
      <c r="DT108" s="399"/>
      <c r="DU108" s="399"/>
      <c r="DV108" s="399">
        <v>42566.972848397694</v>
      </c>
      <c r="DW108" s="399">
        <v>0</v>
      </c>
      <c r="DX108" s="399">
        <v>0</v>
      </c>
      <c r="DY108" s="399">
        <v>-27699.083190000001</v>
      </c>
      <c r="DZ108" s="399">
        <v>0</v>
      </c>
      <c r="EA108" s="399">
        <v>0</v>
      </c>
      <c r="EB108" s="399">
        <v>0</v>
      </c>
      <c r="EC108" s="399">
        <v>-26539.524985830001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221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6" customFormat="1">
      <c r="A109" s="399">
        <v>108</v>
      </c>
      <c r="B109" s="399" t="s">
        <v>956</v>
      </c>
      <c r="C109" s="399" t="s">
        <v>2325</v>
      </c>
      <c r="D109" s="399" t="s">
        <v>533</v>
      </c>
      <c r="E109" s="399" t="s">
        <v>918</v>
      </c>
      <c r="F109" s="399" t="s">
        <v>1239</v>
      </c>
      <c r="G109" s="399" t="s">
        <v>1239</v>
      </c>
      <c r="H109" s="399" t="s">
        <v>1239</v>
      </c>
      <c r="I109" s="399" t="s">
        <v>2323</v>
      </c>
      <c r="J109" s="399" t="s">
        <v>2326</v>
      </c>
      <c r="K109" s="786">
        <v>44501</v>
      </c>
      <c r="L109" s="399">
        <v>0</v>
      </c>
      <c r="M109" s="399">
        <v>0</v>
      </c>
      <c r="N109" s="399">
        <v>341.13799999999998</v>
      </c>
      <c r="O109" s="399">
        <v>341.13799999999998</v>
      </c>
      <c r="P109" s="399">
        <v>341.13799999999998</v>
      </c>
      <c r="Q109" s="399">
        <v>341.13799999999998</v>
      </c>
      <c r="R109" s="399"/>
      <c r="S109" s="399">
        <v>77.900000000000006</v>
      </c>
      <c r="T109" s="399">
        <v>185.74</v>
      </c>
      <c r="U109" s="399"/>
      <c r="V109" s="399">
        <v>89937.622319999995</v>
      </c>
      <c r="W109" s="399">
        <v>89937.622319999995</v>
      </c>
      <c r="X109" s="399">
        <v>88600.361359999995</v>
      </c>
      <c r="Y109" s="399">
        <v>0</v>
      </c>
      <c r="Z109" s="399">
        <v>18503.425584000164</v>
      </c>
      <c r="AA109" s="399">
        <v>0</v>
      </c>
      <c r="AB109" s="399">
        <v>0</v>
      </c>
      <c r="AC109" s="399">
        <v>0</v>
      </c>
      <c r="AD109" s="399">
        <v>0</v>
      </c>
      <c r="AE109" s="399">
        <v>0</v>
      </c>
      <c r="AF109" s="399">
        <v>63364.434898752756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3286.930884615359</v>
      </c>
      <c r="AM109" s="399"/>
      <c r="AN109" s="399">
        <v>353.37851707203509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4432.1241849213548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67796.559083674103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88600.880799999999</v>
      </c>
      <c r="CJ109" s="399">
        <v>-1336.7715199999948</v>
      </c>
      <c r="CK109" s="399"/>
      <c r="CL109" s="399"/>
      <c r="CM109" s="399"/>
      <c r="CN109" s="399"/>
      <c r="CO109" s="399">
        <v>-1337.2609600000005</v>
      </c>
      <c r="CP109" s="399">
        <v>0</v>
      </c>
      <c r="CQ109" s="399">
        <v>30</v>
      </c>
      <c r="CR109" s="399">
        <v>-1338.9855154497636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0</v>
      </c>
      <c r="DA109" s="399">
        <v>0</v>
      </c>
      <c r="DB109" s="399">
        <v>0</v>
      </c>
      <c r="DC109" s="399">
        <v>0</v>
      </c>
      <c r="DD109" s="399">
        <v>0</v>
      </c>
      <c r="DE109" s="399">
        <v>0</v>
      </c>
      <c r="DF109" s="399">
        <v>0</v>
      </c>
      <c r="DG109" s="399">
        <v>0</v>
      </c>
      <c r="DH109" s="399">
        <v>0</v>
      </c>
      <c r="DI109" s="399">
        <v>-1144.4125432189758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-176.22023740826444</v>
      </c>
      <c r="DP109" s="399">
        <v>-18.352734822521825</v>
      </c>
      <c r="DQ109" s="399">
        <v>0</v>
      </c>
      <c r="DR109" s="399">
        <v>0</v>
      </c>
      <c r="DS109" s="399"/>
      <c r="DT109" s="399"/>
      <c r="DU109" s="399"/>
      <c r="DV109" s="399">
        <v>0</v>
      </c>
      <c r="DW109" s="399">
        <v>0</v>
      </c>
      <c r="DX109" s="399">
        <v>0</v>
      </c>
      <c r="DY109" s="399">
        <v>-1337.2609599999996</v>
      </c>
      <c r="DZ109" s="399">
        <v>0</v>
      </c>
      <c r="EA109" s="399">
        <v>0</v>
      </c>
      <c r="EB109" s="399">
        <v>0</v>
      </c>
      <c r="EC109" s="399">
        <v>0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221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6" customFormat="1">
      <c r="A110" s="399">
        <v>109</v>
      </c>
      <c r="B110" s="399" t="s">
        <v>956</v>
      </c>
      <c r="C110" s="399" t="s">
        <v>2325</v>
      </c>
      <c r="D110" s="399" t="s">
        <v>533</v>
      </c>
      <c r="E110" s="399" t="s">
        <v>918</v>
      </c>
      <c r="F110" s="399" t="s">
        <v>1239</v>
      </c>
      <c r="G110" s="399" t="s">
        <v>1239</v>
      </c>
      <c r="H110" s="399" t="s">
        <v>1239</v>
      </c>
      <c r="I110" s="399" t="s">
        <v>1239</v>
      </c>
      <c r="J110" s="399" t="s">
        <v>2326</v>
      </c>
      <c r="K110" s="786">
        <v>44501</v>
      </c>
      <c r="L110" s="399">
        <v>1131</v>
      </c>
      <c r="M110" s="399">
        <v>1131</v>
      </c>
      <c r="N110" s="399">
        <v>0</v>
      </c>
      <c r="O110" s="399">
        <v>0</v>
      </c>
      <c r="P110" s="399">
        <v>0</v>
      </c>
      <c r="Q110" s="399">
        <v>0</v>
      </c>
      <c r="R110" s="399">
        <v>55.59</v>
      </c>
      <c r="S110" s="399"/>
      <c r="T110" s="399"/>
      <c r="U110" s="399">
        <v>62872.29</v>
      </c>
      <c r="V110" s="399"/>
      <c r="W110" s="399">
        <v>62872.29</v>
      </c>
      <c r="X110" s="399">
        <v>33375.810000000005</v>
      </c>
      <c r="Y110" s="399">
        <v>0</v>
      </c>
      <c r="Z110" s="399">
        <v>0</v>
      </c>
      <c r="AA110" s="399">
        <v>0</v>
      </c>
      <c r="AB110" s="399">
        <v>0</v>
      </c>
      <c r="AC110" s="399">
        <v>0</v>
      </c>
      <c r="AD110" s="399">
        <v>18270.932706214429</v>
      </c>
      <c r="AE110" s="399">
        <v>44596.147867453546</v>
      </c>
      <c r="AF110" s="399"/>
      <c r="AG110" s="399"/>
      <c r="AH110" s="399"/>
      <c r="AI110" s="399">
        <v>0</v>
      </c>
      <c r="AJ110" s="399">
        <v>0</v>
      </c>
      <c r="AK110" s="399">
        <v>0</v>
      </c>
      <c r="AL110" s="399">
        <v>0</v>
      </c>
      <c r="AM110" s="399"/>
      <c r="AN110" s="399">
        <v>0</v>
      </c>
      <c r="AO110" s="399">
        <v>0</v>
      </c>
      <c r="AP110" s="399">
        <v>0</v>
      </c>
      <c r="AQ110" s="399">
        <v>0</v>
      </c>
      <c r="AR110" s="399">
        <v>0</v>
      </c>
      <c r="AS110" s="399"/>
      <c r="AT110" s="399"/>
      <c r="AU110" s="399">
        <v>0</v>
      </c>
      <c r="AV110" s="399">
        <v>0</v>
      </c>
      <c r="AW110" s="399">
        <v>0</v>
      </c>
      <c r="AX110" s="399"/>
      <c r="AY110" s="399"/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/>
      <c r="BG110" s="399">
        <v>0</v>
      </c>
      <c r="BH110" s="399">
        <v>0</v>
      </c>
      <c r="BI110" s="399">
        <v>162.69</v>
      </c>
      <c r="BJ110" s="399">
        <v>793.23</v>
      </c>
      <c r="BK110" s="399">
        <v>67045.899999999994</v>
      </c>
      <c r="BL110" s="399">
        <v>5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0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33375.810000000005</v>
      </c>
      <c r="CJ110" s="399">
        <v>-29496.510000000002</v>
      </c>
      <c r="CK110" s="399"/>
      <c r="CL110" s="399"/>
      <c r="CM110" s="399"/>
      <c r="CN110" s="399"/>
      <c r="CO110" s="399">
        <v>-29496.480000000003</v>
      </c>
      <c r="CP110" s="399">
        <v>0</v>
      </c>
      <c r="CQ110" s="399">
        <v>30</v>
      </c>
      <c r="CR110" s="399">
        <v>-1681.9602167440826</v>
      </c>
      <c r="CS110" s="399">
        <v>0</v>
      </c>
      <c r="CT110" s="399">
        <v>0</v>
      </c>
      <c r="CU110" s="399">
        <v>0</v>
      </c>
      <c r="CV110" s="399">
        <v>0</v>
      </c>
      <c r="CW110" s="399"/>
      <c r="CX110" s="399"/>
      <c r="CY110" s="399"/>
      <c r="CZ110" s="399">
        <v>-1681.9602167440826</v>
      </c>
      <c r="DA110" s="399">
        <v>0</v>
      </c>
      <c r="DB110" s="399">
        <v>0</v>
      </c>
      <c r="DC110" s="399"/>
      <c r="DD110" s="399"/>
      <c r="DE110" s="399">
        <v>0</v>
      </c>
      <c r="DF110" s="399">
        <v>0</v>
      </c>
      <c r="DG110" s="399">
        <v>0</v>
      </c>
      <c r="DH110" s="399">
        <v>0</v>
      </c>
      <c r="DI110" s="399">
        <v>0</v>
      </c>
      <c r="DJ110" s="399"/>
      <c r="DK110" s="399">
        <v>0</v>
      </c>
      <c r="DL110" s="399">
        <v>0</v>
      </c>
      <c r="DM110" s="399"/>
      <c r="DN110" s="399">
        <v>0</v>
      </c>
      <c r="DO110" s="399">
        <v>0</v>
      </c>
      <c r="DP110" s="399">
        <v>0</v>
      </c>
      <c r="DQ110" s="399">
        <v>0</v>
      </c>
      <c r="DR110" s="399">
        <v>0</v>
      </c>
      <c r="DS110" s="399"/>
      <c r="DT110" s="399"/>
      <c r="DU110" s="399">
        <v>44596.147867453546</v>
      </c>
      <c r="DV110" s="399"/>
      <c r="DW110" s="399">
        <v>0</v>
      </c>
      <c r="DX110" s="399">
        <v>0</v>
      </c>
      <c r="DY110" s="399">
        <v>-29496.479999999996</v>
      </c>
      <c r="DZ110" s="399"/>
      <c r="EA110" s="399">
        <v>0</v>
      </c>
      <c r="EB110" s="399"/>
      <c r="EC110" s="399">
        <v>-27804.668770206063</v>
      </c>
      <c r="ED110" s="399"/>
      <c r="EE110" s="399">
        <v>0</v>
      </c>
      <c r="EF110" s="399">
        <v>0</v>
      </c>
      <c r="EG110" s="399"/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/>
      <c r="EN110" s="399"/>
      <c r="EO110" s="399">
        <v>0</v>
      </c>
      <c r="EP110" s="399">
        <v>0</v>
      </c>
      <c r="EQ110" s="399"/>
      <c r="ER110" s="399">
        <v>0</v>
      </c>
      <c r="ES110" s="399"/>
      <c r="ET110" s="399">
        <v>0</v>
      </c>
      <c r="EU110" s="399"/>
      <c r="EV110" s="399">
        <v>221</v>
      </c>
      <c r="EW110" s="399"/>
      <c r="EX110" s="399"/>
      <c r="EY110" s="399"/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6" customFormat="1">
      <c r="A111" s="399">
        <v>110</v>
      </c>
      <c r="B111" s="399" t="s">
        <v>956</v>
      </c>
      <c r="C111" s="399" t="s">
        <v>2335</v>
      </c>
      <c r="D111" s="399" t="s">
        <v>1824</v>
      </c>
      <c r="E111" s="399" t="s">
        <v>918</v>
      </c>
      <c r="F111" s="399" t="s">
        <v>1239</v>
      </c>
      <c r="G111" s="399" t="s">
        <v>1239</v>
      </c>
      <c r="H111" s="399" t="s">
        <v>1239</v>
      </c>
      <c r="I111" s="399" t="s">
        <v>893</v>
      </c>
      <c r="J111" s="399" t="s">
        <v>2326</v>
      </c>
      <c r="K111" s="786">
        <v>44501</v>
      </c>
      <c r="L111" s="399">
        <v>0</v>
      </c>
      <c r="M111" s="399">
        <v>0</v>
      </c>
      <c r="N111" s="399">
        <v>0.10299999999999999</v>
      </c>
      <c r="O111" s="399">
        <v>0.10299999999999999</v>
      </c>
      <c r="P111" s="399">
        <v>0.10299999999999999</v>
      </c>
      <c r="Q111" s="399">
        <v>0.10299999999999999</v>
      </c>
      <c r="R111" s="399"/>
      <c r="S111" s="399">
        <v>2583.84</v>
      </c>
      <c r="T111" s="399">
        <v>185.74</v>
      </c>
      <c r="U111" s="399"/>
      <c r="V111" s="399">
        <v>285.26673999999997</v>
      </c>
      <c r="W111" s="399">
        <v>285.26673999999997</v>
      </c>
      <c r="X111" s="399">
        <v>150.42840999999999</v>
      </c>
      <c r="Y111" s="399">
        <v>0</v>
      </c>
      <c r="Z111" s="399">
        <v>6.4215521070753496</v>
      </c>
      <c r="AA111" s="399">
        <v>0</v>
      </c>
      <c r="AB111" s="399">
        <v>0</v>
      </c>
      <c r="AC111" s="399">
        <v>0</v>
      </c>
      <c r="AD111" s="399">
        <v>46.324978552201742</v>
      </c>
      <c r="AE111" s="399">
        <v>208.68623156334931</v>
      </c>
      <c r="AF111" s="399">
        <v>19.1316616576621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0.99242500429556957</v>
      </c>
      <c r="AM111" s="399"/>
      <c r="AN111" s="399">
        <v>0.24419933687151849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3.4660014027414876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22.597663060403587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146.04700000000003</v>
      </c>
      <c r="CJ111" s="399">
        <v>-139.24973999999992</v>
      </c>
      <c r="CK111" s="399"/>
      <c r="CL111" s="399"/>
      <c r="CM111" s="399"/>
      <c r="CN111" s="399"/>
      <c r="CO111" s="399">
        <v>-134.83833000000001</v>
      </c>
      <c r="CP111" s="399">
        <v>0</v>
      </c>
      <c r="CQ111" s="399">
        <v>30</v>
      </c>
      <c r="CR111" s="399">
        <v>-4.7275740561183426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-4.2645207127177187</v>
      </c>
      <c r="DA111" s="399">
        <v>0</v>
      </c>
      <c r="DB111" s="399">
        <v>0</v>
      </c>
      <c r="DC111" s="399">
        <v>0</v>
      </c>
      <c r="DD111" s="399">
        <v>0</v>
      </c>
      <c r="DE111" s="399">
        <v>0</v>
      </c>
      <c r="DF111" s="399">
        <v>0</v>
      </c>
      <c r="DG111" s="399">
        <v>0</v>
      </c>
      <c r="DH111" s="399">
        <v>0</v>
      </c>
      <c r="DI111" s="399">
        <v>-0.39716455447178856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-5.320628148447637E-2</v>
      </c>
      <c r="DP111" s="399">
        <v>-1.2682507444348179E-2</v>
      </c>
      <c r="DQ111" s="399">
        <v>0</v>
      </c>
      <c r="DR111" s="399">
        <v>0</v>
      </c>
      <c r="DS111" s="399"/>
      <c r="DT111" s="399"/>
      <c r="DU111" s="399"/>
      <c r="DV111" s="399">
        <v>208.68623156334931</v>
      </c>
      <c r="DW111" s="399">
        <v>0</v>
      </c>
      <c r="DX111" s="399">
        <v>0</v>
      </c>
      <c r="DY111" s="399">
        <v>-134.83832999999998</v>
      </c>
      <c r="DZ111" s="399">
        <v>0</v>
      </c>
      <c r="EA111" s="399">
        <v>0</v>
      </c>
      <c r="EB111" s="399">
        <v>0</v>
      </c>
      <c r="EC111" s="399">
        <v>-130.11104821804841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221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6" customFormat="1">
      <c r="A112" s="399">
        <v>111</v>
      </c>
      <c r="B112" s="399" t="s">
        <v>956</v>
      </c>
      <c r="C112" s="399" t="s">
        <v>2335</v>
      </c>
      <c r="D112" s="399" t="s">
        <v>1824</v>
      </c>
      <c r="E112" s="399" t="s">
        <v>918</v>
      </c>
      <c r="F112" s="399" t="s">
        <v>1239</v>
      </c>
      <c r="G112" s="399" t="s">
        <v>1239</v>
      </c>
      <c r="H112" s="399" t="s">
        <v>1239</v>
      </c>
      <c r="I112" s="399" t="s">
        <v>2323</v>
      </c>
      <c r="J112" s="399" t="s">
        <v>2326</v>
      </c>
      <c r="K112" s="786">
        <v>44501</v>
      </c>
      <c r="L112" s="399">
        <v>0</v>
      </c>
      <c r="M112" s="399">
        <v>0</v>
      </c>
      <c r="N112" s="399">
        <v>0.91500000000000004</v>
      </c>
      <c r="O112" s="399">
        <v>0.91500000000000004</v>
      </c>
      <c r="P112" s="399">
        <v>0.91500000000000004</v>
      </c>
      <c r="Q112" s="399">
        <v>0.91500000000000004</v>
      </c>
      <c r="R112" s="399"/>
      <c r="S112" s="399">
        <v>603.13</v>
      </c>
      <c r="T112" s="399">
        <v>185.74</v>
      </c>
      <c r="U112" s="399"/>
      <c r="V112" s="399">
        <v>721.81605000000002</v>
      </c>
      <c r="W112" s="399">
        <v>721.81605000000002</v>
      </c>
      <c r="X112" s="399">
        <v>478.96590000000003</v>
      </c>
      <c r="Y112" s="399">
        <v>0</v>
      </c>
      <c r="Z112" s="399">
        <v>57.04582697062083</v>
      </c>
      <c r="AA112" s="399">
        <v>0</v>
      </c>
      <c r="AB112" s="399">
        <v>0</v>
      </c>
      <c r="AC112" s="399">
        <v>0</v>
      </c>
      <c r="AD112" s="399">
        <v>82.270213381827148</v>
      </c>
      <c r="AE112" s="399">
        <v>370.772995346095</v>
      </c>
      <c r="AF112" s="399">
        <v>169.95602346369733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8.8162027080625851</v>
      </c>
      <c r="AM112" s="399"/>
      <c r="AN112" s="399">
        <v>2.1693436236644605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30.790206636004481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200.74623009970182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481.58320000000003</v>
      </c>
      <c r="CJ112" s="399">
        <v>-240.26284999999996</v>
      </c>
      <c r="CK112" s="399"/>
      <c r="CL112" s="399"/>
      <c r="CM112" s="399"/>
      <c r="CN112" s="399"/>
      <c r="CO112" s="399">
        <v>-242.85014999999999</v>
      </c>
      <c r="CP112" s="399">
        <v>0</v>
      </c>
      <c r="CQ112" s="399">
        <v>30</v>
      </c>
      <c r="CR112" s="399">
        <v>-11.687049482650366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-7.5735173543828438</v>
      </c>
      <c r="DA112" s="399">
        <v>0</v>
      </c>
      <c r="DB112" s="399">
        <v>0</v>
      </c>
      <c r="DC112" s="399">
        <v>0</v>
      </c>
      <c r="DD112" s="399">
        <v>0</v>
      </c>
      <c r="DE112" s="399">
        <v>0</v>
      </c>
      <c r="DF112" s="399">
        <v>0</v>
      </c>
      <c r="DG112" s="399">
        <v>0</v>
      </c>
      <c r="DH112" s="399">
        <v>0</v>
      </c>
      <c r="DI112" s="399">
        <v>-3.5282093916668629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-0.47265774328442589</v>
      </c>
      <c r="DP112" s="399">
        <v>-0.11266499331629687</v>
      </c>
      <c r="DQ112" s="399">
        <v>0</v>
      </c>
      <c r="DR112" s="399">
        <v>0</v>
      </c>
      <c r="DS112" s="399"/>
      <c r="DT112" s="399"/>
      <c r="DU112" s="399"/>
      <c r="DV112" s="399">
        <v>370.772995346095</v>
      </c>
      <c r="DW112" s="399">
        <v>0</v>
      </c>
      <c r="DX112" s="399">
        <v>0</v>
      </c>
      <c r="DY112" s="399">
        <v>-242.85014999999999</v>
      </c>
      <c r="DZ112" s="399">
        <v>0</v>
      </c>
      <c r="EA112" s="399">
        <v>0</v>
      </c>
      <c r="EB112" s="399">
        <v>0</v>
      </c>
      <c r="EC112" s="399">
        <v>-231.16840394322577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221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6" customFormat="1">
      <c r="A113" s="399">
        <v>112</v>
      </c>
      <c r="B113" s="399" t="s">
        <v>956</v>
      </c>
      <c r="C113" s="399" t="s">
        <v>2335</v>
      </c>
      <c r="D113" s="399" t="s">
        <v>1824</v>
      </c>
      <c r="E113" s="399" t="s">
        <v>918</v>
      </c>
      <c r="F113" s="399" t="s">
        <v>1239</v>
      </c>
      <c r="G113" s="399" t="s">
        <v>1239</v>
      </c>
      <c r="H113" s="399" t="s">
        <v>1239</v>
      </c>
      <c r="I113" s="399" t="s">
        <v>1239</v>
      </c>
      <c r="J113" s="399" t="s">
        <v>2326</v>
      </c>
      <c r="K113" s="786">
        <v>44501</v>
      </c>
      <c r="L113" s="399">
        <v>0</v>
      </c>
      <c r="M113" s="399">
        <v>0</v>
      </c>
      <c r="N113" s="399">
        <v>0</v>
      </c>
      <c r="O113" s="399">
        <v>0</v>
      </c>
      <c r="P113" s="399">
        <v>0</v>
      </c>
      <c r="Q113" s="399">
        <v>0</v>
      </c>
      <c r="R113" s="399"/>
      <c r="S113" s="399"/>
      <c r="T113" s="399"/>
      <c r="U113" s="399"/>
      <c r="V113" s="399"/>
      <c r="W113" s="399"/>
      <c r="X113" s="399"/>
      <c r="Y113" s="399"/>
      <c r="Z113" s="399"/>
      <c r="AA113" s="399">
        <v>0</v>
      </c>
      <c r="AB113" s="399"/>
      <c r="AC113" s="399"/>
      <c r="AD113" s="399"/>
      <c r="AE113" s="399"/>
      <c r="AF113" s="399"/>
      <c r="AG113" s="399"/>
      <c r="AH113" s="399"/>
      <c r="AI113" s="399"/>
      <c r="AJ113" s="399"/>
      <c r="AK113" s="399"/>
      <c r="AL113" s="399"/>
      <c r="AM113" s="399"/>
      <c r="AN113" s="399"/>
      <c r="AO113" s="399"/>
      <c r="AP113" s="399"/>
      <c r="AQ113" s="399"/>
      <c r="AR113" s="399"/>
      <c r="AS113" s="399"/>
      <c r="AT113" s="399"/>
      <c r="AU113" s="399"/>
      <c r="AV113" s="399"/>
      <c r="AW113" s="399"/>
      <c r="AX113" s="399"/>
      <c r="AY113" s="399"/>
      <c r="AZ113" s="399">
        <v>0</v>
      </c>
      <c r="BA113" s="399"/>
      <c r="BB113" s="399"/>
      <c r="BC113" s="399"/>
      <c r="BD113" s="399"/>
      <c r="BE113" s="399"/>
      <c r="BF113" s="399"/>
      <c r="BG113" s="399"/>
      <c r="BH113" s="399"/>
      <c r="BI113" s="399">
        <v>0.68</v>
      </c>
      <c r="BJ113" s="399">
        <v>3.33</v>
      </c>
      <c r="BK113" s="399">
        <v>284.63</v>
      </c>
      <c r="BL113" s="399">
        <v>1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/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/>
      <c r="CJ113" s="399">
        <v>-0.03</v>
      </c>
      <c r="CK113" s="399"/>
      <c r="CL113" s="399"/>
      <c r="CM113" s="399"/>
      <c r="CN113" s="399"/>
      <c r="CO113" s="399">
        <v>0</v>
      </c>
      <c r="CP113" s="399">
        <v>0</v>
      </c>
      <c r="CQ113" s="399">
        <v>30</v>
      </c>
      <c r="CR113" s="399"/>
      <c r="CS113" s="399"/>
      <c r="CT113" s="399"/>
      <c r="CU113" s="399"/>
      <c r="CV113" s="399"/>
      <c r="CW113" s="399"/>
      <c r="CX113" s="399"/>
      <c r="CY113" s="399"/>
      <c r="CZ113" s="399"/>
      <c r="DA113" s="399"/>
      <c r="DB113" s="399"/>
      <c r="DC113" s="399"/>
      <c r="DD113" s="399"/>
      <c r="DE113" s="399"/>
      <c r="DF113" s="399"/>
      <c r="DG113" s="399"/>
      <c r="DH113" s="399"/>
      <c r="DI113" s="399"/>
      <c r="DJ113" s="399"/>
      <c r="DK113" s="399">
        <v>0</v>
      </c>
      <c r="DL113" s="399"/>
      <c r="DM113" s="399"/>
      <c r="DN113" s="399"/>
      <c r="DO113" s="399"/>
      <c r="DP113" s="399"/>
      <c r="DQ113" s="399"/>
      <c r="DR113" s="399"/>
      <c r="DS113" s="399"/>
      <c r="DT113" s="399"/>
      <c r="DU113" s="399"/>
      <c r="DV113" s="399"/>
      <c r="DW113" s="399"/>
      <c r="DX113" s="399"/>
      <c r="DY113" s="399"/>
      <c r="DZ113" s="399"/>
      <c r="EA113" s="399"/>
      <c r="EB113" s="399"/>
      <c r="EC113" s="399"/>
      <c r="ED113" s="399"/>
      <c r="EE113" s="399"/>
      <c r="EF113" s="399"/>
      <c r="EG113" s="399"/>
      <c r="EH113" s="399"/>
      <c r="EI113" s="399"/>
      <c r="EJ113" s="399"/>
      <c r="EK113" s="399"/>
      <c r="EL113" s="399"/>
      <c r="EM113" s="399"/>
      <c r="EN113" s="399"/>
      <c r="EO113" s="399"/>
      <c r="EP113" s="399"/>
      <c r="EQ113" s="399"/>
      <c r="ER113" s="399"/>
      <c r="ES113" s="399"/>
      <c r="ET113" s="399"/>
      <c r="EU113" s="399"/>
      <c r="EV113" s="399">
        <v>221</v>
      </c>
      <c r="EW113" s="399"/>
      <c r="EX113" s="399"/>
      <c r="EY113" s="399"/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6" customFormat="1">
      <c r="A114" s="399">
        <v>113</v>
      </c>
      <c r="B114" s="399" t="s">
        <v>956</v>
      </c>
      <c r="C114" s="399" t="s">
        <v>2335</v>
      </c>
      <c r="D114" s="399" t="s">
        <v>1824</v>
      </c>
      <c r="E114" s="399" t="s">
        <v>918</v>
      </c>
      <c r="F114" s="399" t="s">
        <v>1239</v>
      </c>
      <c r="G114" s="399" t="s">
        <v>1239</v>
      </c>
      <c r="H114" s="399" t="s">
        <v>1239</v>
      </c>
      <c r="I114" s="399" t="s">
        <v>2336</v>
      </c>
      <c r="J114" s="399" t="s">
        <v>2326</v>
      </c>
      <c r="K114" s="786">
        <v>44501</v>
      </c>
      <c r="L114" s="399">
        <v>0</v>
      </c>
      <c r="M114" s="399">
        <v>0</v>
      </c>
      <c r="N114" s="399">
        <v>6.7000000000000004E-2</v>
      </c>
      <c r="O114" s="399">
        <v>6.7000000000000004E-2</v>
      </c>
      <c r="P114" s="399">
        <v>6.7000000000000004E-2</v>
      </c>
      <c r="Q114" s="399">
        <v>6.7000000000000004E-2</v>
      </c>
      <c r="R114" s="399"/>
      <c r="S114" s="399">
        <v>1593.45</v>
      </c>
      <c r="T114" s="399">
        <v>185.74</v>
      </c>
      <c r="U114" s="399"/>
      <c r="V114" s="399">
        <v>119.20573000000002</v>
      </c>
      <c r="W114" s="399">
        <v>119.20573000000002</v>
      </c>
      <c r="X114" s="399">
        <v>66.459310000000016</v>
      </c>
      <c r="Y114" s="399">
        <v>0</v>
      </c>
      <c r="Z114" s="399">
        <v>4.1771261279033833</v>
      </c>
      <c r="AA114" s="399">
        <v>0</v>
      </c>
      <c r="AB114" s="399">
        <v>0</v>
      </c>
      <c r="AC114" s="399">
        <v>0</v>
      </c>
      <c r="AD114" s="399">
        <v>18.076784905776368</v>
      </c>
      <c r="AE114" s="399">
        <v>81.448403668094571</v>
      </c>
      <c r="AF114" s="399">
        <v>12.444867291877291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0.64555801250294331</v>
      </c>
      <c r="AM114" s="399"/>
      <c r="AN114" s="399">
        <v>0.15884811233390039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2.2545834367347544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14.699450728612046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69.435100000000006</v>
      </c>
      <c r="CJ114" s="399">
        <v>-49.800630000000027</v>
      </c>
      <c r="CK114" s="399"/>
      <c r="CL114" s="399"/>
      <c r="CM114" s="399"/>
      <c r="CN114" s="399"/>
      <c r="CO114" s="399">
        <v>-52.746420000000001</v>
      </c>
      <c r="CP114" s="399">
        <v>0</v>
      </c>
      <c r="CQ114" s="399">
        <v>30</v>
      </c>
      <c r="CR114" s="399">
        <v>-1.9652970838243107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-1.6640876274375067</v>
      </c>
      <c r="DA114" s="399">
        <v>0</v>
      </c>
      <c r="DB114" s="399">
        <v>0</v>
      </c>
      <c r="DC114" s="399">
        <v>0</v>
      </c>
      <c r="DD114" s="399">
        <v>0</v>
      </c>
      <c r="DE114" s="399">
        <v>0</v>
      </c>
      <c r="DF114" s="399">
        <v>0</v>
      </c>
      <c r="DG114" s="399">
        <v>0</v>
      </c>
      <c r="DH114" s="399">
        <v>0</v>
      </c>
      <c r="DI114" s="399">
        <v>-0.2583497587340764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-3.4609911256892278E-2</v>
      </c>
      <c r="DP114" s="399">
        <v>-8.2497863958381212E-3</v>
      </c>
      <c r="DQ114" s="399">
        <v>0</v>
      </c>
      <c r="DR114" s="399">
        <v>0</v>
      </c>
      <c r="DS114" s="399"/>
      <c r="DT114" s="399"/>
      <c r="DU114" s="399"/>
      <c r="DV114" s="399">
        <v>81.448403668094571</v>
      </c>
      <c r="DW114" s="399">
        <v>0</v>
      </c>
      <c r="DX114" s="399">
        <v>0</v>
      </c>
      <c r="DY114" s="399">
        <v>-52.746420000000008</v>
      </c>
      <c r="DZ114" s="399">
        <v>0</v>
      </c>
      <c r="EA114" s="399">
        <v>0</v>
      </c>
      <c r="EB114" s="399">
        <v>0</v>
      </c>
      <c r="EC114" s="399">
        <v>-50.781199591145679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221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6" customFormat="1">
      <c r="A115" s="399">
        <v>114</v>
      </c>
      <c r="B115" s="399" t="s">
        <v>956</v>
      </c>
      <c r="C115" s="399" t="s">
        <v>2328</v>
      </c>
      <c r="D115" s="399" t="s">
        <v>2337</v>
      </c>
      <c r="E115" s="399" t="s">
        <v>894</v>
      </c>
      <c r="F115" s="399" t="s">
        <v>1239</v>
      </c>
      <c r="G115" s="399" t="s">
        <v>1239</v>
      </c>
      <c r="H115" s="399" t="s">
        <v>1239</v>
      </c>
      <c r="I115" s="399" t="s">
        <v>1239</v>
      </c>
      <c r="J115" s="399" t="s">
        <v>2326</v>
      </c>
      <c r="K115" s="786">
        <v>44501</v>
      </c>
      <c r="L115" s="399">
        <v>0</v>
      </c>
      <c r="M115" s="399">
        <v>0</v>
      </c>
      <c r="N115" s="399">
        <v>1591.5719999999999</v>
      </c>
      <c r="O115" s="399">
        <v>1591.5719999999999</v>
      </c>
      <c r="P115" s="399">
        <v>1591.5719999999999</v>
      </c>
      <c r="Q115" s="399">
        <v>1591.5719999999999</v>
      </c>
      <c r="R115" s="399"/>
      <c r="S115" s="399">
        <v>825.6</v>
      </c>
      <c r="T115" s="399">
        <v>185.74</v>
      </c>
      <c r="U115" s="399"/>
      <c r="V115" s="399">
        <v>1609620.4264799999</v>
      </c>
      <c r="W115" s="399">
        <v>1609620.4264799999</v>
      </c>
      <c r="X115" s="399">
        <v>1000621.3163999999</v>
      </c>
      <c r="Y115" s="399">
        <v>0</v>
      </c>
      <c r="Z115" s="399">
        <v>99226.820681185709</v>
      </c>
      <c r="AA115" s="399">
        <v>0</v>
      </c>
      <c r="AB115" s="399">
        <v>0</v>
      </c>
      <c r="AC115" s="399">
        <v>0</v>
      </c>
      <c r="AD115" s="399">
        <v>207432.29438157758</v>
      </c>
      <c r="AE115" s="399">
        <v>934682.14247039554</v>
      </c>
      <c r="AF115" s="399">
        <v>295625.40784280183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15335.105329482603</v>
      </c>
      <c r="AM115" s="399"/>
      <c r="AN115" s="399">
        <v>3773.4060872162759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53557.192083146358</v>
      </c>
      <c r="BH115" s="399">
        <v>0</v>
      </c>
      <c r="BI115" s="399">
        <v>859.74</v>
      </c>
      <c r="BJ115" s="399">
        <v>4333.99</v>
      </c>
      <c r="BK115" s="399">
        <v>227075.4</v>
      </c>
      <c r="BL115" s="399">
        <v>5726</v>
      </c>
      <c r="BM115" s="399"/>
      <c r="BN115" s="399"/>
      <c r="BO115" s="399"/>
      <c r="BP115" s="399"/>
      <c r="BQ115" s="399"/>
      <c r="BR115" s="399">
        <v>120068.19167999999</v>
      </c>
      <c r="BS115" s="399"/>
      <c r="BT115" s="399"/>
      <c r="BU115" s="399"/>
      <c r="BV115" s="399">
        <v>349182.59992594819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880552.01819999993</v>
      </c>
      <c r="CJ115" s="399">
        <v>-535915.26036000007</v>
      </c>
      <c r="CK115" s="399"/>
      <c r="CL115" s="399"/>
      <c r="CM115" s="399"/>
      <c r="CN115" s="399"/>
      <c r="CO115" s="399">
        <v>-608999.11008000001</v>
      </c>
      <c r="CP115" s="399">
        <v>0</v>
      </c>
      <c r="CQ115" s="399">
        <v>30</v>
      </c>
      <c r="CR115" s="399">
        <v>-26250.687043000129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-19095.514850157459</v>
      </c>
      <c r="DA115" s="399">
        <v>0</v>
      </c>
      <c r="DB115" s="399">
        <v>0</v>
      </c>
      <c r="DC115" s="399">
        <v>0</v>
      </c>
      <c r="DD115" s="399">
        <v>0</v>
      </c>
      <c r="DE115" s="399">
        <v>0</v>
      </c>
      <c r="DF115" s="399">
        <v>0</v>
      </c>
      <c r="DG115" s="399">
        <v>0</v>
      </c>
      <c r="DH115" s="399">
        <v>0</v>
      </c>
      <c r="DI115" s="399">
        <v>-6137.0483911628544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-822.1517265515613</v>
      </c>
      <c r="DP115" s="399">
        <v>-195.97207512831164</v>
      </c>
      <c r="DQ115" s="399">
        <v>0</v>
      </c>
      <c r="DR115" s="399">
        <v>0</v>
      </c>
      <c r="DS115" s="399"/>
      <c r="DT115" s="399"/>
      <c r="DU115" s="399"/>
      <c r="DV115" s="399">
        <v>934682.14247039554</v>
      </c>
      <c r="DW115" s="399">
        <v>0</v>
      </c>
      <c r="DX115" s="399">
        <v>0</v>
      </c>
      <c r="DY115" s="399">
        <v>-608999.11008000013</v>
      </c>
      <c r="DZ115" s="399">
        <v>0</v>
      </c>
      <c r="EA115" s="399">
        <v>0</v>
      </c>
      <c r="EB115" s="399">
        <v>0</v>
      </c>
      <c r="EC115" s="399">
        <v>-582752.7403052334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221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6" customFormat="1">
      <c r="A116" s="399">
        <v>115</v>
      </c>
      <c r="B116" s="399" t="s">
        <v>2329</v>
      </c>
      <c r="C116" s="399" t="s">
        <v>2328</v>
      </c>
      <c r="D116" s="399" t="s">
        <v>2337</v>
      </c>
      <c r="E116" s="399" t="s">
        <v>894</v>
      </c>
      <c r="F116" s="399" t="s">
        <v>1239</v>
      </c>
      <c r="G116" s="399" t="s">
        <v>1239</v>
      </c>
      <c r="H116" s="399" t="s">
        <v>1239</v>
      </c>
      <c r="I116" s="399" t="s">
        <v>1239</v>
      </c>
      <c r="J116" s="399" t="s">
        <v>2326</v>
      </c>
      <c r="K116" s="786">
        <v>44501</v>
      </c>
      <c r="L116" s="399">
        <v>0</v>
      </c>
      <c r="M116" s="399">
        <v>0</v>
      </c>
      <c r="N116" s="399">
        <v>-4.9260000000000002</v>
      </c>
      <c r="O116" s="399">
        <v>-4.9260000000000002</v>
      </c>
      <c r="P116" s="399">
        <v>-4.9260000000000002</v>
      </c>
      <c r="Q116" s="399">
        <v>-4.9260000000000002</v>
      </c>
      <c r="R116" s="399"/>
      <c r="S116" s="399">
        <v>825.6</v>
      </c>
      <c r="T116" s="399">
        <v>185.74</v>
      </c>
      <c r="U116" s="399"/>
      <c r="V116" s="399">
        <v>-4981.8608400000003</v>
      </c>
      <c r="W116" s="399">
        <v>-4981.8608400000003</v>
      </c>
      <c r="X116" s="399">
        <v>-3096.9762000000001</v>
      </c>
      <c r="Y116" s="399">
        <v>0</v>
      </c>
      <c r="Z116" s="399">
        <v>-307.11228815003085</v>
      </c>
      <c r="AA116" s="399">
        <v>0</v>
      </c>
      <c r="AB116" s="399">
        <v>0</v>
      </c>
      <c r="AC116" s="399">
        <v>0</v>
      </c>
      <c r="AD116" s="399">
        <v>-642.01398499323398</v>
      </c>
      <c r="AE116" s="399">
        <v>-2892.8909492056714</v>
      </c>
      <c r="AF116" s="399">
        <v>-914.97636238488849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-47.462966710291028</v>
      </c>
      <c r="AM116" s="399"/>
      <c r="AN116" s="399">
        <v>-11.67889255756408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-165.76235834858807</v>
      </c>
      <c r="BH116" s="399">
        <v>0</v>
      </c>
      <c r="BI116" s="399">
        <v>-2.58</v>
      </c>
      <c r="BJ116" s="399">
        <v>-12.45</v>
      </c>
      <c r="BK116" s="399">
        <v>-1076.7</v>
      </c>
      <c r="BL116" s="399">
        <v>0</v>
      </c>
      <c r="BM116" s="399"/>
      <c r="BN116" s="399"/>
      <c r="BO116" s="399"/>
      <c r="BP116" s="399"/>
      <c r="BQ116" s="399"/>
      <c r="BR116" s="399">
        <v>-371.61743999999999</v>
      </c>
      <c r="BS116" s="399"/>
      <c r="BT116" s="399"/>
      <c r="BU116" s="399"/>
      <c r="BV116" s="399">
        <v>-1080.7387207334766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-2727.5717999999997</v>
      </c>
      <c r="CJ116" s="399">
        <v>1656.4396799999995</v>
      </c>
      <c r="CK116" s="399"/>
      <c r="CL116" s="399"/>
      <c r="CM116" s="399"/>
      <c r="CN116" s="399"/>
      <c r="CO116" s="399">
        <v>1884.8846400000002</v>
      </c>
      <c r="CP116" s="399">
        <v>0</v>
      </c>
      <c r="CQ116" s="399">
        <v>30</v>
      </c>
      <c r="CR116" s="399">
        <v>81.247272742809855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59.101634203087087</v>
      </c>
      <c r="DA116" s="399">
        <v>0</v>
      </c>
      <c r="DB116" s="399">
        <v>0</v>
      </c>
      <c r="DC116" s="399">
        <v>0</v>
      </c>
      <c r="DD116" s="399">
        <v>0</v>
      </c>
      <c r="DE116" s="399">
        <v>0</v>
      </c>
      <c r="DF116" s="399">
        <v>0</v>
      </c>
      <c r="DG116" s="399">
        <v>0</v>
      </c>
      <c r="DH116" s="399">
        <v>0</v>
      </c>
      <c r="DI116" s="399">
        <v>18.994491216777021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2.5446033261410719</v>
      </c>
      <c r="DP116" s="399">
        <v>0.60654399680445792</v>
      </c>
      <c r="DQ116" s="399">
        <v>0</v>
      </c>
      <c r="DR116" s="399">
        <v>0</v>
      </c>
      <c r="DS116" s="399"/>
      <c r="DT116" s="399"/>
      <c r="DU116" s="399"/>
      <c r="DV116" s="399">
        <v>-2892.8909492056714</v>
      </c>
      <c r="DW116" s="399">
        <v>0</v>
      </c>
      <c r="DX116" s="399">
        <v>0</v>
      </c>
      <c r="DY116" s="399">
        <v>1884.8846400000002</v>
      </c>
      <c r="DZ116" s="399">
        <v>0</v>
      </c>
      <c r="EA116" s="399">
        <v>0</v>
      </c>
      <c r="EB116" s="399">
        <v>0</v>
      </c>
      <c r="EC116" s="399">
        <v>1803.6507294320206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221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6" customFormat="1">
      <c r="A117" s="399">
        <v>116</v>
      </c>
      <c r="B117" s="399" t="s">
        <v>2330</v>
      </c>
      <c r="C117" s="399" t="s">
        <v>2328</v>
      </c>
      <c r="D117" s="399" t="s">
        <v>2337</v>
      </c>
      <c r="E117" s="399" t="s">
        <v>894</v>
      </c>
      <c r="F117" s="399" t="s">
        <v>1239</v>
      </c>
      <c r="G117" s="399" t="s">
        <v>1239</v>
      </c>
      <c r="H117" s="399" t="s">
        <v>1239</v>
      </c>
      <c r="I117" s="399" t="s">
        <v>1239</v>
      </c>
      <c r="J117" s="399" t="s">
        <v>2326</v>
      </c>
      <c r="K117" s="786">
        <v>44501</v>
      </c>
      <c r="L117" s="399">
        <v>0</v>
      </c>
      <c r="M117" s="399">
        <v>0</v>
      </c>
      <c r="N117" s="399">
        <v>19.436</v>
      </c>
      <c r="O117" s="399">
        <v>19.436</v>
      </c>
      <c r="P117" s="399">
        <v>19.436</v>
      </c>
      <c r="Q117" s="399">
        <v>19.436</v>
      </c>
      <c r="R117" s="399"/>
      <c r="S117" s="399">
        <v>825.6</v>
      </c>
      <c r="T117" s="399">
        <v>185.74</v>
      </c>
      <c r="U117" s="399"/>
      <c r="V117" s="399">
        <v>19656.40424</v>
      </c>
      <c r="W117" s="399">
        <v>19656.40424</v>
      </c>
      <c r="X117" s="399">
        <v>12219.413199999999</v>
      </c>
      <c r="Y117" s="399">
        <v>0</v>
      </c>
      <c r="Z117" s="399">
        <v>1211.7406480885097</v>
      </c>
      <c r="AA117" s="399">
        <v>0</v>
      </c>
      <c r="AB117" s="399">
        <v>0</v>
      </c>
      <c r="AC117" s="399">
        <v>0</v>
      </c>
      <c r="AD117" s="399">
        <v>2533.1270426976234</v>
      </c>
      <c r="AE117" s="399">
        <v>11414.175495079462</v>
      </c>
      <c r="AF117" s="399">
        <v>3610.125980372045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187.26963479115233</v>
      </c>
      <c r="AM117" s="399"/>
      <c r="AN117" s="399">
        <v>46.080177780920714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654.03109964741316</v>
      </c>
      <c r="BH117" s="399">
        <v>0</v>
      </c>
      <c r="BI117" s="399">
        <v>8.6199999999999992</v>
      </c>
      <c r="BJ117" s="399">
        <v>43.89</v>
      </c>
      <c r="BK117" s="399">
        <v>7772.2</v>
      </c>
      <c r="BL117" s="399">
        <v>105</v>
      </c>
      <c r="BM117" s="399"/>
      <c r="BN117" s="399"/>
      <c r="BO117" s="399"/>
      <c r="BP117" s="399"/>
      <c r="BQ117" s="399"/>
      <c r="BR117" s="399">
        <v>1466.2518399999999</v>
      </c>
      <c r="BS117" s="399"/>
      <c r="BT117" s="399"/>
      <c r="BU117" s="399"/>
      <c r="BV117" s="399">
        <v>4264.1570800194586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10755.374400000001</v>
      </c>
      <c r="CJ117" s="399">
        <v>-6542.3068799999965</v>
      </c>
      <c r="CK117" s="399"/>
      <c r="CL117" s="399"/>
      <c r="CM117" s="399"/>
      <c r="CN117" s="399"/>
      <c r="CO117" s="399">
        <v>-7436.9910400000008</v>
      </c>
      <c r="CP117" s="399">
        <v>0</v>
      </c>
      <c r="CQ117" s="399">
        <v>30</v>
      </c>
      <c r="CR117" s="399">
        <v>-320.5688170989124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-233.19110076557035</v>
      </c>
      <c r="DA117" s="399">
        <v>0</v>
      </c>
      <c r="DB117" s="399">
        <v>0</v>
      </c>
      <c r="DC117" s="399">
        <v>0</v>
      </c>
      <c r="DD117" s="399">
        <v>0</v>
      </c>
      <c r="DE117" s="399">
        <v>0</v>
      </c>
      <c r="DF117" s="399">
        <v>0</v>
      </c>
      <c r="DG117" s="399">
        <v>0</v>
      </c>
      <c r="DH117" s="399">
        <v>0</v>
      </c>
      <c r="DI117" s="399">
        <v>-74.944565832171747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-10.039973659536713</v>
      </c>
      <c r="DP117" s="399">
        <v>-2.3931768416344781</v>
      </c>
      <c r="DQ117" s="399">
        <v>0</v>
      </c>
      <c r="DR117" s="399">
        <v>0</v>
      </c>
      <c r="DS117" s="399"/>
      <c r="DT117" s="399"/>
      <c r="DU117" s="399"/>
      <c r="DV117" s="399">
        <v>11414.175495079462</v>
      </c>
      <c r="DW117" s="399">
        <v>0</v>
      </c>
      <c r="DX117" s="399">
        <v>0</v>
      </c>
      <c r="DY117" s="399">
        <v>-7436.9910400000008</v>
      </c>
      <c r="DZ117" s="399">
        <v>0</v>
      </c>
      <c r="EA117" s="399">
        <v>0</v>
      </c>
      <c r="EB117" s="399">
        <v>0</v>
      </c>
      <c r="EC117" s="399">
        <v>-7116.4749446286551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221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6" customFormat="1">
      <c r="A118" s="399">
        <v>117</v>
      </c>
      <c r="B118" s="399" t="s">
        <v>2330</v>
      </c>
      <c r="C118" s="399" t="s">
        <v>2328</v>
      </c>
      <c r="D118" s="399" t="s">
        <v>2337</v>
      </c>
      <c r="E118" s="399" t="s">
        <v>894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2326</v>
      </c>
      <c r="K118" s="786">
        <v>44501</v>
      </c>
      <c r="L118" s="399">
        <v>0</v>
      </c>
      <c r="M118" s="399">
        <v>0</v>
      </c>
      <c r="N118" s="399">
        <v>-1.0269999999999999</v>
      </c>
      <c r="O118" s="399">
        <v>-1.0269999999999999</v>
      </c>
      <c r="P118" s="399">
        <v>-1.0269999999999999</v>
      </c>
      <c r="Q118" s="399">
        <v>-1.0269999999999999</v>
      </c>
      <c r="R118" s="399"/>
      <c r="S118" s="399">
        <v>825.6</v>
      </c>
      <c r="T118" s="399">
        <v>185.74</v>
      </c>
      <c r="U118" s="399"/>
      <c r="V118" s="399">
        <v>-1038.64618</v>
      </c>
      <c r="W118" s="399">
        <v>-1038.64618</v>
      </c>
      <c r="X118" s="399">
        <v>-645.67489999999998</v>
      </c>
      <c r="Y118" s="399">
        <v>0</v>
      </c>
      <c r="Z118" s="399">
        <v>-64.028485572489174</v>
      </c>
      <c r="AA118" s="399">
        <v>0</v>
      </c>
      <c r="AB118" s="399">
        <v>0</v>
      </c>
      <c r="AC118" s="399">
        <v>0</v>
      </c>
      <c r="AD118" s="399">
        <v>-133.85066231994543</v>
      </c>
      <c r="AE118" s="399">
        <v>-603.12606675481618</v>
      </c>
      <c r="AF118" s="399">
        <v>-190.7593837128056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-9.8953444603063101</v>
      </c>
      <c r="AM118" s="399"/>
      <c r="AN118" s="399">
        <v>-2.4348807666703833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-34.559062530247644</v>
      </c>
      <c r="BH118" s="399">
        <v>0</v>
      </c>
      <c r="BI118" s="399">
        <v>-0.71</v>
      </c>
      <c r="BJ118" s="399">
        <v>-3.01</v>
      </c>
      <c r="BK118" s="399">
        <v>-265.95999999999998</v>
      </c>
      <c r="BL118" s="399">
        <v>2</v>
      </c>
      <c r="BM118" s="399"/>
      <c r="BN118" s="399"/>
      <c r="BO118" s="399"/>
      <c r="BP118" s="399"/>
      <c r="BQ118" s="399"/>
      <c r="BR118" s="399">
        <v>-77.476879999999994</v>
      </c>
      <c r="BS118" s="399"/>
      <c r="BT118" s="399"/>
      <c r="BU118" s="399"/>
      <c r="BV118" s="399">
        <v>-225.31844624305324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-569.8578</v>
      </c>
      <c r="CJ118" s="399">
        <v>344.12165999999979</v>
      </c>
      <c r="CK118" s="399"/>
      <c r="CL118" s="399"/>
      <c r="CM118" s="399"/>
      <c r="CN118" s="399"/>
      <c r="CO118" s="399">
        <v>392.97128000000004</v>
      </c>
      <c r="CP118" s="399">
        <v>0</v>
      </c>
      <c r="CQ118" s="399">
        <v>30</v>
      </c>
      <c r="CR118" s="399">
        <v>16.93888532417094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12.321838880749169</v>
      </c>
      <c r="DA118" s="399">
        <v>0</v>
      </c>
      <c r="DB118" s="399">
        <v>0</v>
      </c>
      <c r="DC118" s="399">
        <v>0</v>
      </c>
      <c r="DD118" s="399">
        <v>0</v>
      </c>
      <c r="DE118" s="399">
        <v>0</v>
      </c>
      <c r="DF118" s="399">
        <v>0</v>
      </c>
      <c r="DG118" s="399">
        <v>0</v>
      </c>
      <c r="DH118" s="399">
        <v>0</v>
      </c>
      <c r="DI118" s="399">
        <v>3.9600776450730919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0.53051311732579798</v>
      </c>
      <c r="DP118" s="399">
        <v>0.12645568102277238</v>
      </c>
      <c r="DQ118" s="399">
        <v>0</v>
      </c>
      <c r="DR118" s="399">
        <v>0</v>
      </c>
      <c r="DS118" s="399"/>
      <c r="DT118" s="399"/>
      <c r="DU118" s="399"/>
      <c r="DV118" s="399">
        <v>-603.12606675481618</v>
      </c>
      <c r="DW118" s="399">
        <v>0</v>
      </c>
      <c r="DX118" s="399">
        <v>0</v>
      </c>
      <c r="DY118" s="399">
        <v>392.97127999999998</v>
      </c>
      <c r="DZ118" s="399">
        <v>0</v>
      </c>
      <c r="EA118" s="399">
        <v>0</v>
      </c>
      <c r="EB118" s="399">
        <v>0</v>
      </c>
      <c r="EC118" s="399">
        <v>376.03518049668804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221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6" customFormat="1">
      <c r="A119" s="399">
        <v>118</v>
      </c>
      <c r="B119" s="399" t="s">
        <v>956</v>
      </c>
      <c r="C119" s="399" t="s">
        <v>2328</v>
      </c>
      <c r="D119" s="399" t="s">
        <v>1824</v>
      </c>
      <c r="E119" s="399" t="s">
        <v>2338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2326</v>
      </c>
      <c r="K119" s="786">
        <v>44501</v>
      </c>
      <c r="L119" s="399">
        <v>0</v>
      </c>
      <c r="M119" s="399">
        <v>0</v>
      </c>
      <c r="N119" s="399">
        <v>20.763000000000002</v>
      </c>
      <c r="O119" s="399">
        <v>20.763000000000002</v>
      </c>
      <c r="P119" s="399">
        <v>20.763000000000002</v>
      </c>
      <c r="Q119" s="399">
        <v>20.763000000000002</v>
      </c>
      <c r="R119" s="399"/>
      <c r="S119" s="399">
        <v>825.6</v>
      </c>
      <c r="T119" s="399">
        <v>185.74</v>
      </c>
      <c r="U119" s="399"/>
      <c r="V119" s="399">
        <v>20998.452420000001</v>
      </c>
      <c r="W119" s="399">
        <v>20998.452420000001</v>
      </c>
      <c r="X119" s="399">
        <v>13053.698100000001</v>
      </c>
      <c r="Y119" s="399">
        <v>0</v>
      </c>
      <c r="Z119" s="399">
        <v>1294.4726834874321</v>
      </c>
      <c r="AA119" s="399">
        <v>0</v>
      </c>
      <c r="AB119" s="399">
        <v>0</v>
      </c>
      <c r="AC119" s="399">
        <v>0</v>
      </c>
      <c r="AD119" s="399">
        <v>2706.0772168929184</v>
      </c>
      <c r="AE119" s="399">
        <v>12193.482496621469</v>
      </c>
      <c r="AF119" s="399">
        <v>3856.6086504663908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200.05553751639721</v>
      </c>
      <c r="AM119" s="399"/>
      <c r="AN119" s="399">
        <v>49.226318752071251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698.68531189438363</v>
      </c>
      <c r="BH119" s="399">
        <v>0</v>
      </c>
      <c r="BI119" s="399">
        <v>12.27</v>
      </c>
      <c r="BJ119" s="399">
        <v>62.67</v>
      </c>
      <c r="BK119" s="399">
        <v>4216.38</v>
      </c>
      <c r="BL119" s="399">
        <v>91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4555.2939623607745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13051.812</v>
      </c>
      <c r="CJ119" s="399">
        <v>-7946.6704199999967</v>
      </c>
      <c r="CK119" s="399"/>
      <c r="CL119" s="399"/>
      <c r="CM119" s="399"/>
      <c r="CN119" s="399"/>
      <c r="CO119" s="399">
        <v>-7944.7543200000018</v>
      </c>
      <c r="CP119" s="399">
        <v>0</v>
      </c>
      <c r="CQ119" s="399">
        <v>30</v>
      </c>
      <c r="CR119" s="399">
        <v>-342.45577019061238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-249.11230835539891</v>
      </c>
      <c r="DA119" s="399">
        <v>0</v>
      </c>
      <c r="DB119" s="399">
        <v>0</v>
      </c>
      <c r="DC119" s="399">
        <v>0</v>
      </c>
      <c r="DD119" s="399">
        <v>0</v>
      </c>
      <c r="DE119" s="399">
        <v>0</v>
      </c>
      <c r="DF119" s="399">
        <v>0</v>
      </c>
      <c r="DG119" s="399">
        <v>0</v>
      </c>
      <c r="DH119" s="399">
        <v>0</v>
      </c>
      <c r="DI119" s="399">
        <v>-80.06143344172574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-10.725456528759054</v>
      </c>
      <c r="DP119" s="399">
        <v>-2.5565718647281628</v>
      </c>
      <c r="DQ119" s="399">
        <v>0</v>
      </c>
      <c r="DR119" s="399">
        <v>0</v>
      </c>
      <c r="DS119" s="399"/>
      <c r="DT119" s="399"/>
      <c r="DU119" s="399"/>
      <c r="DV119" s="399">
        <v>12193.482496621469</v>
      </c>
      <c r="DW119" s="399">
        <v>0</v>
      </c>
      <c r="DX119" s="399">
        <v>0</v>
      </c>
      <c r="DY119" s="399">
        <v>-7944.7543200000018</v>
      </c>
      <c r="DZ119" s="399">
        <v>0</v>
      </c>
      <c r="EA119" s="399">
        <v>0</v>
      </c>
      <c r="EB119" s="399">
        <v>0</v>
      </c>
      <c r="EC119" s="399">
        <v>-7602.3548711321646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221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6" customFormat="1">
      <c r="A120" s="399">
        <v>119</v>
      </c>
      <c r="B120" s="399" t="s">
        <v>956</v>
      </c>
      <c r="C120" s="399" t="s">
        <v>2328</v>
      </c>
      <c r="D120" s="399" t="s">
        <v>2339</v>
      </c>
      <c r="E120" s="399" t="s">
        <v>2340</v>
      </c>
      <c r="F120" s="399" t="s">
        <v>2341</v>
      </c>
      <c r="G120" s="399" t="s">
        <v>1239</v>
      </c>
      <c r="H120" s="399" t="s">
        <v>1239</v>
      </c>
      <c r="I120" s="399" t="s">
        <v>1239</v>
      </c>
      <c r="J120" s="399" t="s">
        <v>2326</v>
      </c>
      <c r="K120" s="786">
        <v>44501</v>
      </c>
      <c r="L120" s="399">
        <v>0</v>
      </c>
      <c r="M120" s="399">
        <v>0</v>
      </c>
      <c r="N120" s="399">
        <v>191.27699999999999</v>
      </c>
      <c r="O120" s="399">
        <v>191.27699999999999</v>
      </c>
      <c r="P120" s="399">
        <v>191.27699999999999</v>
      </c>
      <c r="Q120" s="399">
        <v>191.27699999999999</v>
      </c>
      <c r="R120" s="399"/>
      <c r="S120" s="399">
        <v>454.08</v>
      </c>
      <c r="T120" s="399">
        <v>102.16</v>
      </c>
      <c r="U120" s="399"/>
      <c r="V120" s="399">
        <v>106395.91847999999</v>
      </c>
      <c r="W120" s="399">
        <v>106395.91847999999</v>
      </c>
      <c r="X120" s="399">
        <v>66141.673829999985</v>
      </c>
      <c r="Y120" s="399">
        <v>0</v>
      </c>
      <c r="Z120" s="399">
        <v>6558.8579836094978</v>
      </c>
      <c r="AA120" s="399">
        <v>0</v>
      </c>
      <c r="AB120" s="399">
        <v>0</v>
      </c>
      <c r="AC120" s="399">
        <v>0</v>
      </c>
      <c r="AD120" s="399">
        <v>13711.201777132179</v>
      </c>
      <c r="AE120" s="399">
        <v>61782.161216030712</v>
      </c>
      <c r="AF120" s="399">
        <v>19540.735590203411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1013.6450742781938</v>
      </c>
      <c r="AM120" s="399"/>
      <c r="AN120" s="399">
        <v>249.42081657597595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3540.1115793368967</v>
      </c>
      <c r="BH120" s="399">
        <v>0</v>
      </c>
      <c r="BI120" s="399">
        <v>74.95</v>
      </c>
      <c r="BJ120" s="399">
        <v>365.58</v>
      </c>
      <c r="BK120" s="399">
        <v>31247.79</v>
      </c>
      <c r="BL120" s="399">
        <v>9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23080.847169540306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66142.711199999991</v>
      </c>
      <c r="CJ120" s="399">
        <v>-40253.237279999987</v>
      </c>
      <c r="CK120" s="399"/>
      <c r="CL120" s="399"/>
      <c r="CM120" s="399"/>
      <c r="CN120" s="399"/>
      <c r="CO120" s="399">
        <v>-40254.244649999993</v>
      </c>
      <c r="CP120" s="399">
        <v>0</v>
      </c>
      <c r="CQ120" s="399">
        <v>30</v>
      </c>
      <c r="CR120" s="399">
        <v>-1735.1611903440207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-1262.2068223721526</v>
      </c>
      <c r="DA120" s="399">
        <v>0</v>
      </c>
      <c r="DB120" s="399">
        <v>0</v>
      </c>
      <c r="DC120" s="399">
        <v>0</v>
      </c>
      <c r="DD120" s="399">
        <v>0</v>
      </c>
      <c r="DE120" s="399">
        <v>0</v>
      </c>
      <c r="DF120" s="399">
        <v>0</v>
      </c>
      <c r="DG120" s="399">
        <v>0</v>
      </c>
      <c r="DH120" s="399">
        <v>0</v>
      </c>
      <c r="DI120" s="399">
        <v>-405.6567423993738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-54.343940261440594</v>
      </c>
      <c r="DP120" s="399">
        <v>-12.953685311048872</v>
      </c>
      <c r="DQ120" s="399">
        <v>0</v>
      </c>
      <c r="DR120" s="399">
        <v>0</v>
      </c>
      <c r="DS120" s="399"/>
      <c r="DT120" s="399"/>
      <c r="DU120" s="399"/>
      <c r="DV120" s="399">
        <v>61782.161216030712</v>
      </c>
      <c r="DW120" s="399">
        <v>0</v>
      </c>
      <c r="DX120" s="399">
        <v>0</v>
      </c>
      <c r="DY120" s="399">
        <v>-40254.244650000001</v>
      </c>
      <c r="DZ120" s="399">
        <v>0</v>
      </c>
      <c r="EA120" s="399">
        <v>0</v>
      </c>
      <c r="EB120" s="399">
        <v>0</v>
      </c>
      <c r="EC120" s="399">
        <v>-38519.751383569426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221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6" customFormat="1">
      <c r="A121" s="399">
        <v>120</v>
      </c>
      <c r="B121" s="399" t="s">
        <v>956</v>
      </c>
      <c r="C121" s="399" t="s">
        <v>2328</v>
      </c>
      <c r="D121" s="399" t="s">
        <v>2339</v>
      </c>
      <c r="E121" s="399" t="s">
        <v>2340</v>
      </c>
      <c r="F121" s="399" t="s">
        <v>2578</v>
      </c>
      <c r="G121" s="399" t="s">
        <v>1239</v>
      </c>
      <c r="H121" s="399" t="s">
        <v>1239</v>
      </c>
      <c r="I121" s="399" t="s">
        <v>1239</v>
      </c>
      <c r="J121" s="399" t="s">
        <v>2326</v>
      </c>
      <c r="K121" s="786">
        <v>44501</v>
      </c>
      <c r="L121" s="399">
        <v>0</v>
      </c>
      <c r="M121" s="399">
        <v>0</v>
      </c>
      <c r="N121" s="399">
        <v>130.57300000000001</v>
      </c>
      <c r="O121" s="399">
        <v>130.57300000000001</v>
      </c>
      <c r="P121" s="399">
        <v>130.57300000000001</v>
      </c>
      <c r="Q121" s="399">
        <v>130.57300000000001</v>
      </c>
      <c r="R121" s="399"/>
      <c r="S121" s="399">
        <v>495.36</v>
      </c>
      <c r="T121" s="399">
        <v>111.45</v>
      </c>
      <c r="U121" s="399"/>
      <c r="V121" s="399">
        <v>79233.002130000008</v>
      </c>
      <c r="W121" s="399">
        <v>79233.002130000008</v>
      </c>
      <c r="X121" s="399">
        <v>49256.052790000002</v>
      </c>
      <c r="Y121" s="399">
        <v>0</v>
      </c>
      <c r="Z121" s="399">
        <v>4884.3572229736856</v>
      </c>
      <c r="AA121" s="399">
        <v>0</v>
      </c>
      <c r="AB121" s="399">
        <v>0</v>
      </c>
      <c r="AC121" s="399">
        <v>0</v>
      </c>
      <c r="AD121" s="399">
        <v>10210.681128199969</v>
      </c>
      <c r="AE121" s="399">
        <v>46008.946395935782</v>
      </c>
      <c r="AF121" s="399">
        <v>14551.913345393645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754.85772865564263</v>
      </c>
      <c r="AM121" s="399"/>
      <c r="AN121" s="399">
        <v>185.74275735917328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2636.3079679232792</v>
      </c>
      <c r="BH121" s="399">
        <v>0</v>
      </c>
      <c r="BI121" s="399">
        <v>54.47</v>
      </c>
      <c r="BJ121" s="399">
        <v>265.66000000000003</v>
      </c>
      <c r="BK121" s="399">
        <v>22705.79</v>
      </c>
      <c r="BL121" s="399">
        <v>6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17188.221313316924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49254.921099999992</v>
      </c>
      <c r="CJ121" s="399">
        <v>-29978.111030000015</v>
      </c>
      <c r="CK121" s="399"/>
      <c r="CL121" s="399"/>
      <c r="CM121" s="399"/>
      <c r="CN121" s="399"/>
      <c r="CO121" s="399">
        <v>-29976.949340000006</v>
      </c>
      <c r="CP121" s="399">
        <v>0</v>
      </c>
      <c r="CQ121" s="399">
        <v>30</v>
      </c>
      <c r="CR121" s="399">
        <v>-1292.1681052188724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-939.96074090131333</v>
      </c>
      <c r="DA121" s="399">
        <v>0</v>
      </c>
      <c r="DB121" s="399">
        <v>0</v>
      </c>
      <c r="DC121" s="399">
        <v>0</v>
      </c>
      <c r="DD121" s="399">
        <v>0</v>
      </c>
      <c r="DE121" s="399">
        <v>0</v>
      </c>
      <c r="DF121" s="399">
        <v>0</v>
      </c>
      <c r="DG121" s="399">
        <v>0</v>
      </c>
      <c r="DH121" s="399">
        <v>0</v>
      </c>
      <c r="DI121" s="399">
        <v>-302.09107206434237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-40.469730828771276</v>
      </c>
      <c r="DP121" s="399">
        <v>-9.6465614244511926</v>
      </c>
      <c r="DQ121" s="399">
        <v>0</v>
      </c>
      <c r="DR121" s="399">
        <v>0</v>
      </c>
      <c r="DS121" s="399"/>
      <c r="DT121" s="399"/>
      <c r="DU121" s="399"/>
      <c r="DV121" s="399">
        <v>46008.946395935782</v>
      </c>
      <c r="DW121" s="399">
        <v>0</v>
      </c>
      <c r="DX121" s="399">
        <v>0</v>
      </c>
      <c r="DY121" s="399">
        <v>-29976.949340000006</v>
      </c>
      <c r="DZ121" s="399">
        <v>0</v>
      </c>
      <c r="EA121" s="399">
        <v>0</v>
      </c>
      <c r="EB121" s="399">
        <v>0</v>
      </c>
      <c r="EC121" s="399">
        <v>-28685.516040697668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221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6" customFormat="1">
      <c r="A122" s="399">
        <v>121</v>
      </c>
      <c r="B122" s="399" t="s">
        <v>956</v>
      </c>
      <c r="C122" s="399" t="s">
        <v>2328</v>
      </c>
      <c r="D122" s="399" t="s">
        <v>1824</v>
      </c>
      <c r="E122" s="399" t="s">
        <v>921</v>
      </c>
      <c r="F122" s="399" t="s">
        <v>2327</v>
      </c>
      <c r="G122" s="399" t="s">
        <v>1239</v>
      </c>
      <c r="H122" s="399" t="s">
        <v>1239</v>
      </c>
      <c r="I122" s="399" t="s">
        <v>1239</v>
      </c>
      <c r="J122" s="399" t="s">
        <v>2326</v>
      </c>
      <c r="K122" s="786">
        <v>44501</v>
      </c>
      <c r="L122" s="399">
        <v>0</v>
      </c>
      <c r="M122" s="399">
        <v>0</v>
      </c>
      <c r="N122" s="399">
        <v>7.4219999999999997</v>
      </c>
      <c r="O122" s="399">
        <v>6.9766799999999991</v>
      </c>
      <c r="P122" s="399">
        <v>7.4219999999999997</v>
      </c>
      <c r="Q122" s="399">
        <v>6.9766799999999991</v>
      </c>
      <c r="R122" s="399"/>
      <c r="S122" s="399">
        <v>825.6</v>
      </c>
      <c r="T122" s="399">
        <v>185.74</v>
      </c>
      <c r="U122" s="399"/>
      <c r="V122" s="399">
        <v>7506.1654799999997</v>
      </c>
      <c r="W122" s="399">
        <v>7506.1654799999997</v>
      </c>
      <c r="X122" s="399">
        <v>4666.2114000000001</v>
      </c>
      <c r="Y122" s="399">
        <v>0</v>
      </c>
      <c r="Z122" s="399">
        <v>462.72582270595387</v>
      </c>
      <c r="AA122" s="399">
        <v>0</v>
      </c>
      <c r="AB122" s="399">
        <v>0</v>
      </c>
      <c r="AC122" s="399">
        <v>0</v>
      </c>
      <c r="AD122" s="399">
        <v>967.32192379613923</v>
      </c>
      <c r="AE122" s="399">
        <v>4358.7163266350981</v>
      </c>
      <c r="AF122" s="399">
        <v>1378.5941050793022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71.512411474579778</v>
      </c>
      <c r="AM122" s="399"/>
      <c r="AN122" s="399">
        <v>17.596577458838933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249.75400399172156</v>
      </c>
      <c r="BH122" s="399">
        <v>0</v>
      </c>
      <c r="BI122" s="399">
        <v>4.01</v>
      </c>
      <c r="BJ122" s="399">
        <v>19.670000000000002</v>
      </c>
      <c r="BK122" s="399">
        <v>0</v>
      </c>
      <c r="BL122" s="399">
        <v>5</v>
      </c>
      <c r="BM122" s="399"/>
      <c r="BN122" s="399"/>
      <c r="BO122" s="399"/>
      <c r="BP122" s="399"/>
      <c r="BQ122" s="399">
        <v>279.97268400000036</v>
      </c>
      <c r="BR122" s="399"/>
      <c r="BS122" s="399"/>
      <c r="BT122" s="399"/>
      <c r="BU122" s="399"/>
      <c r="BV122" s="399">
        <v>1628.3481090710238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4388.326</v>
      </c>
      <c r="CJ122" s="399">
        <v>-2667.4995511999996</v>
      </c>
      <c r="CK122" s="399"/>
      <c r="CL122" s="399"/>
      <c r="CM122" s="399"/>
      <c r="CN122" s="399"/>
      <c r="CO122" s="399">
        <v>-2839.9540800000004</v>
      </c>
      <c r="CP122" s="399">
        <v>0</v>
      </c>
      <c r="CQ122" s="399">
        <v>30</v>
      </c>
      <c r="CR122" s="399">
        <v>-122.41519656864239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-89.048381862629299</v>
      </c>
      <c r="DA122" s="399">
        <v>0</v>
      </c>
      <c r="DB122" s="399">
        <v>0</v>
      </c>
      <c r="DC122" s="399">
        <v>0</v>
      </c>
      <c r="DD122" s="399">
        <v>0</v>
      </c>
      <c r="DE122" s="399">
        <v>0</v>
      </c>
      <c r="DF122" s="399">
        <v>0</v>
      </c>
      <c r="DG122" s="399">
        <v>0</v>
      </c>
      <c r="DH122" s="399">
        <v>0</v>
      </c>
      <c r="DI122" s="399">
        <v>-28.618983721258473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-3.8339516619202243</v>
      </c>
      <c r="DP122" s="399">
        <v>-0.91387932283448592</v>
      </c>
      <c r="DQ122" s="399">
        <v>0</v>
      </c>
      <c r="DR122" s="399">
        <v>0</v>
      </c>
      <c r="DS122" s="399"/>
      <c r="DT122" s="399"/>
      <c r="DU122" s="399"/>
      <c r="DV122" s="399">
        <v>4358.7163266350981</v>
      </c>
      <c r="DW122" s="399">
        <v>0</v>
      </c>
      <c r="DX122" s="399">
        <v>0</v>
      </c>
      <c r="DY122" s="399">
        <v>-2839.95408</v>
      </c>
      <c r="DZ122" s="399">
        <v>0</v>
      </c>
      <c r="EA122" s="399">
        <v>0</v>
      </c>
      <c r="EB122" s="399">
        <v>0</v>
      </c>
      <c r="EC122" s="399">
        <v>-2717.5590162087815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221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6" customFormat="1">
      <c r="A123" s="399">
        <v>122</v>
      </c>
      <c r="B123" s="399" t="s">
        <v>956</v>
      </c>
      <c r="C123" s="399" t="s">
        <v>2328</v>
      </c>
      <c r="D123" s="399" t="s">
        <v>1824</v>
      </c>
      <c r="E123" s="399" t="s">
        <v>2579</v>
      </c>
      <c r="F123" s="399" t="s">
        <v>1239</v>
      </c>
      <c r="G123" s="399" t="s">
        <v>1239</v>
      </c>
      <c r="H123" s="399" t="s">
        <v>1239</v>
      </c>
      <c r="I123" s="399" t="s">
        <v>1239</v>
      </c>
      <c r="J123" s="399" t="s">
        <v>2326</v>
      </c>
      <c r="K123" s="786">
        <v>44501</v>
      </c>
      <c r="L123" s="399">
        <v>0</v>
      </c>
      <c r="M123" s="399">
        <v>0</v>
      </c>
      <c r="N123" s="399">
        <v>0.48899999999999999</v>
      </c>
      <c r="O123" s="399">
        <v>0.48899999999999999</v>
      </c>
      <c r="P123" s="399">
        <v>0.48899999999999999</v>
      </c>
      <c r="Q123" s="399">
        <v>0.48899999999999999</v>
      </c>
      <c r="R123" s="399"/>
      <c r="S123" s="399">
        <v>825.6</v>
      </c>
      <c r="T123" s="399">
        <v>185.74</v>
      </c>
      <c r="U123" s="399"/>
      <c r="V123" s="399">
        <v>494.54526000000004</v>
      </c>
      <c r="W123" s="399">
        <v>494.54526000000004</v>
      </c>
      <c r="X123" s="399">
        <v>307.43430000000001</v>
      </c>
      <c r="Y123" s="399">
        <v>0</v>
      </c>
      <c r="Z123" s="399">
        <v>30.486786217085886</v>
      </c>
      <c r="AA123" s="399">
        <v>0</v>
      </c>
      <c r="AB123" s="399">
        <v>0</v>
      </c>
      <c r="AC123" s="399">
        <v>0</v>
      </c>
      <c r="AD123" s="399">
        <v>63.732204356819196</v>
      </c>
      <c r="AE123" s="399">
        <v>287.17492370312084</v>
      </c>
      <c r="AF123" s="399">
        <v>90.828956801910365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4.7116099718498399</v>
      </c>
      <c r="AM123" s="399"/>
      <c r="AN123" s="399">
        <v>1.159354133302646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16.455094038258132</v>
      </c>
      <c r="BH123" s="399">
        <v>0</v>
      </c>
      <c r="BI123" s="399">
        <v>0.28000000000000003</v>
      </c>
      <c r="BJ123" s="399">
        <v>1.47</v>
      </c>
      <c r="BK123" s="399">
        <v>126.18</v>
      </c>
      <c r="BL123" s="399">
        <v>4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107.2840508401685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308.06299999999999</v>
      </c>
      <c r="CJ123" s="399">
        <v>-186.51226000000003</v>
      </c>
      <c r="CK123" s="399"/>
      <c r="CL123" s="399"/>
      <c r="CM123" s="399"/>
      <c r="CN123" s="399"/>
      <c r="CO123" s="399">
        <v>-187.11096000000001</v>
      </c>
      <c r="CP123" s="399">
        <v>0</v>
      </c>
      <c r="CQ123" s="399">
        <v>30</v>
      </c>
      <c r="CR123" s="399">
        <v>-8.0653504610706079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-5.8669709957997469</v>
      </c>
      <c r="DA123" s="399">
        <v>0</v>
      </c>
      <c r="DB123" s="399">
        <v>0</v>
      </c>
      <c r="DC123" s="399">
        <v>0</v>
      </c>
      <c r="DD123" s="399">
        <v>0</v>
      </c>
      <c r="DE123" s="399">
        <v>0</v>
      </c>
      <c r="DF123" s="399">
        <v>0</v>
      </c>
      <c r="DG123" s="399">
        <v>0</v>
      </c>
      <c r="DH123" s="399">
        <v>0</v>
      </c>
      <c r="DI123" s="399">
        <v>-1.8855676421039327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-0.25260069559134823</v>
      </c>
      <c r="DP123" s="399">
        <v>-6.0211127575594769E-2</v>
      </c>
      <c r="DQ123" s="399">
        <v>0</v>
      </c>
      <c r="DR123" s="399">
        <v>0</v>
      </c>
      <c r="DS123" s="399"/>
      <c r="DT123" s="399"/>
      <c r="DU123" s="399"/>
      <c r="DV123" s="399">
        <v>287.17492370312084</v>
      </c>
      <c r="DW123" s="399">
        <v>0</v>
      </c>
      <c r="DX123" s="399">
        <v>0</v>
      </c>
      <c r="DY123" s="399">
        <v>-187.11096000000003</v>
      </c>
      <c r="DZ123" s="399">
        <v>0</v>
      </c>
      <c r="EA123" s="399">
        <v>0</v>
      </c>
      <c r="EB123" s="399">
        <v>0</v>
      </c>
      <c r="EC123" s="399">
        <v>-179.04693599112019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221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6" customFormat="1">
      <c r="A124" s="399">
        <v>123</v>
      </c>
      <c r="B124" s="399" t="s">
        <v>956</v>
      </c>
      <c r="C124" s="399" t="s">
        <v>2328</v>
      </c>
      <c r="D124" s="399" t="s">
        <v>1824</v>
      </c>
      <c r="E124" s="399" t="s">
        <v>921</v>
      </c>
      <c r="F124" s="399" t="s">
        <v>2580</v>
      </c>
      <c r="G124" s="399" t="s">
        <v>1239</v>
      </c>
      <c r="H124" s="399" t="s">
        <v>1239</v>
      </c>
      <c r="I124" s="399" t="s">
        <v>1239</v>
      </c>
      <c r="J124" s="399" t="s">
        <v>2326</v>
      </c>
      <c r="K124" s="786">
        <v>44501</v>
      </c>
      <c r="L124" s="399">
        <v>0</v>
      </c>
      <c r="M124" s="399">
        <v>0</v>
      </c>
      <c r="N124" s="399">
        <v>4.2000000000000003E-2</v>
      </c>
      <c r="O124" s="399">
        <v>4.2000000000000003E-2</v>
      </c>
      <c r="P124" s="399">
        <v>4.2000000000000003E-2</v>
      </c>
      <c r="Q124" s="399">
        <v>4.2000000000000003E-2</v>
      </c>
      <c r="R124" s="399"/>
      <c r="S124" s="399">
        <v>825.6</v>
      </c>
      <c r="T124" s="399">
        <v>185.74</v>
      </c>
      <c r="U124" s="399"/>
      <c r="V124" s="399">
        <v>42.476280000000003</v>
      </c>
      <c r="W124" s="399">
        <v>42.476280000000003</v>
      </c>
      <c r="X124" s="399">
        <v>26.4054</v>
      </c>
      <c r="Y124" s="399">
        <v>0</v>
      </c>
      <c r="Z124" s="399">
        <v>2.6184969757006282</v>
      </c>
      <c r="AA124" s="399">
        <v>0</v>
      </c>
      <c r="AB124" s="399">
        <v>0</v>
      </c>
      <c r="AC124" s="399">
        <v>0</v>
      </c>
      <c r="AD124" s="399">
        <v>5.473931662548889</v>
      </c>
      <c r="AE124" s="399">
        <v>24.665330870206702</v>
      </c>
      <c r="AF124" s="399">
        <v>7.8012600934156149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0.40467815709139732</v>
      </c>
      <c r="AM124" s="399"/>
      <c r="AN124" s="399">
        <v>9.9576428627221145E-2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1.4133209603411894</v>
      </c>
      <c r="BH124" s="399">
        <v>0</v>
      </c>
      <c r="BI124" s="399">
        <v>0.02</v>
      </c>
      <c r="BJ124" s="399">
        <v>0.13</v>
      </c>
      <c r="BK124" s="399">
        <v>0</v>
      </c>
      <c r="BL124" s="399">
        <v>1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9.2145810537568043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25.148</v>
      </c>
      <c r="CJ124" s="399">
        <v>-17.358279999999997</v>
      </c>
      <c r="CK124" s="399"/>
      <c r="CL124" s="399"/>
      <c r="CM124" s="399"/>
      <c r="CN124" s="399"/>
      <c r="CO124" s="399">
        <v>-16.070880000000002</v>
      </c>
      <c r="CP124" s="399">
        <v>0</v>
      </c>
      <c r="CQ124" s="399">
        <v>30</v>
      </c>
      <c r="CR124" s="399">
        <v>-0.69272948745391361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-0.50391161927114414</v>
      </c>
      <c r="DA124" s="399">
        <v>0</v>
      </c>
      <c r="DB124" s="399">
        <v>0</v>
      </c>
      <c r="DC124" s="399">
        <v>0</v>
      </c>
      <c r="DD124" s="399">
        <v>0</v>
      </c>
      <c r="DE124" s="399">
        <v>0</v>
      </c>
      <c r="DF124" s="399">
        <v>0</v>
      </c>
      <c r="DG124" s="399">
        <v>0</v>
      </c>
      <c r="DH124" s="399">
        <v>0</v>
      </c>
      <c r="DI124" s="399">
        <v>-0.16195059502733145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-2.1695765265514588E-2</v>
      </c>
      <c r="DP124" s="399">
        <v>-5.1715078899283867E-3</v>
      </c>
      <c r="DQ124" s="399">
        <v>0</v>
      </c>
      <c r="DR124" s="399">
        <v>0</v>
      </c>
      <c r="DS124" s="399"/>
      <c r="DT124" s="399"/>
      <c r="DU124" s="399"/>
      <c r="DV124" s="399">
        <v>24.665330870206702</v>
      </c>
      <c r="DW124" s="399">
        <v>0</v>
      </c>
      <c r="DX124" s="399">
        <v>0</v>
      </c>
      <c r="DY124" s="399">
        <v>-16.070880000000002</v>
      </c>
      <c r="DZ124" s="399">
        <v>0</v>
      </c>
      <c r="EA124" s="399">
        <v>0</v>
      </c>
      <c r="EB124" s="399">
        <v>0</v>
      </c>
      <c r="EC124" s="399">
        <v>-15.378264440955112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221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6" customFormat="1">
      <c r="A125" s="399">
        <v>124</v>
      </c>
      <c r="B125" s="399" t="s">
        <v>956</v>
      </c>
      <c r="C125" s="399" t="s">
        <v>2328</v>
      </c>
      <c r="D125" s="399" t="s">
        <v>1821</v>
      </c>
      <c r="E125" s="399" t="s">
        <v>889</v>
      </c>
      <c r="F125" s="399" t="s">
        <v>889</v>
      </c>
      <c r="G125" s="399" t="s">
        <v>1239</v>
      </c>
      <c r="H125" s="399" t="s">
        <v>1239</v>
      </c>
      <c r="I125" s="399" t="s">
        <v>1239</v>
      </c>
      <c r="J125" s="399" t="s">
        <v>2326</v>
      </c>
      <c r="K125" s="786">
        <v>44531</v>
      </c>
      <c r="L125" s="399">
        <v>0</v>
      </c>
      <c r="M125" s="399">
        <v>0</v>
      </c>
      <c r="N125" s="399">
        <v>1188.22</v>
      </c>
      <c r="O125" s="399">
        <v>1188.22</v>
      </c>
      <c r="P125" s="399">
        <v>1188.22</v>
      </c>
      <c r="Q125" s="399">
        <v>1188.22</v>
      </c>
      <c r="R125" s="399"/>
      <c r="S125" s="399">
        <v>825.6</v>
      </c>
      <c r="T125" s="399">
        <v>185.74</v>
      </c>
      <c r="U125" s="399"/>
      <c r="V125" s="399">
        <v>1201694.4148000001</v>
      </c>
      <c r="W125" s="399">
        <v>1201694.4148000001</v>
      </c>
      <c r="X125" s="399">
        <v>747033.91399999999</v>
      </c>
      <c r="Y125" s="399">
        <v>0</v>
      </c>
      <c r="Z125" s="399">
        <v>74079.773249214297</v>
      </c>
      <c r="AA125" s="399">
        <v>0</v>
      </c>
      <c r="AB125" s="399">
        <v>0</v>
      </c>
      <c r="AC125" s="399">
        <v>0</v>
      </c>
      <c r="AD125" s="399">
        <v>154862.74000175809</v>
      </c>
      <c r="AE125" s="399">
        <v>697805.70110945252</v>
      </c>
      <c r="AF125" s="399">
        <v>220705.07781424528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11448.730471884288</v>
      </c>
      <c r="AM125" s="399"/>
      <c r="AN125" s="399">
        <v>2817.1120005580165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39984.195988014471</v>
      </c>
      <c r="BH125" s="399">
        <v>0</v>
      </c>
      <c r="BI125" s="399">
        <v>512.20000000000005</v>
      </c>
      <c r="BJ125" s="399">
        <v>2670.75</v>
      </c>
      <c r="BK125" s="399">
        <v>186926.97</v>
      </c>
      <c r="BL125" s="399">
        <v>8096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260689.27380225976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747033.91399999999</v>
      </c>
      <c r="CJ125" s="399">
        <v>-454660.53080000018</v>
      </c>
      <c r="CK125" s="399"/>
      <c r="CL125" s="399"/>
      <c r="CM125" s="399"/>
      <c r="CN125" s="399"/>
      <c r="CO125" s="399">
        <v>-454660.50080000004</v>
      </c>
      <c r="CP125" s="399">
        <v>0</v>
      </c>
      <c r="CQ125" s="399"/>
      <c r="CR125" s="399">
        <v>-19597.976942440378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-14256.139625008538</v>
      </c>
      <c r="DA125" s="399">
        <v>0</v>
      </c>
      <c r="DB125" s="399">
        <v>0</v>
      </c>
      <c r="DC125" s="399">
        <v>0</v>
      </c>
      <c r="DD125" s="399">
        <v>0</v>
      </c>
      <c r="DE125" s="399">
        <v>0</v>
      </c>
      <c r="DF125" s="399">
        <v>0</v>
      </c>
      <c r="DG125" s="399">
        <v>0</v>
      </c>
      <c r="DH125" s="399">
        <v>0</v>
      </c>
      <c r="DI125" s="399">
        <v>-4581.7365719851368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-613.79386199499459</v>
      </c>
      <c r="DP125" s="399">
        <v>-146.30688345168301</v>
      </c>
      <c r="DQ125" s="399">
        <v>0</v>
      </c>
      <c r="DR125" s="399">
        <v>0</v>
      </c>
      <c r="DS125" s="399"/>
      <c r="DT125" s="399"/>
      <c r="DU125" s="399"/>
      <c r="DV125" s="399">
        <v>697805.70110945252</v>
      </c>
      <c r="DW125" s="399">
        <v>0</v>
      </c>
      <c r="DX125" s="399">
        <v>0</v>
      </c>
      <c r="DY125" s="399">
        <v>-454660.50080000004</v>
      </c>
      <c r="DZ125" s="399">
        <v>0</v>
      </c>
      <c r="EA125" s="399">
        <v>0</v>
      </c>
      <c r="EB125" s="399">
        <v>0</v>
      </c>
      <c r="EC125" s="399">
        <v>-435065.74700075435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221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6" customFormat="1">
      <c r="A126" s="399">
        <v>125</v>
      </c>
      <c r="B126" s="399" t="s">
        <v>2329</v>
      </c>
      <c r="C126" s="399" t="s">
        <v>2328</v>
      </c>
      <c r="D126" s="399" t="s">
        <v>1821</v>
      </c>
      <c r="E126" s="399" t="s">
        <v>889</v>
      </c>
      <c r="F126" s="399" t="s">
        <v>889</v>
      </c>
      <c r="G126" s="399" t="s">
        <v>1239</v>
      </c>
      <c r="H126" s="399" t="s">
        <v>1239</v>
      </c>
      <c r="I126" s="399" t="s">
        <v>1239</v>
      </c>
      <c r="J126" s="399" t="s">
        <v>2326</v>
      </c>
      <c r="K126" s="786">
        <v>44531</v>
      </c>
      <c r="L126" s="399">
        <v>0</v>
      </c>
      <c r="M126" s="399">
        <v>0</v>
      </c>
      <c r="N126" s="399">
        <v>-7.8010000000000002</v>
      </c>
      <c r="O126" s="399">
        <v>-7.8010000000000002</v>
      </c>
      <c r="P126" s="399">
        <v>-7.8010000000000002</v>
      </c>
      <c r="Q126" s="399">
        <v>-7.8010000000000002</v>
      </c>
      <c r="R126" s="399"/>
      <c r="S126" s="399">
        <v>825.6</v>
      </c>
      <c r="T126" s="399">
        <v>185.74</v>
      </c>
      <c r="U126" s="399"/>
      <c r="V126" s="399">
        <v>-7889.4633400000002</v>
      </c>
      <c r="W126" s="399">
        <v>-7889.4633400000002</v>
      </c>
      <c r="X126" s="399">
        <v>-4904.4886999999999</v>
      </c>
      <c r="Y126" s="399">
        <v>0</v>
      </c>
      <c r="Z126" s="399">
        <v>-486.35464065334764</v>
      </c>
      <c r="AA126" s="399">
        <v>0</v>
      </c>
      <c r="AB126" s="399">
        <v>0</v>
      </c>
      <c r="AC126" s="399">
        <v>0</v>
      </c>
      <c r="AD126" s="399">
        <v>-1016.7176404653304</v>
      </c>
      <c r="AE126" s="399">
        <v>-4581.2915742495825</v>
      </c>
      <c r="AF126" s="399">
        <v>-1448.9911902079812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-75.164150082618818</v>
      </c>
      <c r="AM126" s="399"/>
      <c r="AN126" s="399">
        <v>-18.495136183832191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-262.507543133848</v>
      </c>
      <c r="BH126" s="399">
        <v>0</v>
      </c>
      <c r="BI126" s="399">
        <v>-3.67</v>
      </c>
      <c r="BJ126" s="399">
        <v>-17.66</v>
      </c>
      <c r="BK126" s="399">
        <v>-1973.27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-1711.4987333418292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-4903.8599999999997</v>
      </c>
      <c r="CJ126" s="399">
        <v>2985.5733399999999</v>
      </c>
      <c r="CK126" s="399"/>
      <c r="CL126" s="399"/>
      <c r="CM126" s="399"/>
      <c r="CN126" s="399"/>
      <c r="CO126" s="399">
        <v>2984.9746400000004</v>
      </c>
      <c r="CP126" s="399">
        <v>0</v>
      </c>
      <c r="CQ126" s="399"/>
      <c r="CR126" s="399">
        <v>128.66625551495281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93.595584331766531</v>
      </c>
      <c r="DA126" s="399">
        <v>0</v>
      </c>
      <c r="DB126" s="399">
        <v>0</v>
      </c>
      <c r="DC126" s="399">
        <v>0</v>
      </c>
      <c r="DD126" s="399">
        <v>0</v>
      </c>
      <c r="DE126" s="399">
        <v>0</v>
      </c>
      <c r="DF126" s="399">
        <v>0</v>
      </c>
      <c r="DG126" s="399">
        <v>0</v>
      </c>
      <c r="DH126" s="399">
        <v>0</v>
      </c>
      <c r="DI126" s="399">
        <v>30.080395043052704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4.0297301151495049</v>
      </c>
      <c r="DP126" s="399">
        <v>0.96054602498407604</v>
      </c>
      <c r="DQ126" s="399">
        <v>0</v>
      </c>
      <c r="DR126" s="399">
        <v>0</v>
      </c>
      <c r="DS126" s="399"/>
      <c r="DT126" s="399"/>
      <c r="DU126" s="399"/>
      <c r="DV126" s="399">
        <v>-4581.2915742495825</v>
      </c>
      <c r="DW126" s="399">
        <v>0</v>
      </c>
      <c r="DX126" s="399">
        <v>0</v>
      </c>
      <c r="DY126" s="399">
        <v>2984.9746400000004</v>
      </c>
      <c r="DZ126" s="399">
        <v>0</v>
      </c>
      <c r="EA126" s="399">
        <v>0</v>
      </c>
      <c r="EB126" s="399">
        <v>0</v>
      </c>
      <c r="EC126" s="399">
        <v>2856.3295453307337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221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6" customFormat="1">
      <c r="A127" s="399">
        <v>126</v>
      </c>
      <c r="B127" s="399" t="s">
        <v>2330</v>
      </c>
      <c r="C127" s="399" t="s">
        <v>2328</v>
      </c>
      <c r="D127" s="399" t="s">
        <v>1821</v>
      </c>
      <c r="E127" s="399" t="s">
        <v>889</v>
      </c>
      <c r="F127" s="399" t="s">
        <v>889</v>
      </c>
      <c r="G127" s="399" t="s">
        <v>1239</v>
      </c>
      <c r="H127" s="399" t="s">
        <v>1239</v>
      </c>
      <c r="I127" s="399" t="s">
        <v>1239</v>
      </c>
      <c r="J127" s="399" t="s">
        <v>2326</v>
      </c>
      <c r="K127" s="786">
        <v>44531</v>
      </c>
      <c r="L127" s="399">
        <v>0</v>
      </c>
      <c r="M127" s="399">
        <v>0</v>
      </c>
      <c r="N127" s="399">
        <v>7.101</v>
      </c>
      <c r="O127" s="399">
        <v>7.101</v>
      </c>
      <c r="P127" s="399">
        <v>7.101</v>
      </c>
      <c r="Q127" s="399">
        <v>7.101</v>
      </c>
      <c r="R127" s="399"/>
      <c r="S127" s="399">
        <v>825.6</v>
      </c>
      <c r="T127" s="399">
        <v>185.74</v>
      </c>
      <c r="U127" s="399"/>
      <c r="V127" s="399">
        <v>7181.5253400000001</v>
      </c>
      <c r="W127" s="399">
        <v>7181.5253400000001</v>
      </c>
      <c r="X127" s="399">
        <v>4464.3986999999997</v>
      </c>
      <c r="Y127" s="399">
        <v>0</v>
      </c>
      <c r="Z127" s="399">
        <v>442.7130243916705</v>
      </c>
      <c r="AA127" s="399">
        <v>0</v>
      </c>
      <c r="AB127" s="399">
        <v>0</v>
      </c>
      <c r="AC127" s="399">
        <v>0</v>
      </c>
      <c r="AD127" s="399">
        <v>925.48544608951556</v>
      </c>
      <c r="AE127" s="399">
        <v>4170.2027264128037</v>
      </c>
      <c r="AF127" s="399">
        <v>1318.9701886510543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68.419514131095525</v>
      </c>
      <c r="AM127" s="399"/>
      <c r="AN127" s="399">
        <v>16.835529040045174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238.95219379482819</v>
      </c>
      <c r="BH127" s="399">
        <v>0</v>
      </c>
      <c r="BI127" s="399">
        <v>2.31</v>
      </c>
      <c r="BJ127" s="399">
        <v>12.54</v>
      </c>
      <c r="BK127" s="399">
        <v>3518.31</v>
      </c>
      <c r="BL127" s="399">
        <v>58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1557.9223824458825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4463.7699999999995</v>
      </c>
      <c r="CJ127" s="399">
        <v>-2717.7853400000013</v>
      </c>
      <c r="CK127" s="399"/>
      <c r="CL127" s="399"/>
      <c r="CM127" s="399"/>
      <c r="CN127" s="399"/>
      <c r="CO127" s="399">
        <v>-2717.1266400000004</v>
      </c>
      <c r="CP127" s="399">
        <v>0</v>
      </c>
      <c r="CQ127" s="399"/>
      <c r="CR127" s="399">
        <v>-117.12076405738753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-85.197057343914139</v>
      </c>
      <c r="DA127" s="399">
        <v>0</v>
      </c>
      <c r="DB127" s="399">
        <v>0</v>
      </c>
      <c r="DC127" s="399">
        <v>0</v>
      </c>
      <c r="DD127" s="399">
        <v>0</v>
      </c>
      <c r="DE127" s="399">
        <v>0</v>
      </c>
      <c r="DF127" s="399">
        <v>0</v>
      </c>
      <c r="DG127" s="399">
        <v>0</v>
      </c>
      <c r="DH127" s="399">
        <v>0</v>
      </c>
      <c r="DI127" s="399">
        <v>-27.381218459263835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-3.6681340273909342</v>
      </c>
      <c r="DP127" s="399">
        <v>-0.87435422681860508</v>
      </c>
      <c r="DQ127" s="399">
        <v>0</v>
      </c>
      <c r="DR127" s="399">
        <v>0</v>
      </c>
      <c r="DS127" s="399"/>
      <c r="DT127" s="399"/>
      <c r="DU127" s="399"/>
      <c r="DV127" s="399">
        <v>4170.2027264128037</v>
      </c>
      <c r="DW127" s="399">
        <v>0</v>
      </c>
      <c r="DX127" s="399">
        <v>0</v>
      </c>
      <c r="DY127" s="399">
        <v>-2717.1266400000004</v>
      </c>
      <c r="DZ127" s="399">
        <v>0</v>
      </c>
      <c r="EA127" s="399">
        <v>0</v>
      </c>
      <c r="EB127" s="399">
        <v>0</v>
      </c>
      <c r="EC127" s="399">
        <v>-2600.0251379814813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221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6" customFormat="1">
      <c r="A128" s="399">
        <v>127</v>
      </c>
      <c r="B128" s="399" t="s">
        <v>956</v>
      </c>
      <c r="C128" s="399" t="s">
        <v>2328</v>
      </c>
      <c r="D128" s="399" t="s">
        <v>1821</v>
      </c>
      <c r="E128" s="399" t="s">
        <v>889</v>
      </c>
      <c r="F128" s="399" t="s">
        <v>2331</v>
      </c>
      <c r="G128" s="399" t="s">
        <v>1239</v>
      </c>
      <c r="H128" s="399" t="s">
        <v>1239</v>
      </c>
      <c r="I128" s="399" t="s">
        <v>1239</v>
      </c>
      <c r="J128" s="399" t="s">
        <v>2326</v>
      </c>
      <c r="K128" s="786">
        <v>44531</v>
      </c>
      <c r="L128" s="399">
        <v>0</v>
      </c>
      <c r="M128" s="399">
        <v>0</v>
      </c>
      <c r="N128" s="399">
        <v>6.03</v>
      </c>
      <c r="O128" s="399">
        <v>6.03</v>
      </c>
      <c r="P128" s="399">
        <v>6.03</v>
      </c>
      <c r="Q128" s="399">
        <v>6.03</v>
      </c>
      <c r="R128" s="399"/>
      <c r="S128" s="399">
        <v>753.62</v>
      </c>
      <c r="T128" s="399">
        <v>185.74</v>
      </c>
      <c r="U128" s="399"/>
      <c r="V128" s="399">
        <v>5664.3407999999999</v>
      </c>
      <c r="W128" s="399">
        <v>5664.3407999999999</v>
      </c>
      <c r="X128" s="399">
        <v>3383.3727000000003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785.90018869451899</v>
      </c>
      <c r="AE128" s="399">
        <v>3541.2367892225334</v>
      </c>
      <c r="AF128" s="399">
        <v>1120.0380562689561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14.296330110051034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202.91250930612787</v>
      </c>
      <c r="BH128" s="399">
        <v>0</v>
      </c>
      <c r="BI128" s="399">
        <v>0</v>
      </c>
      <c r="BJ128" s="399">
        <v>4.0199999999999996</v>
      </c>
      <c r="BK128" s="399">
        <v>161.47</v>
      </c>
      <c r="BL128" s="399">
        <v>12</v>
      </c>
      <c r="BM128" s="399"/>
      <c r="BN128" s="399"/>
      <c r="BO128" s="399"/>
      <c r="BP128" s="399"/>
      <c r="BQ128" s="399"/>
      <c r="BR128" s="399"/>
      <c r="BS128" s="399"/>
      <c r="BT128" s="399">
        <v>2199.2013000000002</v>
      </c>
      <c r="BU128" s="399"/>
      <c r="BV128" s="399">
        <v>1322.9505655750841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1184.1714000000002</v>
      </c>
      <c r="CJ128" s="399">
        <v>-798.40199999999982</v>
      </c>
      <c r="CK128" s="399"/>
      <c r="CL128" s="399"/>
      <c r="CM128" s="399"/>
      <c r="CN128" s="399"/>
      <c r="CO128" s="399">
        <v>-2280.9681</v>
      </c>
      <c r="CP128" s="399">
        <v>0</v>
      </c>
      <c r="CQ128" s="399"/>
      <c r="CR128" s="399">
        <v>-73.089791828125726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-72.347311052500004</v>
      </c>
      <c r="DA128" s="399">
        <v>0</v>
      </c>
      <c r="DB128" s="399">
        <v>0</v>
      </c>
      <c r="DC128" s="399">
        <v>0</v>
      </c>
      <c r="DD128" s="399">
        <v>0</v>
      </c>
      <c r="DE128" s="399">
        <v>0</v>
      </c>
      <c r="DF128" s="399">
        <v>0</v>
      </c>
      <c r="DG128" s="399">
        <v>0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0</v>
      </c>
      <c r="DP128" s="399">
        <v>-0.74248077562543102</v>
      </c>
      <c r="DQ128" s="399">
        <v>0</v>
      </c>
      <c r="DR128" s="399">
        <v>0</v>
      </c>
      <c r="DS128" s="399"/>
      <c r="DT128" s="399"/>
      <c r="DU128" s="399"/>
      <c r="DV128" s="399">
        <v>3541.2367892225334</v>
      </c>
      <c r="DW128" s="399">
        <v>0</v>
      </c>
      <c r="DX128" s="399">
        <v>0</v>
      </c>
      <c r="DY128" s="399">
        <v>-2280.9680999999996</v>
      </c>
      <c r="DZ128" s="399">
        <v>0</v>
      </c>
      <c r="EA128" s="399">
        <v>0</v>
      </c>
      <c r="EB128" s="399">
        <v>0</v>
      </c>
      <c r="EC128" s="399">
        <v>-2207.8793947371264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221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6" customFormat="1">
      <c r="A129" s="399">
        <v>128</v>
      </c>
      <c r="B129" s="399" t="s">
        <v>2330</v>
      </c>
      <c r="C129" s="399" t="s">
        <v>2328</v>
      </c>
      <c r="D129" s="399" t="s">
        <v>1821</v>
      </c>
      <c r="E129" s="399" t="s">
        <v>889</v>
      </c>
      <c r="F129" s="399" t="s">
        <v>2331</v>
      </c>
      <c r="G129" s="399" t="s">
        <v>1239</v>
      </c>
      <c r="H129" s="399" t="s">
        <v>1239</v>
      </c>
      <c r="I129" s="399" t="s">
        <v>1239</v>
      </c>
      <c r="J129" s="399" t="s">
        <v>2326</v>
      </c>
      <c r="K129" s="786">
        <v>44531</v>
      </c>
      <c r="L129" s="399">
        <v>0</v>
      </c>
      <c r="M129" s="399">
        <v>0</v>
      </c>
      <c r="N129" s="399">
        <v>0</v>
      </c>
      <c r="O129" s="399">
        <v>0</v>
      </c>
      <c r="P129" s="399">
        <v>0</v>
      </c>
      <c r="Q129" s="399">
        <v>0</v>
      </c>
      <c r="R129" s="399"/>
      <c r="S129" s="399"/>
      <c r="T129" s="399"/>
      <c r="U129" s="399"/>
      <c r="V129" s="399"/>
      <c r="W129" s="399"/>
      <c r="X129" s="399"/>
      <c r="Y129" s="399"/>
      <c r="Z129" s="399"/>
      <c r="AA129" s="399">
        <v>0</v>
      </c>
      <c r="AB129" s="399"/>
      <c r="AC129" s="399"/>
      <c r="AD129" s="399"/>
      <c r="AE129" s="399"/>
      <c r="AF129" s="399"/>
      <c r="AG129" s="399"/>
      <c r="AH129" s="399"/>
      <c r="AI129" s="399"/>
      <c r="AJ129" s="399"/>
      <c r="AK129" s="399"/>
      <c r="AL129" s="399"/>
      <c r="AM129" s="399"/>
      <c r="AN129" s="399"/>
      <c r="AO129" s="399"/>
      <c r="AP129" s="399"/>
      <c r="AQ129" s="399"/>
      <c r="AR129" s="399"/>
      <c r="AS129" s="399"/>
      <c r="AT129" s="399"/>
      <c r="AU129" s="399"/>
      <c r="AV129" s="399"/>
      <c r="AW129" s="399"/>
      <c r="AX129" s="399"/>
      <c r="AY129" s="399"/>
      <c r="AZ129" s="399">
        <v>0</v>
      </c>
      <c r="BA129" s="399"/>
      <c r="BB129" s="399"/>
      <c r="BC129" s="399"/>
      <c r="BD129" s="399"/>
      <c r="BE129" s="399"/>
      <c r="BF129" s="399"/>
      <c r="BG129" s="399"/>
      <c r="BH129" s="399"/>
      <c r="BI129" s="399">
        <v>0</v>
      </c>
      <c r="BJ129" s="399">
        <v>0</v>
      </c>
      <c r="BK129" s="399">
        <v>0.8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/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/>
      <c r="CJ129" s="399">
        <v>-0.03</v>
      </c>
      <c r="CK129" s="399"/>
      <c r="CL129" s="399"/>
      <c r="CM129" s="399"/>
      <c r="CN129" s="399"/>
      <c r="CO129" s="399">
        <v>0</v>
      </c>
      <c r="CP129" s="399">
        <v>0</v>
      </c>
      <c r="CQ129" s="399"/>
      <c r="CR129" s="399"/>
      <c r="CS129" s="399"/>
      <c r="CT129" s="399"/>
      <c r="CU129" s="399"/>
      <c r="CV129" s="399"/>
      <c r="CW129" s="399"/>
      <c r="CX129" s="399"/>
      <c r="CY129" s="399"/>
      <c r="CZ129" s="399"/>
      <c r="DA129" s="399"/>
      <c r="DB129" s="399"/>
      <c r="DC129" s="399"/>
      <c r="DD129" s="399"/>
      <c r="DE129" s="399"/>
      <c r="DF129" s="399"/>
      <c r="DG129" s="399"/>
      <c r="DH129" s="399"/>
      <c r="DI129" s="399"/>
      <c r="DJ129" s="399"/>
      <c r="DK129" s="399">
        <v>0</v>
      </c>
      <c r="DL129" s="399"/>
      <c r="DM129" s="399"/>
      <c r="DN129" s="399"/>
      <c r="DO129" s="399"/>
      <c r="DP129" s="399"/>
      <c r="DQ129" s="399"/>
      <c r="DR129" s="399"/>
      <c r="DS129" s="399"/>
      <c r="DT129" s="399"/>
      <c r="DU129" s="399"/>
      <c r="DV129" s="399"/>
      <c r="DW129" s="399"/>
      <c r="DX129" s="399"/>
      <c r="DY129" s="399"/>
      <c r="DZ129" s="399"/>
      <c r="EA129" s="399"/>
      <c r="EB129" s="399"/>
      <c r="EC129" s="399"/>
      <c r="ED129" s="399"/>
      <c r="EE129" s="399"/>
      <c r="EF129" s="399"/>
      <c r="EG129" s="399"/>
      <c r="EH129" s="399"/>
      <c r="EI129" s="399"/>
      <c r="EJ129" s="399"/>
      <c r="EK129" s="399"/>
      <c r="EL129" s="399"/>
      <c r="EM129" s="399"/>
      <c r="EN129" s="399"/>
      <c r="EO129" s="399"/>
      <c r="EP129" s="399"/>
      <c r="EQ129" s="399"/>
      <c r="ER129" s="399"/>
      <c r="ES129" s="399"/>
      <c r="ET129" s="399"/>
      <c r="EU129" s="399"/>
      <c r="EV129" s="399">
        <v>221</v>
      </c>
      <c r="EW129" s="399"/>
      <c r="EX129" s="399"/>
      <c r="EY129" s="399"/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6" customFormat="1">
      <c r="A130" s="399">
        <v>129</v>
      </c>
      <c r="B130" s="399" t="s">
        <v>956</v>
      </c>
      <c r="C130" s="399" t="s">
        <v>2328</v>
      </c>
      <c r="D130" s="399" t="s">
        <v>1821</v>
      </c>
      <c r="E130" s="399" t="s">
        <v>889</v>
      </c>
      <c r="F130" s="399" t="s">
        <v>2332</v>
      </c>
      <c r="G130" s="399" t="s">
        <v>1239</v>
      </c>
      <c r="H130" s="399" t="s">
        <v>1239</v>
      </c>
      <c r="I130" s="399" t="s">
        <v>1239</v>
      </c>
      <c r="J130" s="399" t="s">
        <v>2326</v>
      </c>
      <c r="K130" s="786">
        <v>44531</v>
      </c>
      <c r="L130" s="399">
        <v>0</v>
      </c>
      <c r="M130" s="399">
        <v>0</v>
      </c>
      <c r="N130" s="399">
        <v>12.305999999999999</v>
      </c>
      <c r="O130" s="399">
        <v>12.305999999999999</v>
      </c>
      <c r="P130" s="399">
        <v>12.305999999999999</v>
      </c>
      <c r="Q130" s="399">
        <v>12.305999999999999</v>
      </c>
      <c r="R130" s="399"/>
      <c r="S130" s="399">
        <v>753.62</v>
      </c>
      <c r="T130" s="399">
        <v>185.74</v>
      </c>
      <c r="U130" s="399"/>
      <c r="V130" s="399">
        <v>11559.764159999999</v>
      </c>
      <c r="W130" s="399">
        <v>11559.764159999999</v>
      </c>
      <c r="X130" s="399">
        <v>6904.7735400000001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1603.8619771268241</v>
      </c>
      <c r="AE130" s="399">
        <v>7226.9419449705629</v>
      </c>
      <c r="AF130" s="399">
        <v>2285.7692073707749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29.175893587775789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414.10304137996843</v>
      </c>
      <c r="BH130" s="399">
        <v>0</v>
      </c>
      <c r="BI130" s="399">
        <v>1.81</v>
      </c>
      <c r="BJ130" s="399">
        <v>12.27</v>
      </c>
      <c r="BK130" s="399">
        <v>571</v>
      </c>
      <c r="BL130" s="399">
        <v>36</v>
      </c>
      <c r="BM130" s="399"/>
      <c r="BN130" s="399"/>
      <c r="BO130" s="399"/>
      <c r="BP130" s="399"/>
      <c r="BQ130" s="399"/>
      <c r="BR130" s="399"/>
      <c r="BS130" s="399"/>
      <c r="BT130" s="399">
        <v>2761.8355799999999</v>
      </c>
      <c r="BU130" s="399"/>
      <c r="BV130" s="399">
        <v>2699.8722487507434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4144.2846000000009</v>
      </c>
      <c r="CJ130" s="399">
        <v>-2791.6531199999999</v>
      </c>
      <c r="CK130" s="399"/>
      <c r="CL130" s="399"/>
      <c r="CM130" s="399"/>
      <c r="CN130" s="399"/>
      <c r="CO130" s="399">
        <v>-4654.9906199999996</v>
      </c>
      <c r="CP130" s="399">
        <v>0</v>
      </c>
      <c r="CQ130" s="399"/>
      <c r="CR130" s="399">
        <v>-149.16135625819516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-147.64610444644518</v>
      </c>
      <c r="DA130" s="399">
        <v>0</v>
      </c>
      <c r="DB130" s="399">
        <v>0</v>
      </c>
      <c r="DC130" s="399">
        <v>0</v>
      </c>
      <c r="DD130" s="399">
        <v>0</v>
      </c>
      <c r="DE130" s="399">
        <v>0</v>
      </c>
      <c r="DF130" s="399">
        <v>0</v>
      </c>
      <c r="DG130" s="399">
        <v>0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0</v>
      </c>
      <c r="DP130" s="399">
        <v>-1.5152518117490139</v>
      </c>
      <c r="DQ130" s="399">
        <v>0</v>
      </c>
      <c r="DR130" s="399">
        <v>0</v>
      </c>
      <c r="DS130" s="399"/>
      <c r="DT130" s="399"/>
      <c r="DU130" s="399"/>
      <c r="DV130" s="399">
        <v>7226.9419449705629</v>
      </c>
      <c r="DW130" s="399">
        <v>0</v>
      </c>
      <c r="DX130" s="399">
        <v>0</v>
      </c>
      <c r="DY130" s="399">
        <v>-4654.9906199999987</v>
      </c>
      <c r="DZ130" s="399">
        <v>0</v>
      </c>
      <c r="EA130" s="399">
        <v>0</v>
      </c>
      <c r="EB130" s="399">
        <v>0</v>
      </c>
      <c r="EC130" s="399">
        <v>-4505.8314811998471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221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6" customFormat="1">
      <c r="A131" s="399">
        <v>130</v>
      </c>
      <c r="B131" s="399" t="s">
        <v>2330</v>
      </c>
      <c r="C131" s="399" t="s">
        <v>2328</v>
      </c>
      <c r="D131" s="399" t="s">
        <v>1821</v>
      </c>
      <c r="E131" s="399" t="s">
        <v>889</v>
      </c>
      <c r="F131" s="399" t="s">
        <v>2332</v>
      </c>
      <c r="G131" s="399" t="s">
        <v>1239</v>
      </c>
      <c r="H131" s="399" t="s">
        <v>1239</v>
      </c>
      <c r="I131" s="399" t="s">
        <v>1239</v>
      </c>
      <c r="J131" s="399" t="s">
        <v>2326</v>
      </c>
      <c r="K131" s="786">
        <v>44531</v>
      </c>
      <c r="L131" s="399">
        <v>0</v>
      </c>
      <c r="M131" s="399">
        <v>0</v>
      </c>
      <c r="N131" s="399">
        <v>0</v>
      </c>
      <c r="O131" s="399">
        <v>0</v>
      </c>
      <c r="P131" s="399">
        <v>0</v>
      </c>
      <c r="Q131" s="399">
        <v>0</v>
      </c>
      <c r="R131" s="399"/>
      <c r="S131" s="399"/>
      <c r="T131" s="399"/>
      <c r="U131" s="399"/>
      <c r="V131" s="399"/>
      <c r="W131" s="399"/>
      <c r="X131" s="399"/>
      <c r="Y131" s="399"/>
      <c r="Z131" s="399"/>
      <c r="AA131" s="399">
        <v>0</v>
      </c>
      <c r="AB131" s="399"/>
      <c r="AC131" s="399"/>
      <c r="AD131" s="399"/>
      <c r="AE131" s="399"/>
      <c r="AF131" s="399"/>
      <c r="AG131" s="399"/>
      <c r="AH131" s="399"/>
      <c r="AI131" s="399"/>
      <c r="AJ131" s="399"/>
      <c r="AK131" s="399"/>
      <c r="AL131" s="399"/>
      <c r="AM131" s="399"/>
      <c r="AN131" s="399"/>
      <c r="AO131" s="399"/>
      <c r="AP131" s="399"/>
      <c r="AQ131" s="399"/>
      <c r="AR131" s="399"/>
      <c r="AS131" s="399"/>
      <c r="AT131" s="399"/>
      <c r="AU131" s="399"/>
      <c r="AV131" s="399"/>
      <c r="AW131" s="399"/>
      <c r="AX131" s="399"/>
      <c r="AY131" s="399"/>
      <c r="AZ131" s="399">
        <v>0</v>
      </c>
      <c r="BA131" s="399"/>
      <c r="BB131" s="399"/>
      <c r="BC131" s="399"/>
      <c r="BD131" s="399"/>
      <c r="BE131" s="399"/>
      <c r="BF131" s="399"/>
      <c r="BG131" s="399"/>
      <c r="BH131" s="399"/>
      <c r="BI131" s="399">
        <v>0</v>
      </c>
      <c r="BJ131" s="399">
        <v>0</v>
      </c>
      <c r="BK131" s="399">
        <v>3.21</v>
      </c>
      <c r="BL131" s="399">
        <v>0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/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/>
      <c r="CJ131" s="399">
        <v>-0.03</v>
      </c>
      <c r="CK131" s="399"/>
      <c r="CL131" s="399"/>
      <c r="CM131" s="399"/>
      <c r="CN131" s="399"/>
      <c r="CO131" s="399">
        <v>0</v>
      </c>
      <c r="CP131" s="399">
        <v>0</v>
      </c>
      <c r="CQ131" s="399"/>
      <c r="CR131" s="399"/>
      <c r="CS131" s="399"/>
      <c r="CT131" s="399"/>
      <c r="CU131" s="399"/>
      <c r="CV131" s="399"/>
      <c r="CW131" s="399"/>
      <c r="CX131" s="399"/>
      <c r="CY131" s="399"/>
      <c r="CZ131" s="399"/>
      <c r="DA131" s="399"/>
      <c r="DB131" s="399"/>
      <c r="DC131" s="399"/>
      <c r="DD131" s="399"/>
      <c r="DE131" s="399"/>
      <c r="DF131" s="399"/>
      <c r="DG131" s="399"/>
      <c r="DH131" s="399"/>
      <c r="DI131" s="399"/>
      <c r="DJ131" s="399"/>
      <c r="DK131" s="399">
        <v>0</v>
      </c>
      <c r="DL131" s="399"/>
      <c r="DM131" s="399"/>
      <c r="DN131" s="399"/>
      <c r="DO131" s="399"/>
      <c r="DP131" s="399"/>
      <c r="DQ131" s="399"/>
      <c r="DR131" s="399"/>
      <c r="DS131" s="399"/>
      <c r="DT131" s="399"/>
      <c r="DU131" s="399"/>
      <c r="DV131" s="399"/>
      <c r="DW131" s="399"/>
      <c r="DX131" s="399"/>
      <c r="DY131" s="399"/>
      <c r="DZ131" s="399"/>
      <c r="EA131" s="399"/>
      <c r="EB131" s="399"/>
      <c r="EC131" s="399"/>
      <c r="ED131" s="399"/>
      <c r="EE131" s="399"/>
      <c r="EF131" s="399"/>
      <c r="EG131" s="399"/>
      <c r="EH131" s="399"/>
      <c r="EI131" s="399"/>
      <c r="EJ131" s="399"/>
      <c r="EK131" s="399"/>
      <c r="EL131" s="399"/>
      <c r="EM131" s="399"/>
      <c r="EN131" s="399"/>
      <c r="EO131" s="399"/>
      <c r="EP131" s="399"/>
      <c r="EQ131" s="399"/>
      <c r="ER131" s="399"/>
      <c r="ES131" s="399"/>
      <c r="ET131" s="399"/>
      <c r="EU131" s="399"/>
      <c r="EV131" s="399">
        <v>221</v>
      </c>
      <c r="EW131" s="399"/>
      <c r="EX131" s="399"/>
      <c r="EY131" s="399"/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6" customFormat="1">
      <c r="A132" s="399">
        <v>131</v>
      </c>
      <c r="B132" s="399" t="s">
        <v>956</v>
      </c>
      <c r="C132" s="399" t="s">
        <v>2328</v>
      </c>
      <c r="D132" s="399" t="s">
        <v>1821</v>
      </c>
      <c r="E132" s="399" t="s">
        <v>889</v>
      </c>
      <c r="F132" s="399" t="s">
        <v>2333</v>
      </c>
      <c r="G132" s="399" t="s">
        <v>1239</v>
      </c>
      <c r="H132" s="399" t="s">
        <v>1239</v>
      </c>
      <c r="I132" s="399" t="s">
        <v>1239</v>
      </c>
      <c r="J132" s="399" t="s">
        <v>2326</v>
      </c>
      <c r="K132" s="786">
        <v>44531</v>
      </c>
      <c r="L132" s="399">
        <v>0</v>
      </c>
      <c r="M132" s="399">
        <v>0</v>
      </c>
      <c r="N132" s="399">
        <v>11.436999999999999</v>
      </c>
      <c r="O132" s="399">
        <v>11.436999999999999</v>
      </c>
      <c r="P132" s="399">
        <v>11.436999999999999</v>
      </c>
      <c r="Q132" s="399">
        <v>11.436999999999999</v>
      </c>
      <c r="R132" s="399"/>
      <c r="S132" s="399">
        <v>753.62</v>
      </c>
      <c r="T132" s="399">
        <v>185.74</v>
      </c>
      <c r="U132" s="399"/>
      <c r="V132" s="399">
        <v>10743.46032</v>
      </c>
      <c r="W132" s="399">
        <v>10743.46032</v>
      </c>
      <c r="X132" s="399">
        <v>6417.1863300000005</v>
      </c>
      <c r="Y132" s="399">
        <v>0</v>
      </c>
      <c r="Z132" s="399">
        <v>0</v>
      </c>
      <c r="AA132" s="399">
        <v>0</v>
      </c>
      <c r="AB132" s="399">
        <v>0</v>
      </c>
      <c r="AC132" s="399">
        <v>0</v>
      </c>
      <c r="AD132" s="399">
        <v>1490.6037243945627</v>
      </c>
      <c r="AE132" s="399">
        <v>6716.6045038703332</v>
      </c>
      <c r="AF132" s="399">
        <v>2124.3574211522473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0</v>
      </c>
      <c r="AM132" s="399"/>
      <c r="AN132" s="399">
        <v>27.11560986213162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384.8607577005281</v>
      </c>
      <c r="BH132" s="399">
        <v>0</v>
      </c>
      <c r="BI132" s="399">
        <v>3.79</v>
      </c>
      <c r="BJ132" s="399">
        <v>17.02</v>
      </c>
      <c r="BK132" s="399">
        <v>1329.97</v>
      </c>
      <c r="BL132" s="399">
        <v>111</v>
      </c>
      <c r="BM132" s="399"/>
      <c r="BN132" s="399"/>
      <c r="BO132" s="399"/>
      <c r="BP132" s="399"/>
      <c r="BQ132" s="399"/>
      <c r="BR132" s="399"/>
      <c r="BS132" s="399"/>
      <c r="BT132" s="399">
        <v>641.61570000000052</v>
      </c>
      <c r="BU132" s="399"/>
      <c r="BV132" s="399">
        <v>2509.2181788527755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5777.0855999999994</v>
      </c>
      <c r="CJ132" s="399">
        <v>-3892.1273100000008</v>
      </c>
      <c r="CK132" s="399"/>
      <c r="CL132" s="399"/>
      <c r="CM132" s="399"/>
      <c r="CN132" s="399"/>
      <c r="CO132" s="399">
        <v>-4326.2739899999997</v>
      </c>
      <c r="CP132" s="399">
        <v>0</v>
      </c>
      <c r="CQ132" s="399"/>
      <c r="CR132" s="399">
        <v>-138.62818393669477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-137.21993308581136</v>
      </c>
      <c r="DA132" s="399">
        <v>0</v>
      </c>
      <c r="DB132" s="399">
        <v>0</v>
      </c>
      <c r="DC132" s="399">
        <v>0</v>
      </c>
      <c r="DD132" s="399">
        <v>0</v>
      </c>
      <c r="DE132" s="399">
        <v>0</v>
      </c>
      <c r="DF132" s="399">
        <v>0</v>
      </c>
      <c r="DG132" s="399">
        <v>0</v>
      </c>
      <c r="DH132" s="399">
        <v>0</v>
      </c>
      <c r="DI132" s="399">
        <v>0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0</v>
      </c>
      <c r="DP132" s="399">
        <v>-1.4082508508835936</v>
      </c>
      <c r="DQ132" s="399">
        <v>0</v>
      </c>
      <c r="DR132" s="399">
        <v>0</v>
      </c>
      <c r="DS132" s="399"/>
      <c r="DT132" s="399"/>
      <c r="DU132" s="399"/>
      <c r="DV132" s="399">
        <v>6716.6045038703332</v>
      </c>
      <c r="DW132" s="399">
        <v>0</v>
      </c>
      <c r="DX132" s="399">
        <v>0</v>
      </c>
      <c r="DY132" s="399">
        <v>-4326.2739899999997</v>
      </c>
      <c r="DZ132" s="399">
        <v>0</v>
      </c>
      <c r="EA132" s="399">
        <v>0</v>
      </c>
      <c r="EB132" s="399">
        <v>0</v>
      </c>
      <c r="EC132" s="399">
        <v>-4187.6478669334183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221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132</v>
      </c>
      <c r="B133" s="399" t="s">
        <v>2330</v>
      </c>
      <c r="C133" s="399" t="s">
        <v>2328</v>
      </c>
      <c r="D133" s="399" t="s">
        <v>1821</v>
      </c>
      <c r="E133" s="399" t="s">
        <v>889</v>
      </c>
      <c r="F133" s="399" t="s">
        <v>2333</v>
      </c>
      <c r="G133" s="399" t="s">
        <v>1239</v>
      </c>
      <c r="H133" s="399" t="s">
        <v>1239</v>
      </c>
      <c r="I133" s="399" t="s">
        <v>1239</v>
      </c>
      <c r="J133" s="399" t="s">
        <v>2326</v>
      </c>
      <c r="K133" s="786">
        <v>44531</v>
      </c>
      <c r="L133" s="399">
        <v>0</v>
      </c>
      <c r="M133" s="399">
        <v>0</v>
      </c>
      <c r="N133" s="399">
        <v>0</v>
      </c>
      <c r="O133" s="399">
        <v>0</v>
      </c>
      <c r="P133" s="399">
        <v>0</v>
      </c>
      <c r="Q133" s="399">
        <v>0</v>
      </c>
      <c r="R133" s="399"/>
      <c r="S133" s="399"/>
      <c r="T133" s="399"/>
      <c r="U133" s="399"/>
      <c r="V133" s="399"/>
      <c r="W133" s="399"/>
      <c r="X133" s="399"/>
      <c r="Y133" s="399"/>
      <c r="Z133" s="399"/>
      <c r="AA133" s="399">
        <v>0</v>
      </c>
      <c r="AB133" s="399"/>
      <c r="AC133" s="399"/>
      <c r="AD133" s="399"/>
      <c r="AE133" s="399"/>
      <c r="AF133" s="399"/>
      <c r="AG133" s="399"/>
      <c r="AH133" s="399"/>
      <c r="AI133" s="399"/>
      <c r="AJ133" s="399"/>
      <c r="AK133" s="399"/>
      <c r="AL133" s="399"/>
      <c r="AM133" s="399"/>
      <c r="AN133" s="399"/>
      <c r="AO133" s="399"/>
      <c r="AP133" s="399"/>
      <c r="AQ133" s="399"/>
      <c r="AR133" s="399"/>
      <c r="AS133" s="399"/>
      <c r="AT133" s="399"/>
      <c r="AU133" s="399"/>
      <c r="AV133" s="399"/>
      <c r="AW133" s="399"/>
      <c r="AX133" s="399"/>
      <c r="AY133" s="399"/>
      <c r="AZ133" s="399">
        <v>0</v>
      </c>
      <c r="BA133" s="399"/>
      <c r="BB133" s="399"/>
      <c r="BC133" s="399"/>
      <c r="BD133" s="399"/>
      <c r="BE133" s="399"/>
      <c r="BF133" s="399"/>
      <c r="BG133" s="399"/>
      <c r="BH133" s="399"/>
      <c r="BI133" s="399">
        <v>0</v>
      </c>
      <c r="BJ133" s="399">
        <v>0</v>
      </c>
      <c r="BK133" s="399">
        <v>4.8499999999999996</v>
      </c>
      <c r="BL133" s="399">
        <v>1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/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/>
      <c r="CJ133" s="399">
        <v>-0.03</v>
      </c>
      <c r="CK133" s="399"/>
      <c r="CL133" s="399"/>
      <c r="CM133" s="399"/>
      <c r="CN133" s="399"/>
      <c r="CO133" s="399">
        <v>0</v>
      </c>
      <c r="CP133" s="399">
        <v>0</v>
      </c>
      <c r="CQ133" s="399"/>
      <c r="CR133" s="399"/>
      <c r="CS133" s="399"/>
      <c r="CT133" s="399"/>
      <c r="CU133" s="399"/>
      <c r="CV133" s="399"/>
      <c r="CW133" s="399"/>
      <c r="CX133" s="399"/>
      <c r="CY133" s="399"/>
      <c r="CZ133" s="399"/>
      <c r="DA133" s="399"/>
      <c r="DB133" s="399"/>
      <c r="DC133" s="399"/>
      <c r="DD133" s="399"/>
      <c r="DE133" s="399"/>
      <c r="DF133" s="399"/>
      <c r="DG133" s="399"/>
      <c r="DH133" s="399"/>
      <c r="DI133" s="399"/>
      <c r="DJ133" s="399"/>
      <c r="DK133" s="399">
        <v>0</v>
      </c>
      <c r="DL133" s="399"/>
      <c r="DM133" s="399"/>
      <c r="DN133" s="399"/>
      <c r="DO133" s="399"/>
      <c r="DP133" s="399"/>
      <c r="DQ133" s="399"/>
      <c r="DR133" s="399"/>
      <c r="DS133" s="399"/>
      <c r="DT133" s="399"/>
      <c r="DU133" s="399"/>
      <c r="DV133" s="399"/>
      <c r="DW133" s="399"/>
      <c r="DX133" s="399"/>
      <c r="DY133" s="399"/>
      <c r="DZ133" s="399"/>
      <c r="EA133" s="399"/>
      <c r="EB133" s="399"/>
      <c r="EC133" s="399"/>
      <c r="ED133" s="399"/>
      <c r="EE133" s="399"/>
      <c r="EF133" s="399"/>
      <c r="EG133" s="399"/>
      <c r="EH133" s="399"/>
      <c r="EI133" s="399"/>
      <c r="EJ133" s="399"/>
      <c r="EK133" s="399"/>
      <c r="EL133" s="399"/>
      <c r="EM133" s="399"/>
      <c r="EN133" s="399"/>
      <c r="EO133" s="399"/>
      <c r="EP133" s="399"/>
      <c r="EQ133" s="399"/>
      <c r="ER133" s="399"/>
      <c r="ES133" s="399"/>
      <c r="ET133" s="399"/>
      <c r="EU133" s="399"/>
      <c r="EV133" s="399">
        <v>221</v>
      </c>
      <c r="EW133" s="399"/>
      <c r="EX133" s="399"/>
      <c r="EY133" s="399"/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133</v>
      </c>
      <c r="B134" s="399" t="s">
        <v>956</v>
      </c>
      <c r="C134" s="399" t="s">
        <v>2328</v>
      </c>
      <c r="D134" s="399" t="s">
        <v>1821</v>
      </c>
      <c r="E134" s="399" t="s">
        <v>889</v>
      </c>
      <c r="F134" s="399" t="s">
        <v>2334</v>
      </c>
      <c r="G134" s="399" t="s">
        <v>1239</v>
      </c>
      <c r="H134" s="399" t="s">
        <v>1239</v>
      </c>
      <c r="I134" s="399" t="s">
        <v>1239</v>
      </c>
      <c r="J134" s="399" t="s">
        <v>2326</v>
      </c>
      <c r="K134" s="786">
        <v>44531</v>
      </c>
      <c r="L134" s="399">
        <v>0</v>
      </c>
      <c r="M134" s="399">
        <v>0</v>
      </c>
      <c r="N134" s="399">
        <v>2.5059999999999998</v>
      </c>
      <c r="O134" s="399">
        <v>2.5059999999999998</v>
      </c>
      <c r="P134" s="399">
        <v>2.5059999999999998</v>
      </c>
      <c r="Q134" s="399">
        <v>2.5059999999999998</v>
      </c>
      <c r="R134" s="399"/>
      <c r="S134" s="399">
        <v>753.62</v>
      </c>
      <c r="T134" s="399">
        <v>185.74</v>
      </c>
      <c r="U134" s="399"/>
      <c r="V134" s="399">
        <v>2354.0361599999997</v>
      </c>
      <c r="W134" s="399">
        <v>2354.0361599999997</v>
      </c>
      <c r="X134" s="399">
        <v>1406.0915399999999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326.61125586541698</v>
      </c>
      <c r="AE134" s="399">
        <v>1471.6980752556663</v>
      </c>
      <c r="AF134" s="399">
        <v>465.47518557379829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0</v>
      </c>
      <c r="AM134" s="399"/>
      <c r="AN134" s="399">
        <v>5.9413935747575275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84.328150633690953</v>
      </c>
      <c r="BH134" s="399">
        <v>0</v>
      </c>
      <c r="BI134" s="399">
        <v>1.19</v>
      </c>
      <c r="BJ134" s="399">
        <v>4.3600000000000003</v>
      </c>
      <c r="BK134" s="399">
        <v>499.08</v>
      </c>
      <c r="BL134" s="399">
        <v>43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549.80333620748922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1408.3359</v>
      </c>
      <c r="CJ134" s="399">
        <v>-945.73026000000027</v>
      </c>
      <c r="CK134" s="399"/>
      <c r="CL134" s="399"/>
      <c r="CM134" s="399"/>
      <c r="CN134" s="399"/>
      <c r="CO134" s="399">
        <v>-947.94461999999987</v>
      </c>
      <c r="CP134" s="399">
        <v>0</v>
      </c>
      <c r="CQ134" s="399"/>
      <c r="CR134" s="399">
        <v>-30.375293253943937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-30.06672661651163</v>
      </c>
      <c r="DA134" s="399">
        <v>0</v>
      </c>
      <c r="DB134" s="399">
        <v>0</v>
      </c>
      <c r="DC134" s="399">
        <v>0</v>
      </c>
      <c r="DD134" s="399">
        <v>0</v>
      </c>
      <c r="DE134" s="399">
        <v>0</v>
      </c>
      <c r="DF134" s="399">
        <v>0</v>
      </c>
      <c r="DG134" s="399">
        <v>0</v>
      </c>
      <c r="DH134" s="399">
        <v>0</v>
      </c>
      <c r="DI134" s="399">
        <v>0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0</v>
      </c>
      <c r="DP134" s="399">
        <v>-0.30856663743239388</v>
      </c>
      <c r="DQ134" s="399">
        <v>0</v>
      </c>
      <c r="DR134" s="399">
        <v>0</v>
      </c>
      <c r="DS134" s="399"/>
      <c r="DT134" s="399"/>
      <c r="DU134" s="399"/>
      <c r="DV134" s="399">
        <v>1471.6980752556663</v>
      </c>
      <c r="DW134" s="399">
        <v>0</v>
      </c>
      <c r="DX134" s="399">
        <v>0</v>
      </c>
      <c r="DY134" s="399">
        <v>-947.94461999999999</v>
      </c>
      <c r="DZ134" s="399">
        <v>0</v>
      </c>
      <c r="EA134" s="399">
        <v>0</v>
      </c>
      <c r="EB134" s="399">
        <v>0</v>
      </c>
      <c r="EC134" s="399">
        <v>-917.56977831032145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221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134</v>
      </c>
      <c r="B135" s="399" t="s">
        <v>956</v>
      </c>
      <c r="C135" s="399" t="s">
        <v>2335</v>
      </c>
      <c r="D135" s="399" t="s">
        <v>1821</v>
      </c>
      <c r="E135" s="399" t="s">
        <v>889</v>
      </c>
      <c r="F135" s="399" t="s">
        <v>889</v>
      </c>
      <c r="G135" s="399" t="s">
        <v>1239</v>
      </c>
      <c r="H135" s="399" t="s">
        <v>1239</v>
      </c>
      <c r="I135" s="399" t="s">
        <v>893</v>
      </c>
      <c r="J135" s="399" t="s">
        <v>2326</v>
      </c>
      <c r="K135" s="786">
        <v>44531</v>
      </c>
      <c r="L135" s="399">
        <v>0</v>
      </c>
      <c r="M135" s="399">
        <v>0</v>
      </c>
      <c r="N135" s="399">
        <v>4.5999999999999999E-2</v>
      </c>
      <c r="O135" s="399">
        <v>4.5999999999999999E-2</v>
      </c>
      <c r="P135" s="399">
        <v>4.5999999999999999E-2</v>
      </c>
      <c r="Q135" s="399">
        <v>4.5999999999999999E-2</v>
      </c>
      <c r="R135" s="399"/>
      <c r="S135" s="399">
        <v>2045.69</v>
      </c>
      <c r="T135" s="399">
        <v>185.74</v>
      </c>
      <c r="U135" s="399"/>
      <c r="V135" s="399">
        <v>102.64578</v>
      </c>
      <c r="W135" s="399">
        <v>102.64578</v>
      </c>
      <c r="X135" s="399">
        <v>55.472319999999996</v>
      </c>
      <c r="Y135" s="399">
        <v>0</v>
      </c>
      <c r="Z135" s="399">
        <v>2.8678776400530692</v>
      </c>
      <c r="AA135" s="399">
        <v>0</v>
      </c>
      <c r="AB135" s="399">
        <v>0</v>
      </c>
      <c r="AC135" s="399">
        <v>0</v>
      </c>
      <c r="AD135" s="399">
        <v>16.194602914521937</v>
      </c>
      <c r="AE135" s="399">
        <v>72.938884246613895</v>
      </c>
      <c r="AF135" s="399">
        <v>8.5442372451694819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0.44321893395724465</v>
      </c>
      <c r="AM135" s="399"/>
      <c r="AN135" s="399">
        <v>0.10905989802028981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1.5479229565641595</v>
      </c>
      <c r="BH135" s="399">
        <v>0</v>
      </c>
      <c r="BI135" s="399">
        <v>0</v>
      </c>
      <c r="BJ135" s="399">
        <v>0</v>
      </c>
      <c r="BK135" s="399">
        <v>0</v>
      </c>
      <c r="BL135" s="399">
        <v>0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10.092160201733641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60.295999999999999</v>
      </c>
      <c r="CJ135" s="399">
        <v>-42.379780000000018</v>
      </c>
      <c r="CK135" s="399"/>
      <c r="CL135" s="399"/>
      <c r="CM135" s="399"/>
      <c r="CN135" s="399"/>
      <c r="CO135" s="399">
        <v>-47.173460000000006</v>
      </c>
      <c r="CP135" s="399">
        <v>0</v>
      </c>
      <c r="CQ135" s="399"/>
      <c r="CR135" s="399">
        <v>-1.697620846915644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-1.4908203246202234</v>
      </c>
      <c r="DA135" s="399">
        <v>0</v>
      </c>
      <c r="DB135" s="399">
        <v>0</v>
      </c>
      <c r="DC135" s="399">
        <v>0</v>
      </c>
      <c r="DD135" s="399">
        <v>0</v>
      </c>
      <c r="DE135" s="399">
        <v>0</v>
      </c>
      <c r="DF135" s="399">
        <v>0</v>
      </c>
      <c r="DG135" s="399">
        <v>0</v>
      </c>
      <c r="DH135" s="399">
        <v>0</v>
      </c>
      <c r="DI135" s="399">
        <v>-0.17737446122041112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-2.3762028624135068E-2</v>
      </c>
      <c r="DP135" s="399">
        <v>-5.6640324508739348E-3</v>
      </c>
      <c r="DQ135" s="399">
        <v>0</v>
      </c>
      <c r="DR135" s="399">
        <v>0</v>
      </c>
      <c r="DS135" s="399"/>
      <c r="DT135" s="399"/>
      <c r="DU135" s="399"/>
      <c r="DV135" s="399">
        <v>72.938884246613895</v>
      </c>
      <c r="DW135" s="399">
        <v>0</v>
      </c>
      <c r="DX135" s="399">
        <v>0</v>
      </c>
      <c r="DY135" s="399">
        <v>-47.173460000000013</v>
      </c>
      <c r="DZ135" s="399">
        <v>0</v>
      </c>
      <c r="EA135" s="399">
        <v>0</v>
      </c>
      <c r="EB135" s="399">
        <v>0</v>
      </c>
      <c r="EC135" s="399">
        <v>-45.475710659430611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221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135</v>
      </c>
      <c r="B136" s="399" t="s">
        <v>956</v>
      </c>
      <c r="C136" s="399" t="s">
        <v>2335</v>
      </c>
      <c r="D136" s="399" t="s">
        <v>1821</v>
      </c>
      <c r="E136" s="399" t="s">
        <v>889</v>
      </c>
      <c r="F136" s="399" t="s">
        <v>889</v>
      </c>
      <c r="G136" s="399" t="s">
        <v>1239</v>
      </c>
      <c r="H136" s="399" t="s">
        <v>1239</v>
      </c>
      <c r="I136" s="399" t="s">
        <v>2323</v>
      </c>
      <c r="J136" s="399" t="s">
        <v>2326</v>
      </c>
      <c r="K136" s="786">
        <v>44531</v>
      </c>
      <c r="L136" s="399">
        <v>0</v>
      </c>
      <c r="M136" s="399">
        <v>0</v>
      </c>
      <c r="N136" s="399">
        <v>0.625</v>
      </c>
      <c r="O136" s="399">
        <v>0.625</v>
      </c>
      <c r="P136" s="399">
        <v>0.625</v>
      </c>
      <c r="Q136" s="399">
        <v>0.625</v>
      </c>
      <c r="R136" s="399"/>
      <c r="S136" s="399">
        <v>495.6</v>
      </c>
      <c r="T136" s="399">
        <v>185.74</v>
      </c>
      <c r="U136" s="399"/>
      <c r="V136" s="399">
        <v>425.83749999999998</v>
      </c>
      <c r="W136" s="399">
        <v>425.83749999999998</v>
      </c>
      <c r="X136" s="399">
        <v>295.39999999999998</v>
      </c>
      <c r="Y136" s="399">
        <v>0</v>
      </c>
      <c r="Z136" s="399">
        <v>38.965728805068871</v>
      </c>
      <c r="AA136" s="399">
        <v>0</v>
      </c>
      <c r="AB136" s="399">
        <v>0</v>
      </c>
      <c r="AC136" s="399">
        <v>0</v>
      </c>
      <c r="AD136" s="399">
        <v>44.047320194475937</v>
      </c>
      <c r="AE136" s="399">
        <v>198.20333521306125</v>
      </c>
      <c r="AF136" s="399">
        <v>116.09017996154188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6.0219963852886504</v>
      </c>
      <c r="AM136" s="399"/>
      <c r="AN136" s="399">
        <v>1.4817920926669812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21.031561909839127</v>
      </c>
      <c r="BH136" s="399">
        <v>0</v>
      </c>
      <c r="BI136" s="399">
        <v>0</v>
      </c>
      <c r="BJ136" s="399">
        <v>0</v>
      </c>
      <c r="BK136" s="399">
        <v>0</v>
      </c>
      <c r="BL136" s="399">
        <v>0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137.121741871381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297.76319999999998</v>
      </c>
      <c r="CJ136" s="399">
        <v>-128.10429999999997</v>
      </c>
      <c r="CK136" s="399"/>
      <c r="CL136" s="399"/>
      <c r="CM136" s="399"/>
      <c r="CN136" s="399"/>
      <c r="CO136" s="399">
        <v>-130.43750000000003</v>
      </c>
      <c r="CP136" s="399">
        <v>0</v>
      </c>
      <c r="CQ136" s="399"/>
      <c r="CR136" s="399">
        <v>-6.864636899414819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-4.054847194314064</v>
      </c>
      <c r="DA136" s="399">
        <v>0</v>
      </c>
      <c r="DB136" s="399">
        <v>0</v>
      </c>
      <c r="DC136" s="399">
        <v>0</v>
      </c>
      <c r="DD136" s="399">
        <v>0</v>
      </c>
      <c r="DE136" s="399">
        <v>0</v>
      </c>
      <c r="DF136" s="399">
        <v>0</v>
      </c>
      <c r="DG136" s="399">
        <v>0</v>
      </c>
      <c r="DH136" s="399">
        <v>0</v>
      </c>
      <c r="DI136" s="399">
        <v>-2.4099790926686211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-0.32285364978444342</v>
      </c>
      <c r="DP136" s="399">
        <v>-7.6956962647743765E-2</v>
      </c>
      <c r="DQ136" s="399">
        <v>0</v>
      </c>
      <c r="DR136" s="399">
        <v>0</v>
      </c>
      <c r="DS136" s="399"/>
      <c r="DT136" s="399"/>
      <c r="DU136" s="399"/>
      <c r="DV136" s="399">
        <v>198.20333521306125</v>
      </c>
      <c r="DW136" s="399">
        <v>0</v>
      </c>
      <c r="DX136" s="399">
        <v>0</v>
      </c>
      <c r="DY136" s="399">
        <v>-130.4375</v>
      </c>
      <c r="DZ136" s="399">
        <v>0</v>
      </c>
      <c r="EA136" s="399">
        <v>0</v>
      </c>
      <c r="EB136" s="399">
        <v>0</v>
      </c>
      <c r="EC136" s="399">
        <v>-123.57520432322437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221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136</v>
      </c>
      <c r="B137" s="399" t="s">
        <v>956</v>
      </c>
      <c r="C137" s="399" t="s">
        <v>2335</v>
      </c>
      <c r="D137" s="399" t="s">
        <v>1821</v>
      </c>
      <c r="E137" s="399" t="s">
        <v>889</v>
      </c>
      <c r="F137" s="399" t="s">
        <v>889</v>
      </c>
      <c r="G137" s="399" t="s">
        <v>1239</v>
      </c>
      <c r="H137" s="399" t="s">
        <v>1239</v>
      </c>
      <c r="I137" s="399" t="s">
        <v>1239</v>
      </c>
      <c r="J137" s="399" t="s">
        <v>2326</v>
      </c>
      <c r="K137" s="786">
        <v>44531</v>
      </c>
      <c r="L137" s="399">
        <v>0</v>
      </c>
      <c r="M137" s="399">
        <v>0</v>
      </c>
      <c r="N137" s="399">
        <v>0</v>
      </c>
      <c r="O137" s="399">
        <v>0</v>
      </c>
      <c r="P137" s="399">
        <v>0</v>
      </c>
      <c r="Q137" s="399">
        <v>0</v>
      </c>
      <c r="R137" s="399"/>
      <c r="S137" s="399"/>
      <c r="T137" s="399"/>
      <c r="U137" s="399"/>
      <c r="V137" s="399"/>
      <c r="W137" s="399"/>
      <c r="X137" s="399"/>
      <c r="Y137" s="399"/>
      <c r="Z137" s="399"/>
      <c r="AA137" s="399">
        <v>0</v>
      </c>
      <c r="AB137" s="399"/>
      <c r="AC137" s="399"/>
      <c r="AD137" s="399"/>
      <c r="AE137" s="399"/>
      <c r="AF137" s="399"/>
      <c r="AG137" s="399"/>
      <c r="AH137" s="399"/>
      <c r="AI137" s="399"/>
      <c r="AJ137" s="399"/>
      <c r="AK137" s="399"/>
      <c r="AL137" s="399"/>
      <c r="AM137" s="399"/>
      <c r="AN137" s="399"/>
      <c r="AO137" s="399"/>
      <c r="AP137" s="399"/>
      <c r="AQ137" s="399"/>
      <c r="AR137" s="399"/>
      <c r="AS137" s="399"/>
      <c r="AT137" s="399"/>
      <c r="AU137" s="399"/>
      <c r="AV137" s="399"/>
      <c r="AW137" s="399"/>
      <c r="AX137" s="399"/>
      <c r="AY137" s="399"/>
      <c r="AZ137" s="399">
        <v>0</v>
      </c>
      <c r="BA137" s="399"/>
      <c r="BB137" s="399"/>
      <c r="BC137" s="399"/>
      <c r="BD137" s="399"/>
      <c r="BE137" s="399"/>
      <c r="BF137" s="399"/>
      <c r="BG137" s="399"/>
      <c r="BH137" s="399"/>
      <c r="BI137" s="399">
        <v>0.28000000000000003</v>
      </c>
      <c r="BJ137" s="399">
        <v>1.4</v>
      </c>
      <c r="BK137" s="399">
        <v>133.28</v>
      </c>
      <c r="BL137" s="399">
        <v>1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/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/>
      <c r="CJ137" s="399">
        <v>-0.03</v>
      </c>
      <c r="CK137" s="399"/>
      <c r="CL137" s="399"/>
      <c r="CM137" s="399"/>
      <c r="CN137" s="399"/>
      <c r="CO137" s="399">
        <v>0</v>
      </c>
      <c r="CP137" s="399">
        <v>0</v>
      </c>
      <c r="CQ137" s="399"/>
      <c r="CR137" s="399"/>
      <c r="CS137" s="399"/>
      <c r="CT137" s="399"/>
      <c r="CU137" s="399"/>
      <c r="CV137" s="399"/>
      <c r="CW137" s="399"/>
      <c r="CX137" s="399"/>
      <c r="CY137" s="399"/>
      <c r="CZ137" s="399"/>
      <c r="DA137" s="399"/>
      <c r="DB137" s="399"/>
      <c r="DC137" s="399"/>
      <c r="DD137" s="399"/>
      <c r="DE137" s="399"/>
      <c r="DF137" s="399"/>
      <c r="DG137" s="399"/>
      <c r="DH137" s="399"/>
      <c r="DI137" s="399"/>
      <c r="DJ137" s="399"/>
      <c r="DK137" s="399">
        <v>0</v>
      </c>
      <c r="DL137" s="399"/>
      <c r="DM137" s="399"/>
      <c r="DN137" s="399"/>
      <c r="DO137" s="399"/>
      <c r="DP137" s="399"/>
      <c r="DQ137" s="399"/>
      <c r="DR137" s="399"/>
      <c r="DS137" s="399"/>
      <c r="DT137" s="399"/>
      <c r="DU137" s="399"/>
      <c r="DV137" s="399"/>
      <c r="DW137" s="399"/>
      <c r="DX137" s="399"/>
      <c r="DY137" s="399"/>
      <c r="DZ137" s="399"/>
      <c r="EA137" s="399"/>
      <c r="EB137" s="399"/>
      <c r="EC137" s="399"/>
      <c r="ED137" s="399"/>
      <c r="EE137" s="399"/>
      <c r="EF137" s="399"/>
      <c r="EG137" s="399"/>
      <c r="EH137" s="399"/>
      <c r="EI137" s="399"/>
      <c r="EJ137" s="399"/>
      <c r="EK137" s="399"/>
      <c r="EL137" s="399"/>
      <c r="EM137" s="399"/>
      <c r="EN137" s="399"/>
      <c r="EO137" s="399"/>
      <c r="EP137" s="399"/>
      <c r="EQ137" s="399"/>
      <c r="ER137" s="399"/>
      <c r="ES137" s="399"/>
      <c r="ET137" s="399"/>
      <c r="EU137" s="399"/>
      <c r="EV137" s="399">
        <v>221</v>
      </c>
      <c r="EW137" s="399"/>
      <c r="EX137" s="399"/>
      <c r="EY137" s="399"/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137</v>
      </c>
      <c r="B138" s="399" t="s">
        <v>956</v>
      </c>
      <c r="C138" s="399" t="s">
        <v>2335</v>
      </c>
      <c r="D138" s="399" t="s">
        <v>1821</v>
      </c>
      <c r="E138" s="399" t="s">
        <v>889</v>
      </c>
      <c r="F138" s="399" t="s">
        <v>889</v>
      </c>
      <c r="G138" s="399" t="s">
        <v>1239</v>
      </c>
      <c r="H138" s="399" t="s">
        <v>1239</v>
      </c>
      <c r="I138" s="399" t="s">
        <v>2336</v>
      </c>
      <c r="J138" s="399" t="s">
        <v>2326</v>
      </c>
      <c r="K138" s="786">
        <v>44531</v>
      </c>
      <c r="L138" s="399">
        <v>0</v>
      </c>
      <c r="M138" s="399">
        <v>0</v>
      </c>
      <c r="N138" s="399">
        <v>3.5000000000000003E-2</v>
      </c>
      <c r="O138" s="399">
        <v>3.5000000000000003E-2</v>
      </c>
      <c r="P138" s="399">
        <v>3.5000000000000003E-2</v>
      </c>
      <c r="Q138" s="399">
        <v>3.5000000000000003E-2</v>
      </c>
      <c r="R138" s="399"/>
      <c r="S138" s="399">
        <v>1270.6099999999999</v>
      </c>
      <c r="T138" s="399">
        <v>185.74</v>
      </c>
      <c r="U138" s="399"/>
      <c r="V138" s="399">
        <v>50.972250000000003</v>
      </c>
      <c r="W138" s="399">
        <v>50.972250000000003</v>
      </c>
      <c r="X138" s="399">
        <v>29.373750000000005</v>
      </c>
      <c r="Y138" s="399">
        <v>0</v>
      </c>
      <c r="Z138" s="399">
        <v>2.1820808130838572</v>
      </c>
      <c r="AA138" s="399">
        <v>0</v>
      </c>
      <c r="AB138" s="399">
        <v>0</v>
      </c>
      <c r="AC138" s="399">
        <v>0</v>
      </c>
      <c r="AD138" s="399">
        <v>7.3931889876659165</v>
      </c>
      <c r="AE138" s="399">
        <v>33.298203600299964</v>
      </c>
      <c r="AF138" s="399">
        <v>6.5010500778463456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0.33723179757616445</v>
      </c>
      <c r="AM138" s="399"/>
      <c r="AN138" s="399">
        <v>8.2980357189350956E-2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1.1777674669509912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7.6788175447973366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33.57</v>
      </c>
      <c r="CJ138" s="399">
        <v>-17.432249999999996</v>
      </c>
      <c r="CK138" s="399"/>
      <c r="CL138" s="399"/>
      <c r="CM138" s="399"/>
      <c r="CN138" s="399"/>
      <c r="CO138" s="399">
        <v>-21.598499999999998</v>
      </c>
      <c r="CP138" s="399">
        <v>0</v>
      </c>
      <c r="CQ138" s="399"/>
      <c r="CR138" s="399">
        <v>-0.83794017530728127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-0.68059195182163545</v>
      </c>
      <c r="DA138" s="399">
        <v>0</v>
      </c>
      <c r="DB138" s="399">
        <v>0</v>
      </c>
      <c r="DC138" s="399">
        <v>0</v>
      </c>
      <c r="DD138" s="399">
        <v>0</v>
      </c>
      <c r="DE138" s="399">
        <v>0</v>
      </c>
      <c r="DF138" s="399">
        <v>0</v>
      </c>
      <c r="DG138" s="399">
        <v>0</v>
      </c>
      <c r="DH138" s="399">
        <v>0</v>
      </c>
      <c r="DI138" s="399">
        <v>-0.13495882918944302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-1.8079804387928833E-2</v>
      </c>
      <c r="DP138" s="399">
        <v>-4.3095899082736533E-3</v>
      </c>
      <c r="DQ138" s="399">
        <v>0</v>
      </c>
      <c r="DR138" s="399">
        <v>0</v>
      </c>
      <c r="DS138" s="399"/>
      <c r="DT138" s="399"/>
      <c r="DU138" s="399"/>
      <c r="DV138" s="399">
        <v>33.298203600299964</v>
      </c>
      <c r="DW138" s="399">
        <v>0</v>
      </c>
      <c r="DX138" s="399">
        <v>0</v>
      </c>
      <c r="DY138" s="399">
        <v>-21.598499999999998</v>
      </c>
      <c r="DZ138" s="399">
        <v>0</v>
      </c>
      <c r="EA138" s="399">
        <v>0</v>
      </c>
      <c r="EB138" s="399">
        <v>0</v>
      </c>
      <c r="EC138" s="399">
        <v>-20.760661313191804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221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138</v>
      </c>
      <c r="B139" s="399" t="s">
        <v>956</v>
      </c>
      <c r="C139" s="399" t="s">
        <v>2328</v>
      </c>
      <c r="D139" s="399" t="s">
        <v>1824</v>
      </c>
      <c r="E139" s="399" t="s">
        <v>890</v>
      </c>
      <c r="F139" s="399" t="s">
        <v>1239</v>
      </c>
      <c r="G139" s="399" t="s">
        <v>1239</v>
      </c>
      <c r="H139" s="399" t="s">
        <v>1239</v>
      </c>
      <c r="I139" s="399" t="s">
        <v>1239</v>
      </c>
      <c r="J139" s="399" t="s">
        <v>2326</v>
      </c>
      <c r="K139" s="786">
        <v>44531</v>
      </c>
      <c r="L139" s="399">
        <v>0</v>
      </c>
      <c r="M139" s="399">
        <v>0</v>
      </c>
      <c r="N139" s="399">
        <v>37.765999999999998</v>
      </c>
      <c r="O139" s="399">
        <v>37.765999999999998</v>
      </c>
      <c r="P139" s="399">
        <v>37.765999999999998</v>
      </c>
      <c r="Q139" s="399">
        <v>37.765999999999998</v>
      </c>
      <c r="R139" s="399"/>
      <c r="S139" s="399">
        <v>825.6</v>
      </c>
      <c r="T139" s="399">
        <v>185.74</v>
      </c>
      <c r="U139" s="399"/>
      <c r="V139" s="399">
        <v>38194.266439999999</v>
      </c>
      <c r="W139" s="399">
        <v>38194.266439999999</v>
      </c>
      <c r="X139" s="399">
        <v>23743.484199999999</v>
      </c>
      <c r="Y139" s="399">
        <v>0</v>
      </c>
      <c r="Z139" s="399">
        <v>2354.5275424835695</v>
      </c>
      <c r="AA139" s="399">
        <v>0</v>
      </c>
      <c r="AB139" s="399">
        <v>0</v>
      </c>
      <c r="AC139" s="399">
        <v>0</v>
      </c>
      <c r="AD139" s="399">
        <v>4922.1072182814596</v>
      </c>
      <c r="AE139" s="399">
        <v>22178.830610576813</v>
      </c>
      <c r="AF139" s="399">
        <v>7014.8187782841451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363.88274477889786</v>
      </c>
      <c r="AM139" s="399"/>
      <c r="AN139" s="399">
        <v>89.538176274657928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1270.844747339175</v>
      </c>
      <c r="BH139" s="399">
        <v>0</v>
      </c>
      <c r="BI139" s="399">
        <v>17.260000000000002</v>
      </c>
      <c r="BJ139" s="399">
        <v>84.79</v>
      </c>
      <c r="BK139" s="399">
        <v>9735.67</v>
      </c>
      <c r="BL139" s="399">
        <v>47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8285.6635256233203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23745.999000000003</v>
      </c>
      <c r="CJ139" s="399">
        <v>-14448.297439999995</v>
      </c>
      <c r="CK139" s="399"/>
      <c r="CL139" s="399"/>
      <c r="CM139" s="399"/>
      <c r="CN139" s="399"/>
      <c r="CO139" s="399">
        <v>-14450.78224</v>
      </c>
      <c r="CP139" s="399">
        <v>0</v>
      </c>
      <c r="CQ139" s="399"/>
      <c r="CR139" s="399">
        <v>-622.89575769487055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-453.11252889033403</v>
      </c>
      <c r="DA139" s="399">
        <v>0</v>
      </c>
      <c r="DB139" s="399">
        <v>0</v>
      </c>
      <c r="DC139" s="399">
        <v>0</v>
      </c>
      <c r="DD139" s="399">
        <v>0</v>
      </c>
      <c r="DE139" s="399">
        <v>0</v>
      </c>
      <c r="DF139" s="399">
        <v>0</v>
      </c>
      <c r="DG139" s="399">
        <v>0</v>
      </c>
      <c r="DH139" s="399">
        <v>0</v>
      </c>
      <c r="DI139" s="399">
        <v>-145.62443266195714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-19.508625500414894</v>
      </c>
      <c r="DP139" s="399">
        <v>-4.6501706421674953</v>
      </c>
      <c r="DQ139" s="399">
        <v>0</v>
      </c>
      <c r="DR139" s="399">
        <v>0</v>
      </c>
      <c r="DS139" s="399"/>
      <c r="DT139" s="399"/>
      <c r="DU139" s="399"/>
      <c r="DV139" s="399">
        <v>22178.830610576813</v>
      </c>
      <c r="DW139" s="399">
        <v>0</v>
      </c>
      <c r="DX139" s="399">
        <v>0</v>
      </c>
      <c r="DY139" s="399">
        <v>-14450.78224</v>
      </c>
      <c r="DZ139" s="399">
        <v>0</v>
      </c>
      <c r="EA139" s="399">
        <v>0</v>
      </c>
      <c r="EB139" s="399">
        <v>0</v>
      </c>
      <c r="EC139" s="399">
        <v>-13827.988925645492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221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139</v>
      </c>
      <c r="B140" s="399" t="s">
        <v>2330</v>
      </c>
      <c r="C140" s="399" t="s">
        <v>2328</v>
      </c>
      <c r="D140" s="399" t="s">
        <v>1824</v>
      </c>
      <c r="E140" s="399" t="s">
        <v>890</v>
      </c>
      <c r="F140" s="399" t="s">
        <v>1239</v>
      </c>
      <c r="G140" s="399" t="s">
        <v>1239</v>
      </c>
      <c r="H140" s="399" t="s">
        <v>1239</v>
      </c>
      <c r="I140" s="399" t="s">
        <v>1239</v>
      </c>
      <c r="J140" s="399" t="s">
        <v>2326</v>
      </c>
      <c r="K140" s="786">
        <v>44531</v>
      </c>
      <c r="L140" s="399">
        <v>0</v>
      </c>
      <c r="M140" s="399">
        <v>0</v>
      </c>
      <c r="N140" s="399">
        <v>0.63300000000000001</v>
      </c>
      <c r="O140" s="399">
        <v>0.63300000000000001</v>
      </c>
      <c r="P140" s="399">
        <v>0.63300000000000001</v>
      </c>
      <c r="Q140" s="399">
        <v>0.63300000000000001</v>
      </c>
      <c r="R140" s="399"/>
      <c r="S140" s="399">
        <v>825.6</v>
      </c>
      <c r="T140" s="399">
        <v>185.74</v>
      </c>
      <c r="U140" s="399"/>
      <c r="V140" s="399">
        <v>640.17822000000012</v>
      </c>
      <c r="W140" s="399">
        <v>640.17822000000012</v>
      </c>
      <c r="X140" s="399">
        <v>397.96710000000002</v>
      </c>
      <c r="Y140" s="399">
        <v>0</v>
      </c>
      <c r="Z140" s="399">
        <v>39.464490133773758</v>
      </c>
      <c r="AA140" s="399">
        <v>0</v>
      </c>
      <c r="AB140" s="399">
        <v>0</v>
      </c>
      <c r="AC140" s="399">
        <v>0</v>
      </c>
      <c r="AD140" s="399">
        <v>82.499970056986811</v>
      </c>
      <c r="AE140" s="399">
        <v>371.74177240097242</v>
      </c>
      <c r="AF140" s="399">
        <v>117.57613426504962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6.0990779390203453</v>
      </c>
      <c r="AM140" s="399"/>
      <c r="AN140" s="399">
        <v>1.5007590314531185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21.300765902285065</v>
      </c>
      <c r="BH140" s="399">
        <v>0</v>
      </c>
      <c r="BI140" s="399">
        <v>0.2</v>
      </c>
      <c r="BJ140" s="399">
        <v>1.05</v>
      </c>
      <c r="BK140" s="399">
        <v>1413.9</v>
      </c>
      <c r="BL140" s="399">
        <v>3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>
        <v>138.87690016733467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396.08100000000002</v>
      </c>
      <c r="CJ140" s="399">
        <v>-244.12722000000008</v>
      </c>
      <c r="CK140" s="399"/>
      <c r="CL140" s="399"/>
      <c r="CM140" s="399"/>
      <c r="CN140" s="399"/>
      <c r="CO140" s="399">
        <v>-242.21112000000002</v>
      </c>
      <c r="CP140" s="399">
        <v>0</v>
      </c>
      <c r="CQ140" s="399"/>
      <c r="CR140" s="399">
        <v>-10.440422989484091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-7.5946679761579503</v>
      </c>
      <c r="DA140" s="399">
        <v>0</v>
      </c>
      <c r="DB140" s="399">
        <v>0</v>
      </c>
      <c r="DC140" s="399">
        <v>0</v>
      </c>
      <c r="DD140" s="399">
        <v>0</v>
      </c>
      <c r="DE140" s="399">
        <v>0</v>
      </c>
      <c r="DF140" s="399">
        <v>0</v>
      </c>
      <c r="DG140" s="399">
        <v>0</v>
      </c>
      <c r="DH140" s="399">
        <v>0</v>
      </c>
      <c r="DI140" s="399">
        <v>-2.4408268250547849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-0.32698617650168504</v>
      </c>
      <c r="DP140" s="399">
        <v>-7.7942011769634778E-2</v>
      </c>
      <c r="DQ140" s="399">
        <v>0</v>
      </c>
      <c r="DR140" s="399">
        <v>0</v>
      </c>
      <c r="DS140" s="399"/>
      <c r="DT140" s="399"/>
      <c r="DU140" s="399"/>
      <c r="DV140" s="399">
        <v>371.74177240097242</v>
      </c>
      <c r="DW140" s="399">
        <v>0</v>
      </c>
      <c r="DX140" s="399">
        <v>0</v>
      </c>
      <c r="DY140" s="399">
        <v>-242.21112000000005</v>
      </c>
      <c r="DZ140" s="399">
        <v>0</v>
      </c>
      <c r="EA140" s="399">
        <v>0</v>
      </c>
      <c r="EB140" s="399">
        <v>0</v>
      </c>
      <c r="EC140" s="399">
        <v>-231.77241407439487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221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140</v>
      </c>
      <c r="B141" s="399" t="s">
        <v>956</v>
      </c>
      <c r="C141" s="399" t="s">
        <v>2325</v>
      </c>
      <c r="D141" s="399" t="s">
        <v>533</v>
      </c>
      <c r="E141" s="399" t="s">
        <v>890</v>
      </c>
      <c r="F141" s="399" t="s">
        <v>1239</v>
      </c>
      <c r="G141" s="399" t="s">
        <v>1239</v>
      </c>
      <c r="H141" s="399" t="s">
        <v>1239</v>
      </c>
      <c r="I141" s="399" t="s">
        <v>893</v>
      </c>
      <c r="J141" s="399" t="s">
        <v>2326</v>
      </c>
      <c r="K141" s="786">
        <v>44531</v>
      </c>
      <c r="L141" s="399">
        <v>0</v>
      </c>
      <c r="M141" s="399">
        <v>0</v>
      </c>
      <c r="N141" s="399">
        <v>1.0369999999999999</v>
      </c>
      <c r="O141" s="399">
        <v>1.0369999999999999</v>
      </c>
      <c r="P141" s="399">
        <v>1.0369999999999999</v>
      </c>
      <c r="Q141" s="399">
        <v>1.0369999999999999</v>
      </c>
      <c r="R141" s="399"/>
      <c r="S141" s="399">
        <v>4433.21</v>
      </c>
      <c r="T141" s="399">
        <v>185.74</v>
      </c>
      <c r="U141" s="399"/>
      <c r="V141" s="399">
        <v>4789.8511499999995</v>
      </c>
      <c r="W141" s="399">
        <v>4789.8511499999995</v>
      </c>
      <c r="X141" s="399">
        <v>2499.8129399999998</v>
      </c>
      <c r="Y141" s="399">
        <v>0</v>
      </c>
      <c r="Z141" s="399">
        <v>56.247185393032062</v>
      </c>
      <c r="AA141" s="399">
        <v>0</v>
      </c>
      <c r="AB141" s="399">
        <v>0</v>
      </c>
      <c r="AC141" s="399">
        <v>0</v>
      </c>
      <c r="AD141" s="399">
        <v>997.20302500019795</v>
      </c>
      <c r="AE141" s="399">
        <v>3519.2498480258637</v>
      </c>
      <c r="AF141" s="399">
        <v>192.61682659219028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9.9916964024709287</v>
      </c>
      <c r="AM141" s="399"/>
      <c r="AN141" s="399">
        <v>1.0742090362366561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13.472884227976493</v>
      </c>
      <c r="BH141" s="399">
        <v>0</v>
      </c>
      <c r="BI141" s="399">
        <v>0</v>
      </c>
      <c r="BJ141" s="399">
        <v>0</v>
      </c>
      <c r="BK141" s="399">
        <v>0</v>
      </c>
      <c r="BL141" s="399">
        <v>0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206.08971082016677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2507.0448000000006</v>
      </c>
      <c r="CJ141" s="399">
        <v>-2282.8363499999996</v>
      </c>
      <c r="CK141" s="399"/>
      <c r="CL141" s="399"/>
      <c r="CM141" s="399"/>
      <c r="CN141" s="399"/>
      <c r="CO141" s="399">
        <v>-2290.0382099999997</v>
      </c>
      <c r="CP141" s="399">
        <v>0</v>
      </c>
      <c r="CQ141" s="399"/>
      <c r="CR141" s="399">
        <v>-95.869417237853213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-91.799134890177584</v>
      </c>
      <c r="DA141" s="399">
        <v>0</v>
      </c>
      <c r="DB141" s="399">
        <v>0</v>
      </c>
      <c r="DC141" s="399">
        <v>0</v>
      </c>
      <c r="DD141" s="399">
        <v>0</v>
      </c>
      <c r="DE141" s="399">
        <v>0</v>
      </c>
      <c r="DF141" s="399">
        <v>0</v>
      </c>
      <c r="DG141" s="399">
        <v>0</v>
      </c>
      <c r="DH141" s="399">
        <v>0</v>
      </c>
      <c r="DI141" s="399">
        <v>-3.4788144601835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-0.53567877572234934</v>
      </c>
      <c r="DP141" s="399">
        <v>-5.5789111769885213E-2</v>
      </c>
      <c r="DQ141" s="399">
        <v>0</v>
      </c>
      <c r="DR141" s="399">
        <v>0</v>
      </c>
      <c r="DS141" s="399"/>
      <c r="DT141" s="399"/>
      <c r="DU141" s="399"/>
      <c r="DV141" s="399">
        <v>3519.2498480258637</v>
      </c>
      <c r="DW141" s="399">
        <v>0</v>
      </c>
      <c r="DX141" s="399">
        <v>0</v>
      </c>
      <c r="DY141" s="399">
        <v>-2290.0382100000002</v>
      </c>
      <c r="DZ141" s="399">
        <v>0</v>
      </c>
      <c r="EA141" s="399">
        <v>0</v>
      </c>
      <c r="EB141" s="399">
        <v>0</v>
      </c>
      <c r="EC141" s="399">
        <v>-2194.1710444316122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221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141</v>
      </c>
      <c r="B142" s="399" t="s">
        <v>956</v>
      </c>
      <c r="C142" s="399" t="s">
        <v>2325</v>
      </c>
      <c r="D142" s="399" t="s">
        <v>533</v>
      </c>
      <c r="E142" s="399" t="s">
        <v>890</v>
      </c>
      <c r="F142" s="399" t="s">
        <v>1239</v>
      </c>
      <c r="G142" s="399" t="s">
        <v>1239</v>
      </c>
      <c r="H142" s="399" t="s">
        <v>1239</v>
      </c>
      <c r="I142" s="399" t="s">
        <v>2323</v>
      </c>
      <c r="J142" s="399" t="s">
        <v>2326</v>
      </c>
      <c r="K142" s="786">
        <v>44531</v>
      </c>
      <c r="L142" s="399">
        <v>0</v>
      </c>
      <c r="M142" s="399">
        <v>0</v>
      </c>
      <c r="N142" s="399">
        <v>37.273000000000003</v>
      </c>
      <c r="O142" s="399">
        <v>37.273000000000003</v>
      </c>
      <c r="P142" s="399">
        <v>37.273000000000003</v>
      </c>
      <c r="Q142" s="399">
        <v>37.273000000000003</v>
      </c>
      <c r="R142" s="399"/>
      <c r="S142" s="399">
        <v>77.900000000000006</v>
      </c>
      <c r="T142" s="399">
        <v>185.74</v>
      </c>
      <c r="U142" s="399"/>
      <c r="V142" s="399">
        <v>9826.6537200000021</v>
      </c>
      <c r="W142" s="399">
        <v>9826.6537200000021</v>
      </c>
      <c r="X142" s="399">
        <v>9680.5435600000019</v>
      </c>
      <c r="Y142" s="399">
        <v>0</v>
      </c>
      <c r="Z142" s="399">
        <v>2021.6984967738517</v>
      </c>
      <c r="AA142" s="399">
        <v>0</v>
      </c>
      <c r="AB142" s="399">
        <v>0</v>
      </c>
      <c r="AC142" s="399">
        <v>0</v>
      </c>
      <c r="AD142" s="399">
        <v>0</v>
      </c>
      <c r="AE142" s="399">
        <v>0</v>
      </c>
      <c r="AF142" s="399">
        <v>6923.2468443304815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359.13259403018225</v>
      </c>
      <c r="AM142" s="399"/>
      <c r="AN142" s="399">
        <v>38.610408300529301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484.2572939531031</v>
      </c>
      <c r="BH142" s="399">
        <v>0</v>
      </c>
      <c r="BI142" s="399">
        <v>0</v>
      </c>
      <c r="BJ142" s="399">
        <v>0</v>
      </c>
      <c r="BK142" s="399">
        <v>0</v>
      </c>
      <c r="BL142" s="399">
        <v>0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7407.5041382835843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9679.7644000000018</v>
      </c>
      <c r="CJ142" s="399">
        <v>-146.91932000000088</v>
      </c>
      <c r="CK142" s="399"/>
      <c r="CL142" s="399"/>
      <c r="CM142" s="399"/>
      <c r="CN142" s="399"/>
      <c r="CO142" s="399">
        <v>-146.11016000000006</v>
      </c>
      <c r="CP142" s="399">
        <v>0</v>
      </c>
      <c r="CQ142" s="399"/>
      <c r="CR142" s="399">
        <v>-146.29858625353518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0</v>
      </c>
      <c r="DA142" s="399">
        <v>0</v>
      </c>
      <c r="DB142" s="399">
        <v>0</v>
      </c>
      <c r="DC142" s="399">
        <v>0</v>
      </c>
      <c r="DD142" s="399">
        <v>0</v>
      </c>
      <c r="DE142" s="399">
        <v>0</v>
      </c>
      <c r="DF142" s="399">
        <v>0</v>
      </c>
      <c r="DG142" s="399">
        <v>0</v>
      </c>
      <c r="DH142" s="399">
        <v>0</v>
      </c>
      <c r="DI142" s="399">
        <v>-125.0393938036832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-19.253958541464954</v>
      </c>
      <c r="DP142" s="399">
        <v>-2.0052339083885542</v>
      </c>
      <c r="DQ142" s="399">
        <v>0</v>
      </c>
      <c r="DR142" s="399">
        <v>0</v>
      </c>
      <c r="DS142" s="399"/>
      <c r="DT142" s="399"/>
      <c r="DU142" s="399"/>
      <c r="DV142" s="399">
        <v>0</v>
      </c>
      <c r="DW142" s="399">
        <v>0</v>
      </c>
      <c r="DX142" s="399">
        <v>0</v>
      </c>
      <c r="DY142" s="399">
        <v>-146.11015999999972</v>
      </c>
      <c r="DZ142" s="399">
        <v>0</v>
      </c>
      <c r="EA142" s="399">
        <v>0</v>
      </c>
      <c r="EB142" s="399">
        <v>0</v>
      </c>
      <c r="EC142" s="399">
        <v>0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221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142</v>
      </c>
      <c r="B143" s="399" t="s">
        <v>956</v>
      </c>
      <c r="C143" s="399" t="s">
        <v>2325</v>
      </c>
      <c r="D143" s="399" t="s">
        <v>533</v>
      </c>
      <c r="E143" s="399" t="s">
        <v>890</v>
      </c>
      <c r="F143" s="399" t="s">
        <v>1239</v>
      </c>
      <c r="G143" s="399" t="s">
        <v>1239</v>
      </c>
      <c r="H143" s="399" t="s">
        <v>1239</v>
      </c>
      <c r="I143" s="399" t="s">
        <v>1239</v>
      </c>
      <c r="J143" s="399" t="s">
        <v>2326</v>
      </c>
      <c r="K143" s="786">
        <v>44531</v>
      </c>
      <c r="L143" s="399">
        <v>337</v>
      </c>
      <c r="M143" s="399">
        <v>337</v>
      </c>
      <c r="N143" s="399">
        <v>0</v>
      </c>
      <c r="O143" s="399">
        <v>0</v>
      </c>
      <c r="P143" s="399">
        <v>0</v>
      </c>
      <c r="Q143" s="399">
        <v>0</v>
      </c>
      <c r="R143" s="399">
        <v>55.59</v>
      </c>
      <c r="S143" s="399"/>
      <c r="T143" s="399"/>
      <c r="U143" s="399">
        <v>18733.830000000002</v>
      </c>
      <c r="V143" s="399"/>
      <c r="W143" s="399">
        <v>18733.830000000002</v>
      </c>
      <c r="X143" s="399">
        <v>9944.8700000000008</v>
      </c>
      <c r="Y143" s="399">
        <v>0</v>
      </c>
      <c r="Z143" s="399">
        <v>0</v>
      </c>
      <c r="AA143" s="399">
        <v>0</v>
      </c>
      <c r="AB143" s="399">
        <v>0</v>
      </c>
      <c r="AC143" s="399">
        <v>0</v>
      </c>
      <c r="AD143" s="399">
        <v>5444.1240689604447</v>
      </c>
      <c r="AE143" s="399">
        <v>13288.153697021966</v>
      </c>
      <c r="AF143" s="399"/>
      <c r="AG143" s="399"/>
      <c r="AH143" s="399"/>
      <c r="AI143" s="399">
        <v>0</v>
      </c>
      <c r="AJ143" s="399">
        <v>0</v>
      </c>
      <c r="AK143" s="399">
        <v>0</v>
      </c>
      <c r="AL143" s="399">
        <v>0</v>
      </c>
      <c r="AM143" s="399"/>
      <c r="AN143" s="399">
        <v>0</v>
      </c>
      <c r="AO143" s="399">
        <v>0</v>
      </c>
      <c r="AP143" s="399">
        <v>0</v>
      </c>
      <c r="AQ143" s="399">
        <v>0</v>
      </c>
      <c r="AR143" s="399">
        <v>0</v>
      </c>
      <c r="AS143" s="399"/>
      <c r="AT143" s="399"/>
      <c r="AU143" s="399">
        <v>0</v>
      </c>
      <c r="AV143" s="399">
        <v>0</v>
      </c>
      <c r="AW143" s="399">
        <v>0</v>
      </c>
      <c r="AX143" s="399"/>
      <c r="AY143" s="399"/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/>
      <c r="BG143" s="399">
        <v>0</v>
      </c>
      <c r="BH143" s="399">
        <v>0</v>
      </c>
      <c r="BI143" s="399">
        <v>17.18</v>
      </c>
      <c r="BJ143" s="399">
        <v>83.13</v>
      </c>
      <c r="BK143" s="399">
        <v>9181.1299999999992</v>
      </c>
      <c r="BL143" s="399">
        <v>5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0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9944.8700000000008</v>
      </c>
      <c r="CJ143" s="399">
        <v>-8788.9899999999961</v>
      </c>
      <c r="CK143" s="399"/>
      <c r="CL143" s="399"/>
      <c r="CM143" s="399"/>
      <c r="CN143" s="399"/>
      <c r="CO143" s="399">
        <v>-8788.9600000000009</v>
      </c>
      <c r="CP143" s="399">
        <v>0</v>
      </c>
      <c r="CQ143" s="399"/>
      <c r="CR143" s="399">
        <v>-501.16763310588522</v>
      </c>
      <c r="CS143" s="399">
        <v>0</v>
      </c>
      <c r="CT143" s="399">
        <v>0</v>
      </c>
      <c r="CU143" s="399">
        <v>0</v>
      </c>
      <c r="CV143" s="399">
        <v>0</v>
      </c>
      <c r="CW143" s="399"/>
      <c r="CX143" s="399"/>
      <c r="CY143" s="399"/>
      <c r="CZ143" s="399">
        <v>-501.16763310588522</v>
      </c>
      <c r="DA143" s="399">
        <v>0</v>
      </c>
      <c r="DB143" s="399">
        <v>0</v>
      </c>
      <c r="DC143" s="399"/>
      <c r="DD143" s="399"/>
      <c r="DE143" s="399">
        <v>0</v>
      </c>
      <c r="DF143" s="399">
        <v>0</v>
      </c>
      <c r="DG143" s="399">
        <v>0</v>
      </c>
      <c r="DH143" s="399">
        <v>0</v>
      </c>
      <c r="DI143" s="399">
        <v>0</v>
      </c>
      <c r="DJ143" s="399"/>
      <c r="DK143" s="399">
        <v>0</v>
      </c>
      <c r="DL143" s="399">
        <v>0</v>
      </c>
      <c r="DM143" s="399"/>
      <c r="DN143" s="399">
        <v>0</v>
      </c>
      <c r="DO143" s="399">
        <v>0</v>
      </c>
      <c r="DP143" s="399">
        <v>0</v>
      </c>
      <c r="DQ143" s="399">
        <v>0</v>
      </c>
      <c r="DR143" s="399">
        <v>0</v>
      </c>
      <c r="DS143" s="399"/>
      <c r="DT143" s="399"/>
      <c r="DU143" s="399">
        <v>13288.153697021966</v>
      </c>
      <c r="DV143" s="399"/>
      <c r="DW143" s="399">
        <v>0</v>
      </c>
      <c r="DX143" s="399">
        <v>0</v>
      </c>
      <c r="DY143" s="399">
        <v>-8788.9600000000009</v>
      </c>
      <c r="DZ143" s="399"/>
      <c r="EA143" s="399">
        <v>0</v>
      </c>
      <c r="EB143" s="399"/>
      <c r="EC143" s="399">
        <v>-8284.8570959853605</v>
      </c>
      <c r="ED143" s="399"/>
      <c r="EE143" s="399">
        <v>0</v>
      </c>
      <c r="EF143" s="399">
        <v>0</v>
      </c>
      <c r="EG143" s="399"/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/>
      <c r="EN143" s="399"/>
      <c r="EO143" s="399">
        <v>0</v>
      </c>
      <c r="EP143" s="399">
        <v>0</v>
      </c>
      <c r="EQ143" s="399"/>
      <c r="ER143" s="399">
        <v>0</v>
      </c>
      <c r="ES143" s="399"/>
      <c r="ET143" s="399">
        <v>0</v>
      </c>
      <c r="EU143" s="399"/>
      <c r="EV143" s="399">
        <v>221</v>
      </c>
      <c r="EW143" s="399"/>
      <c r="EX143" s="399"/>
      <c r="EY143" s="399"/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143</v>
      </c>
      <c r="B144" s="399" t="s">
        <v>956</v>
      </c>
      <c r="C144" s="399" t="s">
        <v>2328</v>
      </c>
      <c r="D144" s="399" t="s">
        <v>1824</v>
      </c>
      <c r="E144" s="399" t="s">
        <v>918</v>
      </c>
      <c r="F144" s="399" t="s">
        <v>1239</v>
      </c>
      <c r="G144" s="399" t="s">
        <v>1239</v>
      </c>
      <c r="H144" s="399" t="s">
        <v>1239</v>
      </c>
      <c r="I144" s="399" t="s">
        <v>1239</v>
      </c>
      <c r="J144" s="399" t="s">
        <v>2326</v>
      </c>
      <c r="K144" s="786">
        <v>44531</v>
      </c>
      <c r="L144" s="399">
        <v>0</v>
      </c>
      <c r="M144" s="399">
        <v>0</v>
      </c>
      <c r="N144" s="399">
        <v>154.45699999999999</v>
      </c>
      <c r="O144" s="399">
        <v>154.45699999999999</v>
      </c>
      <c r="P144" s="399">
        <v>154.45699999999999</v>
      </c>
      <c r="Q144" s="399">
        <v>154.45699999999999</v>
      </c>
      <c r="R144" s="399"/>
      <c r="S144" s="399">
        <v>825.6</v>
      </c>
      <c r="T144" s="399">
        <v>185.74</v>
      </c>
      <c r="U144" s="399"/>
      <c r="V144" s="399">
        <v>156208.54238</v>
      </c>
      <c r="W144" s="399">
        <v>156208.54238</v>
      </c>
      <c r="X144" s="399">
        <v>97107.11589999999</v>
      </c>
      <c r="Y144" s="399">
        <v>0</v>
      </c>
      <c r="Z144" s="399">
        <v>9629.6473184712358</v>
      </c>
      <c r="AA144" s="399">
        <v>0</v>
      </c>
      <c r="AB144" s="399">
        <v>0</v>
      </c>
      <c r="AC144" s="399">
        <v>0</v>
      </c>
      <c r="AD144" s="399">
        <v>20130.644352436037</v>
      </c>
      <c r="AE144" s="399">
        <v>90707.928814750383</v>
      </c>
      <c r="AF144" s="399">
        <v>28689.505482111799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1488.2231930920464</v>
      </c>
      <c r="AM144" s="399"/>
      <c r="AN144" s="399">
        <v>366.19705801130226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5197.5551326528348</v>
      </c>
      <c r="BH144" s="399">
        <v>0</v>
      </c>
      <c r="BI144" s="399">
        <v>69.86</v>
      </c>
      <c r="BJ144" s="399">
        <v>346.79</v>
      </c>
      <c r="BK144" s="399">
        <v>38759.279999999999</v>
      </c>
      <c r="BL144" s="399">
        <v>369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33887.060614764632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97109.001999999993</v>
      </c>
      <c r="CJ144" s="399">
        <v>-59099.570380000005</v>
      </c>
      <c r="CK144" s="399"/>
      <c r="CL144" s="399"/>
      <c r="CM144" s="399"/>
      <c r="CN144" s="399"/>
      <c r="CO144" s="399">
        <v>-59101.426480000002</v>
      </c>
      <c r="CP144" s="399">
        <v>0</v>
      </c>
      <c r="CQ144" s="399"/>
      <c r="CR144" s="399">
        <v>-2547.545677230235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-1853.1589756610265</v>
      </c>
      <c r="DA144" s="399">
        <v>0</v>
      </c>
      <c r="DB144" s="399">
        <v>0</v>
      </c>
      <c r="DC144" s="399">
        <v>0</v>
      </c>
      <c r="DD144" s="399">
        <v>0</v>
      </c>
      <c r="DE144" s="399">
        <v>0</v>
      </c>
      <c r="DF144" s="399">
        <v>0</v>
      </c>
      <c r="DG144" s="399">
        <v>0</v>
      </c>
      <c r="DH144" s="399">
        <v>0</v>
      </c>
      <c r="DI144" s="399">
        <v>-595.581025146108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-79.787209895609294</v>
      </c>
      <c r="DP144" s="399">
        <v>-19.01846652749208</v>
      </c>
      <c r="DQ144" s="399">
        <v>0</v>
      </c>
      <c r="DR144" s="399">
        <v>0</v>
      </c>
      <c r="DS144" s="399"/>
      <c r="DT144" s="399"/>
      <c r="DU144" s="399"/>
      <c r="DV144" s="399">
        <v>90707.928814750383</v>
      </c>
      <c r="DW144" s="399">
        <v>0</v>
      </c>
      <c r="DX144" s="399">
        <v>0</v>
      </c>
      <c r="DY144" s="399">
        <v>-59101.426480000009</v>
      </c>
      <c r="DZ144" s="399">
        <v>0</v>
      </c>
      <c r="EA144" s="399">
        <v>0</v>
      </c>
      <c r="EB144" s="399">
        <v>0</v>
      </c>
      <c r="EC144" s="399">
        <v>-56554.299779919129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221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144</v>
      </c>
      <c r="B145" s="399" t="s">
        <v>2330</v>
      </c>
      <c r="C145" s="399" t="s">
        <v>2328</v>
      </c>
      <c r="D145" s="399" t="s">
        <v>1824</v>
      </c>
      <c r="E145" s="399" t="s">
        <v>918</v>
      </c>
      <c r="F145" s="399" t="s">
        <v>1239</v>
      </c>
      <c r="G145" s="399" t="s">
        <v>1239</v>
      </c>
      <c r="H145" s="399" t="s">
        <v>1239</v>
      </c>
      <c r="I145" s="399" t="s">
        <v>1239</v>
      </c>
      <c r="J145" s="399" t="s">
        <v>2326</v>
      </c>
      <c r="K145" s="786">
        <v>44531</v>
      </c>
      <c r="L145" s="399">
        <v>0</v>
      </c>
      <c r="M145" s="399">
        <v>0</v>
      </c>
      <c r="N145" s="399">
        <v>4.7809999999999997</v>
      </c>
      <c r="O145" s="399">
        <v>4.7809999999999997</v>
      </c>
      <c r="P145" s="399">
        <v>4.7809999999999997</v>
      </c>
      <c r="Q145" s="399">
        <v>4.7809999999999997</v>
      </c>
      <c r="R145" s="399"/>
      <c r="S145" s="399">
        <v>825.6</v>
      </c>
      <c r="T145" s="399">
        <v>185.74</v>
      </c>
      <c r="U145" s="399"/>
      <c r="V145" s="399">
        <v>4835.2165400000004</v>
      </c>
      <c r="W145" s="399">
        <v>4835.2165400000004</v>
      </c>
      <c r="X145" s="399">
        <v>3005.8146999999994</v>
      </c>
      <c r="Y145" s="399">
        <v>0</v>
      </c>
      <c r="Z145" s="399">
        <v>298.07223906725483</v>
      </c>
      <c r="AA145" s="399">
        <v>0</v>
      </c>
      <c r="AB145" s="399">
        <v>0</v>
      </c>
      <c r="AC145" s="399">
        <v>0</v>
      </c>
      <c r="AD145" s="399">
        <v>623.11588758681512</v>
      </c>
      <c r="AE145" s="399">
        <v>2807.7368307251959</v>
      </c>
      <c r="AF145" s="399">
        <v>888.04344063381075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46.065863548904055</v>
      </c>
      <c r="AM145" s="399"/>
      <c r="AN145" s="399">
        <v>11.335116792065339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160.88303598550536</v>
      </c>
      <c r="BH145" s="399">
        <v>0</v>
      </c>
      <c r="BI145" s="399">
        <v>2</v>
      </c>
      <c r="BJ145" s="399">
        <v>9.99</v>
      </c>
      <c r="BK145" s="399">
        <v>2610.2800000000002</v>
      </c>
      <c r="BL145" s="399">
        <v>10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1048.9264766193162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3005.1860000000001</v>
      </c>
      <c r="CJ145" s="399">
        <v>-1830.0605400000009</v>
      </c>
      <c r="CK145" s="399"/>
      <c r="CL145" s="399"/>
      <c r="CM145" s="399"/>
      <c r="CN145" s="399"/>
      <c r="CO145" s="399">
        <v>-1829.40184</v>
      </c>
      <c r="CP145" s="399">
        <v>0</v>
      </c>
      <c r="CQ145" s="399"/>
      <c r="CR145" s="399">
        <v>-78.855706655170934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-57.361939327031905</v>
      </c>
      <c r="DA145" s="399">
        <v>0</v>
      </c>
      <c r="DB145" s="399">
        <v>0</v>
      </c>
      <c r="DC145" s="399">
        <v>0</v>
      </c>
      <c r="DD145" s="399">
        <v>0</v>
      </c>
      <c r="DE145" s="399">
        <v>0</v>
      </c>
      <c r="DF145" s="399">
        <v>0</v>
      </c>
      <c r="DG145" s="399">
        <v>0</v>
      </c>
      <c r="DH145" s="399">
        <v>0</v>
      </c>
      <c r="DI145" s="399">
        <v>-18.4353760672779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-2.4697012793910744</v>
      </c>
      <c r="DP145" s="399">
        <v>-0.58868998147018026</v>
      </c>
      <c r="DQ145" s="399">
        <v>0</v>
      </c>
      <c r="DR145" s="399">
        <v>0</v>
      </c>
      <c r="DS145" s="399"/>
      <c r="DT145" s="399"/>
      <c r="DU145" s="399"/>
      <c r="DV145" s="399">
        <v>2807.7368307251959</v>
      </c>
      <c r="DW145" s="399">
        <v>0</v>
      </c>
      <c r="DX145" s="399">
        <v>0</v>
      </c>
      <c r="DY145" s="399">
        <v>-1829.4018400000004</v>
      </c>
      <c r="DZ145" s="399">
        <v>0</v>
      </c>
      <c r="EA145" s="399">
        <v>0</v>
      </c>
      <c r="EB145" s="399">
        <v>0</v>
      </c>
      <c r="EC145" s="399">
        <v>-1750.5591021953899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221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145</v>
      </c>
      <c r="B146" s="399" t="s">
        <v>956</v>
      </c>
      <c r="C146" s="399" t="s">
        <v>2577</v>
      </c>
      <c r="D146" s="399" t="s">
        <v>533</v>
      </c>
      <c r="E146" s="399" t="s">
        <v>918</v>
      </c>
      <c r="F146" s="399" t="s">
        <v>1239</v>
      </c>
      <c r="G146" s="399" t="s">
        <v>1239</v>
      </c>
      <c r="H146" s="399" t="s">
        <v>1239</v>
      </c>
      <c r="I146" s="399" t="s">
        <v>893</v>
      </c>
      <c r="J146" s="399" t="s">
        <v>2326</v>
      </c>
      <c r="K146" s="786">
        <v>44531</v>
      </c>
      <c r="L146" s="399">
        <v>544</v>
      </c>
      <c r="M146" s="399">
        <v>544</v>
      </c>
      <c r="N146" s="399">
        <v>33.9</v>
      </c>
      <c r="O146" s="399">
        <v>33.9</v>
      </c>
      <c r="P146" s="399">
        <v>33.9</v>
      </c>
      <c r="Q146" s="399">
        <v>33.9</v>
      </c>
      <c r="R146" s="399">
        <v>181.08</v>
      </c>
      <c r="S146" s="399">
        <v>77.900000000000006</v>
      </c>
      <c r="T146" s="399">
        <v>185.74</v>
      </c>
      <c r="U146" s="399">
        <v>98507.520000000004</v>
      </c>
      <c r="V146" s="399">
        <v>8937.3960000000006</v>
      </c>
      <c r="W146" s="399">
        <v>107444.916</v>
      </c>
      <c r="X146" s="399">
        <v>57448.988000000005</v>
      </c>
      <c r="Y146" s="399">
        <v>0</v>
      </c>
      <c r="Z146" s="399">
        <v>1838.7459834366316</v>
      </c>
      <c r="AA146" s="399">
        <v>0</v>
      </c>
      <c r="AB146" s="399">
        <v>0</v>
      </c>
      <c r="AC146" s="399">
        <v>0</v>
      </c>
      <c r="AD146" s="399">
        <v>21742.819359950787</v>
      </c>
      <c r="AE146" s="399">
        <v>76763.513513440907</v>
      </c>
      <c r="AF146" s="399">
        <v>6296.7313611140316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326.63308393805636</v>
      </c>
      <c r="AM146" s="399"/>
      <c r="AN146" s="399">
        <v>35.116380258845361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440.43469173423637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6737.166052848268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57448.988000000005</v>
      </c>
      <c r="CJ146" s="399">
        <v>-49995.957999999977</v>
      </c>
      <c r="CK146" s="399"/>
      <c r="CL146" s="399"/>
      <c r="CM146" s="399"/>
      <c r="CN146" s="399"/>
      <c r="CO146" s="399">
        <v>-49995.928000000007</v>
      </c>
      <c r="CP146" s="399">
        <v>0</v>
      </c>
      <c r="CQ146" s="399"/>
      <c r="CR146" s="399">
        <v>-2134.6297242664514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-2001.5703495449416</v>
      </c>
      <c r="DA146" s="399">
        <v>0</v>
      </c>
      <c r="DB146" s="399">
        <v>0</v>
      </c>
      <c r="DC146" s="399">
        <v>0</v>
      </c>
      <c r="DD146" s="399">
        <v>0</v>
      </c>
      <c r="DE146" s="399">
        <v>0</v>
      </c>
      <c r="DF146" s="399">
        <v>0</v>
      </c>
      <c r="DG146" s="399">
        <v>0</v>
      </c>
      <c r="DH146" s="399">
        <v>0</v>
      </c>
      <c r="DI146" s="399">
        <v>-113.72402140812028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-17.51158196430822</v>
      </c>
      <c r="DP146" s="399">
        <v>-1.8237713490830316</v>
      </c>
      <c r="DQ146" s="399">
        <v>0</v>
      </c>
      <c r="DR146" s="399">
        <v>0</v>
      </c>
      <c r="DS146" s="399"/>
      <c r="DT146" s="399"/>
      <c r="DU146" s="399">
        <v>76763.513513440907</v>
      </c>
      <c r="DV146" s="399">
        <v>0</v>
      </c>
      <c r="DW146" s="399">
        <v>0</v>
      </c>
      <c r="DX146" s="399">
        <v>0</v>
      </c>
      <c r="DY146" s="399">
        <v>-49995.928</v>
      </c>
      <c r="DZ146" s="399">
        <v>0</v>
      </c>
      <c r="EA146" s="399">
        <v>0</v>
      </c>
      <c r="EB146" s="399">
        <v>0</v>
      </c>
      <c r="EC146" s="399">
        <v>-47860.278722327697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221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146</v>
      </c>
      <c r="B147" s="399" t="s">
        <v>956</v>
      </c>
      <c r="C147" s="399" t="s">
        <v>2577</v>
      </c>
      <c r="D147" s="399" t="s">
        <v>533</v>
      </c>
      <c r="E147" s="399" t="s">
        <v>918</v>
      </c>
      <c r="F147" s="399" t="s">
        <v>1239</v>
      </c>
      <c r="G147" s="399" t="s">
        <v>1239</v>
      </c>
      <c r="H147" s="399" t="s">
        <v>1239</v>
      </c>
      <c r="I147" s="399" t="s">
        <v>2323</v>
      </c>
      <c r="J147" s="399" t="s">
        <v>2326</v>
      </c>
      <c r="K147" s="786">
        <v>44531</v>
      </c>
      <c r="L147" s="399">
        <v>571</v>
      </c>
      <c r="M147" s="399">
        <v>571</v>
      </c>
      <c r="N147" s="399">
        <v>339.89699999999999</v>
      </c>
      <c r="O147" s="399">
        <v>339.89699999999999</v>
      </c>
      <c r="P147" s="399">
        <v>339.89699999999999</v>
      </c>
      <c r="Q147" s="399">
        <v>339.89699999999999</v>
      </c>
      <c r="R147" s="399">
        <v>55.59</v>
      </c>
      <c r="S147" s="399">
        <v>77.900000000000006</v>
      </c>
      <c r="T147" s="399">
        <v>185.74</v>
      </c>
      <c r="U147" s="399">
        <v>31741.890000000003</v>
      </c>
      <c r="V147" s="399">
        <v>89610.445080000005</v>
      </c>
      <c r="W147" s="399">
        <v>121352.33508000002</v>
      </c>
      <c r="X147" s="399">
        <v>105128.25883999999</v>
      </c>
      <c r="Y147" s="399">
        <v>0</v>
      </c>
      <c r="Z147" s="399">
        <v>18436.113378529815</v>
      </c>
      <c r="AA147" s="399">
        <v>0</v>
      </c>
      <c r="AB147" s="399">
        <v>0</v>
      </c>
      <c r="AC147" s="399">
        <v>0</v>
      </c>
      <c r="AD147" s="399">
        <v>9224.3170426599809</v>
      </c>
      <c r="AE147" s="399">
        <v>22514.942910977872</v>
      </c>
      <c r="AF147" s="399">
        <v>63133.926237421118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3274.9736085927302</v>
      </c>
      <c r="AM147" s="399"/>
      <c r="AN147" s="399">
        <v>352.0929882253912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4416.0008972386941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67549.927134659811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105129.038</v>
      </c>
      <c r="CJ147" s="399">
        <v>-16223.327080000003</v>
      </c>
      <c r="CK147" s="399"/>
      <c r="CL147" s="399"/>
      <c r="CM147" s="399"/>
      <c r="CN147" s="399"/>
      <c r="CO147" s="399">
        <v>-16224.07624</v>
      </c>
      <c r="CP147" s="399">
        <v>0</v>
      </c>
      <c r="CQ147" s="399"/>
      <c r="CR147" s="399">
        <v>-2183.2739239079674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-849.15940208741813</v>
      </c>
      <c r="DA147" s="399">
        <v>0</v>
      </c>
      <c r="DB147" s="399">
        <v>0</v>
      </c>
      <c r="DC147" s="399">
        <v>0</v>
      </c>
      <c r="DD147" s="399">
        <v>0</v>
      </c>
      <c r="DE147" s="399">
        <v>0</v>
      </c>
      <c r="DF147" s="399">
        <v>0</v>
      </c>
      <c r="DG147" s="399">
        <v>0</v>
      </c>
      <c r="DH147" s="399">
        <v>0</v>
      </c>
      <c r="DI147" s="399">
        <v>-1140.2493718158075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-175.57917920125283</v>
      </c>
      <c r="DP147" s="399">
        <v>-18.285970803518467</v>
      </c>
      <c r="DQ147" s="399">
        <v>0</v>
      </c>
      <c r="DR147" s="399">
        <v>0</v>
      </c>
      <c r="DS147" s="399"/>
      <c r="DT147" s="399"/>
      <c r="DU147" s="399">
        <v>22514.942910977872</v>
      </c>
      <c r="DV147" s="399">
        <v>0</v>
      </c>
      <c r="DW147" s="399">
        <v>0</v>
      </c>
      <c r="DX147" s="399">
        <v>0</v>
      </c>
      <c r="DY147" s="399">
        <v>-16224.076240000009</v>
      </c>
      <c r="DZ147" s="399">
        <v>0</v>
      </c>
      <c r="EA147" s="399">
        <v>0</v>
      </c>
      <c r="EB147" s="399">
        <v>0</v>
      </c>
      <c r="EC147" s="399">
        <v>-14037.547186372822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221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147</v>
      </c>
      <c r="B148" s="399" t="s">
        <v>956</v>
      </c>
      <c r="C148" s="399" t="s">
        <v>2577</v>
      </c>
      <c r="D148" s="399" t="s">
        <v>533</v>
      </c>
      <c r="E148" s="399" t="s">
        <v>918</v>
      </c>
      <c r="F148" s="399" t="s">
        <v>1239</v>
      </c>
      <c r="G148" s="399" t="s">
        <v>1239</v>
      </c>
      <c r="H148" s="399" t="s">
        <v>1239</v>
      </c>
      <c r="I148" s="399" t="s">
        <v>1239</v>
      </c>
      <c r="J148" s="399" t="s">
        <v>2326</v>
      </c>
      <c r="K148" s="786">
        <v>44531</v>
      </c>
      <c r="L148" s="399">
        <v>0</v>
      </c>
      <c r="M148" s="399">
        <v>0</v>
      </c>
      <c r="N148" s="399">
        <v>0</v>
      </c>
      <c r="O148" s="399">
        <v>0</v>
      </c>
      <c r="P148" s="399">
        <v>0</v>
      </c>
      <c r="Q148" s="399">
        <v>0</v>
      </c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>
        <v>0</v>
      </c>
      <c r="AB148" s="399"/>
      <c r="AC148" s="399"/>
      <c r="AD148" s="399"/>
      <c r="AE148" s="399"/>
      <c r="AF148" s="399"/>
      <c r="AG148" s="399"/>
      <c r="AH148" s="399"/>
      <c r="AI148" s="399"/>
      <c r="AJ148" s="399"/>
      <c r="AK148" s="399"/>
      <c r="AL148" s="399"/>
      <c r="AM148" s="399"/>
      <c r="AN148" s="399"/>
      <c r="AO148" s="399"/>
      <c r="AP148" s="399"/>
      <c r="AQ148" s="399"/>
      <c r="AR148" s="399"/>
      <c r="AS148" s="399"/>
      <c r="AT148" s="399"/>
      <c r="AU148" s="399"/>
      <c r="AV148" s="399"/>
      <c r="AW148" s="399"/>
      <c r="AX148" s="399"/>
      <c r="AY148" s="399"/>
      <c r="AZ148" s="399">
        <v>0</v>
      </c>
      <c r="BA148" s="399"/>
      <c r="BB148" s="399"/>
      <c r="BC148" s="399"/>
      <c r="BD148" s="399"/>
      <c r="BE148" s="399"/>
      <c r="BF148" s="399"/>
      <c r="BG148" s="399"/>
      <c r="BH148" s="399"/>
      <c r="BI148" s="399">
        <v>131.41</v>
      </c>
      <c r="BJ148" s="399">
        <v>635.15</v>
      </c>
      <c r="BK148" s="399">
        <v>73006.61</v>
      </c>
      <c r="BL148" s="399">
        <v>1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/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/>
      <c r="CJ148" s="399">
        <v>-0.03</v>
      </c>
      <c r="CK148" s="399"/>
      <c r="CL148" s="399"/>
      <c r="CM148" s="399"/>
      <c r="CN148" s="399"/>
      <c r="CO148" s="399">
        <v>0</v>
      </c>
      <c r="CP148" s="399">
        <v>0</v>
      </c>
      <c r="CQ148" s="399"/>
      <c r="CR148" s="399"/>
      <c r="CS148" s="399"/>
      <c r="CT148" s="399"/>
      <c r="CU148" s="399"/>
      <c r="CV148" s="399"/>
      <c r="CW148" s="399"/>
      <c r="CX148" s="399"/>
      <c r="CY148" s="399"/>
      <c r="CZ148" s="399"/>
      <c r="DA148" s="399"/>
      <c r="DB148" s="399"/>
      <c r="DC148" s="399"/>
      <c r="DD148" s="399"/>
      <c r="DE148" s="399"/>
      <c r="DF148" s="399"/>
      <c r="DG148" s="399"/>
      <c r="DH148" s="399"/>
      <c r="DI148" s="399"/>
      <c r="DJ148" s="399"/>
      <c r="DK148" s="399">
        <v>0</v>
      </c>
      <c r="DL148" s="399"/>
      <c r="DM148" s="399"/>
      <c r="DN148" s="399"/>
      <c r="DO148" s="399"/>
      <c r="DP148" s="399"/>
      <c r="DQ148" s="399"/>
      <c r="DR148" s="399"/>
      <c r="DS148" s="399"/>
      <c r="DT148" s="399"/>
      <c r="DU148" s="399"/>
      <c r="DV148" s="399"/>
      <c r="DW148" s="399"/>
      <c r="DX148" s="399"/>
      <c r="DY148" s="399"/>
      <c r="DZ148" s="399"/>
      <c r="EA148" s="399"/>
      <c r="EB148" s="399"/>
      <c r="EC148" s="399"/>
      <c r="ED148" s="399"/>
      <c r="EE148" s="399"/>
      <c r="EF148" s="399"/>
      <c r="EG148" s="399"/>
      <c r="EH148" s="399"/>
      <c r="EI148" s="399"/>
      <c r="EJ148" s="399"/>
      <c r="EK148" s="399"/>
      <c r="EL148" s="399"/>
      <c r="EM148" s="399"/>
      <c r="EN148" s="399"/>
      <c r="EO148" s="399"/>
      <c r="EP148" s="399"/>
      <c r="EQ148" s="399"/>
      <c r="ER148" s="399"/>
      <c r="ES148" s="399"/>
      <c r="ET148" s="399"/>
      <c r="EU148" s="399"/>
      <c r="EV148" s="399">
        <v>221</v>
      </c>
      <c r="EW148" s="399"/>
      <c r="EX148" s="399"/>
      <c r="EY148" s="399"/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148</v>
      </c>
      <c r="B149" s="399" t="s">
        <v>956</v>
      </c>
      <c r="C149" s="399" t="s">
        <v>2325</v>
      </c>
      <c r="D149" s="399" t="s">
        <v>533</v>
      </c>
      <c r="E149" s="399" t="s">
        <v>918</v>
      </c>
      <c r="F149" s="399" t="s">
        <v>1239</v>
      </c>
      <c r="G149" s="399" t="s">
        <v>1239</v>
      </c>
      <c r="H149" s="399" t="s">
        <v>1239</v>
      </c>
      <c r="I149" s="399" t="s">
        <v>893</v>
      </c>
      <c r="J149" s="399" t="s">
        <v>2326</v>
      </c>
      <c r="K149" s="786">
        <v>44531</v>
      </c>
      <c r="L149" s="399">
        <v>0</v>
      </c>
      <c r="M149" s="399">
        <v>0</v>
      </c>
      <c r="N149" s="399">
        <v>9.2059999999999995</v>
      </c>
      <c r="O149" s="399">
        <v>9.2059999999999995</v>
      </c>
      <c r="P149" s="399">
        <v>9.2059999999999995</v>
      </c>
      <c r="Q149" s="399">
        <v>9.2059999999999995</v>
      </c>
      <c r="R149" s="399"/>
      <c r="S149" s="399">
        <v>4433.21</v>
      </c>
      <c r="T149" s="399">
        <v>185.74</v>
      </c>
      <c r="U149" s="399"/>
      <c r="V149" s="399">
        <v>42522.053699999997</v>
      </c>
      <c r="W149" s="399">
        <v>42522.053699999997</v>
      </c>
      <c r="X149" s="399">
        <v>22192.167719999998</v>
      </c>
      <c r="Y149" s="399">
        <v>0</v>
      </c>
      <c r="Z149" s="399">
        <v>499.33615113621329</v>
      </c>
      <c r="AA149" s="399">
        <v>0</v>
      </c>
      <c r="AB149" s="399">
        <v>0</v>
      </c>
      <c r="AC149" s="399">
        <v>0</v>
      </c>
      <c r="AD149" s="399">
        <v>8852.7011071859433</v>
      </c>
      <c r="AE149" s="399">
        <v>31242.25082056519</v>
      </c>
      <c r="AF149" s="399">
        <v>1709.9619147615272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88.701597956747705</v>
      </c>
      <c r="AM149" s="399"/>
      <c r="AN149" s="399">
        <v>9.5363243853371795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119.60595197950974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1829.5678667410368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22201.810200000004</v>
      </c>
      <c r="CJ149" s="399">
        <v>-20320.273499999999</v>
      </c>
      <c r="CK149" s="399"/>
      <c r="CL149" s="399"/>
      <c r="CM149" s="399"/>
      <c r="CN149" s="399"/>
      <c r="CO149" s="399">
        <v>-20329.885979999999</v>
      </c>
      <c r="CP149" s="399">
        <v>0</v>
      </c>
      <c r="CQ149" s="399"/>
      <c r="CR149" s="399">
        <v>-851.0837561154076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-814.94969700961883</v>
      </c>
      <c r="DA149" s="399">
        <v>0</v>
      </c>
      <c r="DB149" s="399">
        <v>0</v>
      </c>
      <c r="DC149" s="399">
        <v>0</v>
      </c>
      <c r="DD149" s="399">
        <v>0</v>
      </c>
      <c r="DE149" s="399">
        <v>0</v>
      </c>
      <c r="DF149" s="399">
        <v>0</v>
      </c>
      <c r="DG149" s="399">
        <v>0</v>
      </c>
      <c r="DH149" s="399">
        <v>0</v>
      </c>
      <c r="DI149" s="399">
        <v>-30.883284397733178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-4.7555051198649494</v>
      </c>
      <c r="DP149" s="399">
        <v>-0.49526958819051359</v>
      </c>
      <c r="DQ149" s="399">
        <v>0</v>
      </c>
      <c r="DR149" s="399">
        <v>0</v>
      </c>
      <c r="DS149" s="399"/>
      <c r="DT149" s="399"/>
      <c r="DU149" s="399"/>
      <c r="DV149" s="399">
        <v>31242.25082056519</v>
      </c>
      <c r="DW149" s="399">
        <v>0</v>
      </c>
      <c r="DX149" s="399">
        <v>0</v>
      </c>
      <c r="DY149" s="399">
        <v>-20329.885979999995</v>
      </c>
      <c r="DZ149" s="399">
        <v>0</v>
      </c>
      <c r="EA149" s="399">
        <v>0</v>
      </c>
      <c r="EB149" s="399">
        <v>0</v>
      </c>
      <c r="EC149" s="399">
        <v>-19478.822213150841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221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149</v>
      </c>
      <c r="B150" s="399" t="s">
        <v>956</v>
      </c>
      <c r="C150" s="399" t="s">
        <v>2325</v>
      </c>
      <c r="D150" s="399" t="s">
        <v>533</v>
      </c>
      <c r="E150" s="399" t="s">
        <v>918</v>
      </c>
      <c r="F150" s="399" t="s">
        <v>1239</v>
      </c>
      <c r="G150" s="399" t="s">
        <v>1239</v>
      </c>
      <c r="H150" s="399" t="s">
        <v>1239</v>
      </c>
      <c r="I150" s="399" t="s">
        <v>2323</v>
      </c>
      <c r="J150" s="399" t="s">
        <v>2326</v>
      </c>
      <c r="K150" s="786">
        <v>44531</v>
      </c>
      <c r="L150" s="399">
        <v>0</v>
      </c>
      <c r="M150" s="399">
        <v>0</v>
      </c>
      <c r="N150" s="399">
        <v>341.05599999999998</v>
      </c>
      <c r="O150" s="399">
        <v>341.05599999999998</v>
      </c>
      <c r="P150" s="399">
        <v>341.05599999999998</v>
      </c>
      <c r="Q150" s="399">
        <v>341.05599999999998</v>
      </c>
      <c r="R150" s="399"/>
      <c r="S150" s="399">
        <v>77.900000000000006</v>
      </c>
      <c r="T150" s="399">
        <v>185.74</v>
      </c>
      <c r="U150" s="399"/>
      <c r="V150" s="399">
        <v>89916.00383999999</v>
      </c>
      <c r="W150" s="399">
        <v>89916.00383999999</v>
      </c>
      <c r="X150" s="399">
        <v>88579.064320000005</v>
      </c>
      <c r="Y150" s="399">
        <v>0</v>
      </c>
      <c r="Z150" s="399">
        <v>18498.977879851438</v>
      </c>
      <c r="AA150" s="399">
        <v>0</v>
      </c>
      <c r="AB150" s="399">
        <v>0</v>
      </c>
      <c r="AC150" s="399">
        <v>0</v>
      </c>
      <c r="AD150" s="399">
        <v>0</v>
      </c>
      <c r="AE150" s="399">
        <v>0</v>
      </c>
      <c r="AF150" s="399">
        <v>63349.203867141805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3286.1407986896093</v>
      </c>
      <c r="AM150" s="399"/>
      <c r="AN150" s="399">
        <v>353.29357479530279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4431.0588266699624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67780.262693811761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88580.103199999998</v>
      </c>
      <c r="CJ150" s="399">
        <v>-1335.9306399999914</v>
      </c>
      <c r="CK150" s="399"/>
      <c r="CL150" s="399"/>
      <c r="CM150" s="399"/>
      <c r="CN150" s="399"/>
      <c r="CO150" s="399">
        <v>-1336.9395200000006</v>
      </c>
      <c r="CP150" s="399">
        <v>0</v>
      </c>
      <c r="CQ150" s="399"/>
      <c r="CR150" s="399">
        <v>-1338.6636609150446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0</v>
      </c>
      <c r="DA150" s="399">
        <v>0</v>
      </c>
      <c r="DB150" s="399">
        <v>0</v>
      </c>
      <c r="DC150" s="399">
        <v>0</v>
      </c>
      <c r="DD150" s="399">
        <v>0</v>
      </c>
      <c r="DE150" s="399">
        <v>0</v>
      </c>
      <c r="DF150" s="399">
        <v>0</v>
      </c>
      <c r="DG150" s="399">
        <v>0</v>
      </c>
      <c r="DH150" s="399">
        <v>0</v>
      </c>
      <c r="DI150" s="399">
        <v>-1144.137458565423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-176.17787900941312</v>
      </c>
      <c r="DP150" s="399">
        <v>-18.348323340202455</v>
      </c>
      <c r="DQ150" s="399">
        <v>0</v>
      </c>
      <c r="DR150" s="399">
        <v>0</v>
      </c>
      <c r="DS150" s="399"/>
      <c r="DT150" s="399"/>
      <c r="DU150" s="399"/>
      <c r="DV150" s="399">
        <v>0</v>
      </c>
      <c r="DW150" s="399">
        <v>0</v>
      </c>
      <c r="DX150" s="399">
        <v>0</v>
      </c>
      <c r="DY150" s="399">
        <v>-1336.9395199999999</v>
      </c>
      <c r="DZ150" s="399">
        <v>0</v>
      </c>
      <c r="EA150" s="399">
        <v>0</v>
      </c>
      <c r="EB150" s="399">
        <v>0</v>
      </c>
      <c r="EC150" s="399">
        <v>0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221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150</v>
      </c>
      <c r="B151" s="399" t="s">
        <v>956</v>
      </c>
      <c r="C151" s="399" t="s">
        <v>2325</v>
      </c>
      <c r="D151" s="399" t="s">
        <v>533</v>
      </c>
      <c r="E151" s="399" t="s">
        <v>918</v>
      </c>
      <c r="F151" s="399" t="s">
        <v>1239</v>
      </c>
      <c r="G151" s="399" t="s">
        <v>1239</v>
      </c>
      <c r="H151" s="399" t="s">
        <v>1239</v>
      </c>
      <c r="I151" s="399" t="s">
        <v>1239</v>
      </c>
      <c r="J151" s="399" t="s">
        <v>2326</v>
      </c>
      <c r="K151" s="786">
        <v>44531</v>
      </c>
      <c r="L151" s="399">
        <v>1178</v>
      </c>
      <c r="M151" s="399">
        <v>1178</v>
      </c>
      <c r="N151" s="399">
        <v>0</v>
      </c>
      <c r="O151" s="399">
        <v>0</v>
      </c>
      <c r="P151" s="399">
        <v>0</v>
      </c>
      <c r="Q151" s="399">
        <v>0</v>
      </c>
      <c r="R151" s="399">
        <v>55.59</v>
      </c>
      <c r="S151" s="399"/>
      <c r="T151" s="399"/>
      <c r="U151" s="399">
        <v>65485.020000000004</v>
      </c>
      <c r="V151" s="399"/>
      <c r="W151" s="399">
        <v>65485.020000000004</v>
      </c>
      <c r="X151" s="399">
        <v>34762.78</v>
      </c>
      <c r="Y151" s="399">
        <v>0</v>
      </c>
      <c r="Z151" s="399">
        <v>0</v>
      </c>
      <c r="AA151" s="399">
        <v>0</v>
      </c>
      <c r="AB151" s="399">
        <v>0</v>
      </c>
      <c r="AC151" s="399">
        <v>0</v>
      </c>
      <c r="AD151" s="399">
        <v>19030.20223511989</v>
      </c>
      <c r="AE151" s="399">
        <v>46449.391854872039</v>
      </c>
      <c r="AF151" s="399"/>
      <c r="AG151" s="399"/>
      <c r="AH151" s="399"/>
      <c r="AI151" s="399">
        <v>0</v>
      </c>
      <c r="AJ151" s="399">
        <v>0</v>
      </c>
      <c r="AK151" s="399">
        <v>0</v>
      </c>
      <c r="AL151" s="399">
        <v>0</v>
      </c>
      <c r="AM151" s="399"/>
      <c r="AN151" s="399">
        <v>0</v>
      </c>
      <c r="AO151" s="399">
        <v>0</v>
      </c>
      <c r="AP151" s="399">
        <v>0</v>
      </c>
      <c r="AQ151" s="399">
        <v>0</v>
      </c>
      <c r="AR151" s="399">
        <v>0</v>
      </c>
      <c r="AS151" s="399"/>
      <c r="AT151" s="399"/>
      <c r="AU151" s="399">
        <v>0</v>
      </c>
      <c r="AV151" s="399">
        <v>0</v>
      </c>
      <c r="AW151" s="399">
        <v>0</v>
      </c>
      <c r="AX151" s="399"/>
      <c r="AY151" s="399"/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/>
      <c r="BG151" s="399">
        <v>0</v>
      </c>
      <c r="BH151" s="399">
        <v>0</v>
      </c>
      <c r="BI151" s="399">
        <v>120.04</v>
      </c>
      <c r="BJ151" s="399">
        <v>580.29</v>
      </c>
      <c r="BK151" s="399">
        <v>66394.91</v>
      </c>
      <c r="BL151" s="399">
        <v>5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0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34762.78</v>
      </c>
      <c r="CJ151" s="399">
        <v>-30722.270000000011</v>
      </c>
      <c r="CK151" s="399"/>
      <c r="CL151" s="399"/>
      <c r="CM151" s="399"/>
      <c r="CN151" s="399"/>
      <c r="CO151" s="399">
        <v>-30722.240000000002</v>
      </c>
      <c r="CP151" s="399">
        <v>0</v>
      </c>
      <c r="CQ151" s="399"/>
      <c r="CR151" s="399">
        <v>-1751.8559994027673</v>
      </c>
      <c r="CS151" s="399">
        <v>0</v>
      </c>
      <c r="CT151" s="399">
        <v>0</v>
      </c>
      <c r="CU151" s="399">
        <v>0</v>
      </c>
      <c r="CV151" s="399">
        <v>0</v>
      </c>
      <c r="CW151" s="399"/>
      <c r="CX151" s="399"/>
      <c r="CY151" s="399"/>
      <c r="CZ151" s="399">
        <v>-1751.8559994027673</v>
      </c>
      <c r="DA151" s="399">
        <v>0</v>
      </c>
      <c r="DB151" s="399">
        <v>0</v>
      </c>
      <c r="DC151" s="399"/>
      <c r="DD151" s="399"/>
      <c r="DE151" s="399">
        <v>0</v>
      </c>
      <c r="DF151" s="399">
        <v>0</v>
      </c>
      <c r="DG151" s="399">
        <v>0</v>
      </c>
      <c r="DH151" s="399">
        <v>0</v>
      </c>
      <c r="DI151" s="399">
        <v>0</v>
      </c>
      <c r="DJ151" s="399"/>
      <c r="DK151" s="399">
        <v>0</v>
      </c>
      <c r="DL151" s="399">
        <v>0</v>
      </c>
      <c r="DM151" s="399"/>
      <c r="DN151" s="399">
        <v>0</v>
      </c>
      <c r="DO151" s="399">
        <v>0</v>
      </c>
      <c r="DP151" s="399">
        <v>0</v>
      </c>
      <c r="DQ151" s="399">
        <v>0</v>
      </c>
      <c r="DR151" s="399">
        <v>0</v>
      </c>
      <c r="DS151" s="399"/>
      <c r="DT151" s="399"/>
      <c r="DU151" s="399">
        <v>46449.391854872039</v>
      </c>
      <c r="DV151" s="399"/>
      <c r="DW151" s="399">
        <v>0</v>
      </c>
      <c r="DX151" s="399">
        <v>0</v>
      </c>
      <c r="DY151" s="399">
        <v>-30722.240000000005</v>
      </c>
      <c r="DZ151" s="399"/>
      <c r="EA151" s="399">
        <v>0</v>
      </c>
      <c r="EB151" s="399"/>
      <c r="EC151" s="399">
        <v>-28960.123617420639</v>
      </c>
      <c r="ED151" s="399"/>
      <c r="EE151" s="399">
        <v>0</v>
      </c>
      <c r="EF151" s="399">
        <v>0</v>
      </c>
      <c r="EG151" s="399"/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/>
      <c r="EN151" s="399"/>
      <c r="EO151" s="399">
        <v>0</v>
      </c>
      <c r="EP151" s="399">
        <v>0</v>
      </c>
      <c r="EQ151" s="399"/>
      <c r="ER151" s="399">
        <v>0</v>
      </c>
      <c r="ES151" s="399"/>
      <c r="ET151" s="399">
        <v>0</v>
      </c>
      <c r="EU151" s="399"/>
      <c r="EV151" s="399">
        <v>221</v>
      </c>
      <c r="EW151" s="399"/>
      <c r="EX151" s="399"/>
      <c r="EY151" s="399"/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151</v>
      </c>
      <c r="B152" s="399" t="s">
        <v>956</v>
      </c>
      <c r="C152" s="399" t="s">
        <v>2335</v>
      </c>
      <c r="D152" s="399" t="s">
        <v>1824</v>
      </c>
      <c r="E152" s="399" t="s">
        <v>918</v>
      </c>
      <c r="F152" s="399" t="s">
        <v>1239</v>
      </c>
      <c r="G152" s="399" t="s">
        <v>1239</v>
      </c>
      <c r="H152" s="399" t="s">
        <v>1239</v>
      </c>
      <c r="I152" s="399" t="s">
        <v>893</v>
      </c>
      <c r="J152" s="399" t="s">
        <v>2326</v>
      </c>
      <c r="K152" s="786">
        <v>44531</v>
      </c>
      <c r="L152" s="399">
        <v>0</v>
      </c>
      <c r="M152" s="399">
        <v>0</v>
      </c>
      <c r="N152" s="399">
        <v>9.2999999999999999E-2</v>
      </c>
      <c r="O152" s="399">
        <v>9.2999999999999999E-2</v>
      </c>
      <c r="P152" s="399">
        <v>9.2999999999999999E-2</v>
      </c>
      <c r="Q152" s="399">
        <v>9.2999999999999999E-2</v>
      </c>
      <c r="R152" s="399"/>
      <c r="S152" s="399">
        <v>2583.84</v>
      </c>
      <c r="T152" s="399">
        <v>185.74</v>
      </c>
      <c r="U152" s="399"/>
      <c r="V152" s="399">
        <v>257.57094000000001</v>
      </c>
      <c r="W152" s="399">
        <v>257.57094000000001</v>
      </c>
      <c r="X152" s="399">
        <v>135.82371000000001</v>
      </c>
      <c r="Y152" s="399">
        <v>0</v>
      </c>
      <c r="Z152" s="399">
        <v>5.7981004461942485</v>
      </c>
      <c r="AA152" s="399">
        <v>0</v>
      </c>
      <c r="AB152" s="399">
        <v>0</v>
      </c>
      <c r="AC152" s="399">
        <v>0</v>
      </c>
      <c r="AD152" s="399">
        <v>41.827407818978273</v>
      </c>
      <c r="AE152" s="399">
        <v>188.42543238244161</v>
      </c>
      <c r="AF152" s="399">
        <v>17.274218778277433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0.89607306213095117</v>
      </c>
      <c r="AM152" s="399"/>
      <c r="AN152" s="399">
        <v>0.22049066338884679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3.1294964121840616</v>
      </c>
      <c r="BH152" s="399">
        <v>0</v>
      </c>
      <c r="BI152" s="399">
        <v>0</v>
      </c>
      <c r="BJ152" s="399">
        <v>0</v>
      </c>
      <c r="BK152" s="399">
        <v>0</v>
      </c>
      <c r="BL152" s="399">
        <v>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20.403715190461494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131.44229999999999</v>
      </c>
      <c r="CJ152" s="399">
        <v>-126.15863999999999</v>
      </c>
      <c r="CK152" s="399"/>
      <c r="CL152" s="399"/>
      <c r="CM152" s="399"/>
      <c r="CN152" s="399"/>
      <c r="CO152" s="399">
        <v>-121.74723000000002</v>
      </c>
      <c r="CP152" s="399">
        <v>0</v>
      </c>
      <c r="CQ152" s="399"/>
      <c r="CR152" s="399">
        <v>-4.2685862836796531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-3.8504895755606583</v>
      </c>
      <c r="DA152" s="399">
        <v>0</v>
      </c>
      <c r="DB152" s="399">
        <v>0</v>
      </c>
      <c r="DC152" s="399">
        <v>0</v>
      </c>
      <c r="DD152" s="399">
        <v>0</v>
      </c>
      <c r="DE152" s="399">
        <v>0</v>
      </c>
      <c r="DF152" s="399">
        <v>0</v>
      </c>
      <c r="DG152" s="399">
        <v>0</v>
      </c>
      <c r="DH152" s="399">
        <v>0</v>
      </c>
      <c r="DI152" s="399">
        <v>-0.35860488898909182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-4.8040623087925227E-2</v>
      </c>
      <c r="DP152" s="399">
        <v>-1.1451196041984274E-2</v>
      </c>
      <c r="DQ152" s="399">
        <v>0</v>
      </c>
      <c r="DR152" s="399">
        <v>0</v>
      </c>
      <c r="DS152" s="399"/>
      <c r="DT152" s="399"/>
      <c r="DU152" s="399"/>
      <c r="DV152" s="399">
        <v>188.42543238244161</v>
      </c>
      <c r="DW152" s="399">
        <v>0</v>
      </c>
      <c r="DX152" s="399">
        <v>0</v>
      </c>
      <c r="DY152" s="399">
        <v>-121.74723</v>
      </c>
      <c r="DZ152" s="399">
        <v>0</v>
      </c>
      <c r="EA152" s="399">
        <v>0</v>
      </c>
      <c r="EB152" s="399">
        <v>0</v>
      </c>
      <c r="EC152" s="399">
        <v>-117.47890761435438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221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152</v>
      </c>
      <c r="B153" s="399" t="s">
        <v>956</v>
      </c>
      <c r="C153" s="399" t="s">
        <v>2335</v>
      </c>
      <c r="D153" s="399" t="s">
        <v>1824</v>
      </c>
      <c r="E153" s="399" t="s">
        <v>918</v>
      </c>
      <c r="F153" s="399" t="s">
        <v>1239</v>
      </c>
      <c r="G153" s="399" t="s">
        <v>1239</v>
      </c>
      <c r="H153" s="399" t="s">
        <v>1239</v>
      </c>
      <c r="I153" s="399" t="s">
        <v>2323</v>
      </c>
      <c r="J153" s="399" t="s">
        <v>2326</v>
      </c>
      <c r="K153" s="786">
        <v>44531</v>
      </c>
      <c r="L153" s="399">
        <v>0</v>
      </c>
      <c r="M153" s="399">
        <v>0</v>
      </c>
      <c r="N153" s="399">
        <v>0.84399999999999997</v>
      </c>
      <c r="O153" s="399">
        <v>0.84399999999999997</v>
      </c>
      <c r="P153" s="399">
        <v>0.84399999999999997</v>
      </c>
      <c r="Q153" s="399">
        <v>0.84399999999999997</v>
      </c>
      <c r="R153" s="399"/>
      <c r="S153" s="399">
        <v>603.13</v>
      </c>
      <c r="T153" s="399">
        <v>185.74</v>
      </c>
      <c r="U153" s="399"/>
      <c r="V153" s="399">
        <v>665.80628000000002</v>
      </c>
      <c r="W153" s="399">
        <v>665.80628000000002</v>
      </c>
      <c r="X153" s="399">
        <v>441.80024000000003</v>
      </c>
      <c r="Y153" s="399">
        <v>0</v>
      </c>
      <c r="Z153" s="399">
        <v>52.619320178365008</v>
      </c>
      <c r="AA153" s="399">
        <v>0</v>
      </c>
      <c r="AB153" s="399">
        <v>0</v>
      </c>
      <c r="AC153" s="399">
        <v>0</v>
      </c>
      <c r="AD153" s="399">
        <v>75.886404474603395</v>
      </c>
      <c r="AE153" s="399">
        <v>342.00263177279146</v>
      </c>
      <c r="AF153" s="399">
        <v>156.76817902006616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8.1321039186937938</v>
      </c>
      <c r="AM153" s="399"/>
      <c r="AN153" s="399">
        <v>2.001012041937491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28.401021203046753</v>
      </c>
      <c r="BH153" s="399">
        <v>0</v>
      </c>
      <c r="BI153" s="399">
        <v>0</v>
      </c>
      <c r="BJ153" s="399">
        <v>0</v>
      </c>
      <c r="BK153" s="399">
        <v>0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185.16920022311291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439.70640000000003</v>
      </c>
      <c r="CJ153" s="399">
        <v>-226.12987999999996</v>
      </c>
      <c r="CK153" s="399"/>
      <c r="CL153" s="399"/>
      <c r="CM153" s="399"/>
      <c r="CN153" s="399"/>
      <c r="CO153" s="399">
        <v>-224.00603999999996</v>
      </c>
      <c r="CP153" s="399">
        <v>0</v>
      </c>
      <c r="CQ153" s="399"/>
      <c r="CR153" s="399">
        <v>-10.780185533723454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-6.9858455159553188</v>
      </c>
      <c r="DA153" s="399">
        <v>0</v>
      </c>
      <c r="DB153" s="399">
        <v>0</v>
      </c>
      <c r="DC153" s="399">
        <v>0</v>
      </c>
      <c r="DD153" s="399">
        <v>0</v>
      </c>
      <c r="DE153" s="399">
        <v>0</v>
      </c>
      <c r="DF153" s="399">
        <v>0</v>
      </c>
      <c r="DG153" s="399">
        <v>0</v>
      </c>
      <c r="DH153" s="399">
        <v>0</v>
      </c>
      <c r="DI153" s="399">
        <v>-3.2544357667397108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-0.4359815686689128</v>
      </c>
      <c r="DP153" s="399">
        <v>-0.10392268235951296</v>
      </c>
      <c r="DQ153" s="399">
        <v>0</v>
      </c>
      <c r="DR153" s="399">
        <v>0</v>
      </c>
      <c r="DS153" s="399"/>
      <c r="DT153" s="399"/>
      <c r="DU153" s="399"/>
      <c r="DV153" s="399">
        <v>342.00263177279146</v>
      </c>
      <c r="DW153" s="399">
        <v>0</v>
      </c>
      <c r="DX153" s="399">
        <v>0</v>
      </c>
      <c r="DY153" s="399">
        <v>-224.00603999999998</v>
      </c>
      <c r="DZ153" s="399">
        <v>0</v>
      </c>
      <c r="EA153" s="399">
        <v>0</v>
      </c>
      <c r="EB153" s="399">
        <v>0</v>
      </c>
      <c r="EC153" s="399">
        <v>-213.23074636948914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221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153</v>
      </c>
      <c r="B154" s="399" t="s">
        <v>956</v>
      </c>
      <c r="C154" s="399" t="s">
        <v>2335</v>
      </c>
      <c r="D154" s="399" t="s">
        <v>1824</v>
      </c>
      <c r="E154" s="399" t="s">
        <v>918</v>
      </c>
      <c r="F154" s="399" t="s">
        <v>1239</v>
      </c>
      <c r="G154" s="399" t="s">
        <v>1239</v>
      </c>
      <c r="H154" s="399" t="s">
        <v>1239</v>
      </c>
      <c r="I154" s="399" t="s">
        <v>1239</v>
      </c>
      <c r="J154" s="399" t="s">
        <v>2326</v>
      </c>
      <c r="K154" s="786">
        <v>44531</v>
      </c>
      <c r="L154" s="399">
        <v>0</v>
      </c>
      <c r="M154" s="399">
        <v>0</v>
      </c>
      <c r="N154" s="399">
        <v>0</v>
      </c>
      <c r="O154" s="399">
        <v>0</v>
      </c>
      <c r="P154" s="399">
        <v>0</v>
      </c>
      <c r="Q154" s="399">
        <v>0</v>
      </c>
      <c r="R154" s="399"/>
      <c r="S154" s="399"/>
      <c r="T154" s="399"/>
      <c r="U154" s="399"/>
      <c r="V154" s="399"/>
      <c r="W154" s="399"/>
      <c r="X154" s="399"/>
      <c r="Y154" s="399"/>
      <c r="Z154" s="399"/>
      <c r="AA154" s="399">
        <v>0</v>
      </c>
      <c r="AB154" s="399"/>
      <c r="AC154" s="399"/>
      <c r="AD154" s="399"/>
      <c r="AE154" s="399"/>
      <c r="AF154" s="399"/>
      <c r="AG154" s="399"/>
      <c r="AH154" s="399"/>
      <c r="AI154" s="399"/>
      <c r="AJ154" s="399"/>
      <c r="AK154" s="399"/>
      <c r="AL154" s="399"/>
      <c r="AM154" s="399"/>
      <c r="AN154" s="399"/>
      <c r="AO154" s="399"/>
      <c r="AP154" s="399"/>
      <c r="AQ154" s="399"/>
      <c r="AR154" s="399"/>
      <c r="AS154" s="399"/>
      <c r="AT154" s="399"/>
      <c r="AU154" s="399"/>
      <c r="AV154" s="399"/>
      <c r="AW154" s="399"/>
      <c r="AX154" s="399"/>
      <c r="AY154" s="399"/>
      <c r="AZ154" s="399">
        <v>0</v>
      </c>
      <c r="BA154" s="399"/>
      <c r="BB154" s="399"/>
      <c r="BC154" s="399"/>
      <c r="BD154" s="399"/>
      <c r="BE154" s="399"/>
      <c r="BF154" s="399"/>
      <c r="BG154" s="399"/>
      <c r="BH154" s="399"/>
      <c r="BI154" s="399">
        <v>0.46</v>
      </c>
      <c r="BJ154" s="399">
        <v>2.2599999999999998</v>
      </c>
      <c r="BK154" s="399">
        <v>259.70999999999998</v>
      </c>
      <c r="BL154" s="399">
        <v>1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/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/>
      <c r="CJ154" s="399">
        <v>-0.03</v>
      </c>
      <c r="CK154" s="399"/>
      <c r="CL154" s="399"/>
      <c r="CM154" s="399"/>
      <c r="CN154" s="399"/>
      <c r="CO154" s="399">
        <v>0</v>
      </c>
      <c r="CP154" s="399">
        <v>0</v>
      </c>
      <c r="CQ154" s="399"/>
      <c r="CR154" s="399"/>
      <c r="CS154" s="399"/>
      <c r="CT154" s="399"/>
      <c r="CU154" s="399"/>
      <c r="CV154" s="399"/>
      <c r="CW154" s="399"/>
      <c r="CX154" s="399"/>
      <c r="CY154" s="399"/>
      <c r="CZ154" s="399"/>
      <c r="DA154" s="399"/>
      <c r="DB154" s="399"/>
      <c r="DC154" s="399"/>
      <c r="DD154" s="399"/>
      <c r="DE154" s="399"/>
      <c r="DF154" s="399"/>
      <c r="DG154" s="399"/>
      <c r="DH154" s="399"/>
      <c r="DI154" s="399"/>
      <c r="DJ154" s="399"/>
      <c r="DK154" s="399">
        <v>0</v>
      </c>
      <c r="DL154" s="399"/>
      <c r="DM154" s="399"/>
      <c r="DN154" s="399"/>
      <c r="DO154" s="399"/>
      <c r="DP154" s="399"/>
      <c r="DQ154" s="399"/>
      <c r="DR154" s="399"/>
      <c r="DS154" s="399"/>
      <c r="DT154" s="399"/>
      <c r="DU154" s="399"/>
      <c r="DV154" s="399"/>
      <c r="DW154" s="399"/>
      <c r="DX154" s="399"/>
      <c r="DY154" s="399"/>
      <c r="DZ154" s="399"/>
      <c r="EA154" s="399"/>
      <c r="EB154" s="399"/>
      <c r="EC154" s="399"/>
      <c r="ED154" s="399"/>
      <c r="EE154" s="399"/>
      <c r="EF154" s="399"/>
      <c r="EG154" s="399"/>
      <c r="EH154" s="399"/>
      <c r="EI154" s="399"/>
      <c r="EJ154" s="399"/>
      <c r="EK154" s="399"/>
      <c r="EL154" s="399"/>
      <c r="EM154" s="399"/>
      <c r="EN154" s="399"/>
      <c r="EO154" s="399"/>
      <c r="EP154" s="399"/>
      <c r="EQ154" s="399"/>
      <c r="ER154" s="399"/>
      <c r="ES154" s="399"/>
      <c r="ET154" s="399"/>
      <c r="EU154" s="399"/>
      <c r="EV154" s="399">
        <v>221</v>
      </c>
      <c r="EW154" s="399"/>
      <c r="EX154" s="399"/>
      <c r="EY154" s="399"/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154</v>
      </c>
      <c r="B155" s="399" t="s">
        <v>956</v>
      </c>
      <c r="C155" s="399" t="s">
        <v>2335</v>
      </c>
      <c r="D155" s="399" t="s">
        <v>1824</v>
      </c>
      <c r="E155" s="399" t="s">
        <v>918</v>
      </c>
      <c r="F155" s="399" t="s">
        <v>1239</v>
      </c>
      <c r="G155" s="399" t="s">
        <v>1239</v>
      </c>
      <c r="H155" s="399" t="s">
        <v>1239</v>
      </c>
      <c r="I155" s="399" t="s">
        <v>2336</v>
      </c>
      <c r="J155" s="399" t="s">
        <v>2326</v>
      </c>
      <c r="K155" s="786">
        <v>44531</v>
      </c>
      <c r="L155" s="399">
        <v>0</v>
      </c>
      <c r="M155" s="399">
        <v>0</v>
      </c>
      <c r="N155" s="399">
        <v>5.8000000000000003E-2</v>
      </c>
      <c r="O155" s="399">
        <v>5.8000000000000003E-2</v>
      </c>
      <c r="P155" s="399">
        <v>5.8000000000000003E-2</v>
      </c>
      <c r="Q155" s="399">
        <v>5.8000000000000003E-2</v>
      </c>
      <c r="R155" s="399"/>
      <c r="S155" s="399">
        <v>1593.45</v>
      </c>
      <c r="T155" s="399">
        <v>185.74</v>
      </c>
      <c r="U155" s="399"/>
      <c r="V155" s="399">
        <v>103.19302</v>
      </c>
      <c r="W155" s="399">
        <v>103.19302</v>
      </c>
      <c r="X155" s="399">
        <v>57.531940000000006</v>
      </c>
      <c r="Y155" s="399">
        <v>0</v>
      </c>
      <c r="Z155" s="399">
        <v>3.6160196331103918</v>
      </c>
      <c r="AA155" s="399">
        <v>0</v>
      </c>
      <c r="AB155" s="399">
        <v>0</v>
      </c>
      <c r="AC155" s="399">
        <v>0</v>
      </c>
      <c r="AD155" s="399">
        <v>15.648560067687006</v>
      </c>
      <c r="AE155" s="399">
        <v>70.507573324619187</v>
      </c>
      <c r="AF155" s="399">
        <v>10.773168700431087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0.55884126455478678</v>
      </c>
      <c r="AM155" s="399"/>
      <c r="AN155" s="399">
        <v>0.13751030619949586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1.9517289452330708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12.724897645664159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59.515799999999999</v>
      </c>
      <c r="CJ155" s="399">
        <v>-43.707220000000021</v>
      </c>
      <c r="CK155" s="399"/>
      <c r="CL155" s="399"/>
      <c r="CM155" s="399"/>
      <c r="CN155" s="399"/>
      <c r="CO155" s="399">
        <v>-45.661079999999998</v>
      </c>
      <c r="CP155" s="399">
        <v>0</v>
      </c>
      <c r="CQ155" s="399"/>
      <c r="CR155" s="399">
        <v>-1.7013019531613445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-1.440553468527991</v>
      </c>
      <c r="DA155" s="399">
        <v>0</v>
      </c>
      <c r="DB155" s="399">
        <v>0</v>
      </c>
      <c r="DC155" s="399">
        <v>0</v>
      </c>
      <c r="DD155" s="399">
        <v>0</v>
      </c>
      <c r="DE155" s="399">
        <v>0</v>
      </c>
      <c r="DF155" s="399">
        <v>0</v>
      </c>
      <c r="DG155" s="399">
        <v>0</v>
      </c>
      <c r="DH155" s="399">
        <v>0</v>
      </c>
      <c r="DI155" s="399">
        <v>-0.22364605979964836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-2.9960818699996339E-2</v>
      </c>
      <c r="DP155" s="399">
        <v>-7.1416061337106207E-3</v>
      </c>
      <c r="DQ155" s="399">
        <v>0</v>
      </c>
      <c r="DR155" s="399">
        <v>0</v>
      </c>
      <c r="DS155" s="399"/>
      <c r="DT155" s="399"/>
      <c r="DU155" s="399"/>
      <c r="DV155" s="399">
        <v>70.507573324619187</v>
      </c>
      <c r="DW155" s="399">
        <v>0</v>
      </c>
      <c r="DX155" s="399">
        <v>0</v>
      </c>
      <c r="DY155" s="399">
        <v>-45.661079999999998</v>
      </c>
      <c r="DZ155" s="399">
        <v>0</v>
      </c>
      <c r="EA155" s="399">
        <v>0</v>
      </c>
      <c r="EB155" s="399">
        <v>0</v>
      </c>
      <c r="EC155" s="399">
        <v>-43.959844422185824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221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155</v>
      </c>
      <c r="B156" s="399" t="s">
        <v>956</v>
      </c>
      <c r="C156" s="399" t="s">
        <v>2328</v>
      </c>
      <c r="D156" s="399" t="s">
        <v>2337</v>
      </c>
      <c r="E156" s="399" t="s">
        <v>894</v>
      </c>
      <c r="F156" s="399" t="s">
        <v>1239</v>
      </c>
      <c r="G156" s="399" t="s">
        <v>1239</v>
      </c>
      <c r="H156" s="399" t="s">
        <v>1239</v>
      </c>
      <c r="I156" s="399" t="s">
        <v>1239</v>
      </c>
      <c r="J156" s="399" t="s">
        <v>2326</v>
      </c>
      <c r="K156" s="786">
        <v>44531</v>
      </c>
      <c r="L156" s="399">
        <v>0</v>
      </c>
      <c r="M156" s="399">
        <v>0</v>
      </c>
      <c r="N156" s="399">
        <v>1747.2080000000001</v>
      </c>
      <c r="O156" s="399">
        <v>1747.2080000000001</v>
      </c>
      <c r="P156" s="399">
        <v>1747.2080000000001</v>
      </c>
      <c r="Q156" s="399">
        <v>1747.2080000000001</v>
      </c>
      <c r="R156" s="399"/>
      <c r="S156" s="399">
        <v>825.6</v>
      </c>
      <c r="T156" s="399">
        <v>185.74</v>
      </c>
      <c r="U156" s="399"/>
      <c r="V156" s="399">
        <v>1767021.3387200001</v>
      </c>
      <c r="W156" s="399">
        <v>1767021.3387200001</v>
      </c>
      <c r="X156" s="399">
        <v>1098469.6695999999</v>
      </c>
      <c r="Y156" s="399">
        <v>0</v>
      </c>
      <c r="Z156" s="399">
        <v>108929.97295047485</v>
      </c>
      <c r="AA156" s="399">
        <v>0</v>
      </c>
      <c r="AB156" s="399">
        <v>0</v>
      </c>
      <c r="AC156" s="399">
        <v>0</v>
      </c>
      <c r="AD156" s="399">
        <v>227716.59981568376</v>
      </c>
      <c r="AE156" s="399">
        <v>1026082.4623588597</v>
      </c>
      <c r="AF156" s="399">
        <v>324533.9058403931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16834.688416555862</v>
      </c>
      <c r="AM156" s="399"/>
      <c r="AN156" s="399">
        <v>4142.3983978311853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58794.421154185919</v>
      </c>
      <c r="BH156" s="399">
        <v>0</v>
      </c>
      <c r="BI156" s="399">
        <v>704.68</v>
      </c>
      <c r="BJ156" s="399">
        <v>3534.23</v>
      </c>
      <c r="BK156" s="399">
        <v>267376.05</v>
      </c>
      <c r="BL156" s="399">
        <v>5715</v>
      </c>
      <c r="BM156" s="399"/>
      <c r="BN156" s="399"/>
      <c r="BO156" s="399"/>
      <c r="BP156" s="399"/>
      <c r="BQ156" s="399"/>
      <c r="BR156" s="399">
        <v>131809.37151999999</v>
      </c>
      <c r="BS156" s="399"/>
      <c r="BT156" s="399"/>
      <c r="BU156" s="399"/>
      <c r="BV156" s="399">
        <v>383328.32699457899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966661.40460000001</v>
      </c>
      <c r="CJ156" s="399">
        <v>-588318.80123999994</v>
      </c>
      <c r="CK156" s="399"/>
      <c r="CL156" s="399"/>
      <c r="CM156" s="399"/>
      <c r="CN156" s="399"/>
      <c r="CO156" s="399">
        <v>-668551.66912000009</v>
      </c>
      <c r="CP156" s="399">
        <v>0</v>
      </c>
      <c r="CQ156" s="399"/>
      <c r="CR156" s="399">
        <v>-28817.678626556764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-20962.819344845164</v>
      </c>
      <c r="DA156" s="399">
        <v>0</v>
      </c>
      <c r="DB156" s="399">
        <v>0</v>
      </c>
      <c r="DC156" s="399">
        <v>0</v>
      </c>
      <c r="DD156" s="399">
        <v>0</v>
      </c>
      <c r="DE156" s="399">
        <v>0</v>
      </c>
      <c r="DF156" s="399">
        <v>0</v>
      </c>
      <c r="DG156" s="399">
        <v>0</v>
      </c>
      <c r="DH156" s="399">
        <v>0</v>
      </c>
      <c r="DI156" s="399">
        <v>-6737.1756008693919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-902.54796757212716</v>
      </c>
      <c r="DP156" s="399">
        <v>-215.13571327014233</v>
      </c>
      <c r="DQ156" s="399">
        <v>0</v>
      </c>
      <c r="DR156" s="399">
        <v>0</v>
      </c>
      <c r="DS156" s="399"/>
      <c r="DT156" s="399"/>
      <c r="DU156" s="399"/>
      <c r="DV156" s="399">
        <v>1026082.4623588597</v>
      </c>
      <c r="DW156" s="399">
        <v>0</v>
      </c>
      <c r="DX156" s="399">
        <v>0</v>
      </c>
      <c r="DY156" s="399">
        <v>-668551.66912000021</v>
      </c>
      <c r="DZ156" s="399">
        <v>0</v>
      </c>
      <c r="EA156" s="399">
        <v>0</v>
      </c>
      <c r="EB156" s="399">
        <v>0</v>
      </c>
      <c r="EC156" s="399">
        <v>-639738.72993695945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221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156</v>
      </c>
      <c r="B157" s="399" t="s">
        <v>2329</v>
      </c>
      <c r="C157" s="399" t="s">
        <v>2328</v>
      </c>
      <c r="D157" s="399" t="s">
        <v>2337</v>
      </c>
      <c r="E157" s="399" t="s">
        <v>894</v>
      </c>
      <c r="F157" s="399" t="s">
        <v>1239</v>
      </c>
      <c r="G157" s="399" t="s">
        <v>1239</v>
      </c>
      <c r="H157" s="399" t="s">
        <v>1239</v>
      </c>
      <c r="I157" s="399" t="s">
        <v>1239</v>
      </c>
      <c r="J157" s="399" t="s">
        <v>2326</v>
      </c>
      <c r="K157" s="786">
        <v>44531</v>
      </c>
      <c r="L157" s="399">
        <v>0</v>
      </c>
      <c r="M157" s="399">
        <v>0</v>
      </c>
      <c r="N157" s="399">
        <v>0.81899999999999995</v>
      </c>
      <c r="O157" s="399">
        <v>0.81899999999999995</v>
      </c>
      <c r="P157" s="399">
        <v>0.81899999999999995</v>
      </c>
      <c r="Q157" s="399">
        <v>0.81899999999999995</v>
      </c>
      <c r="R157" s="399"/>
      <c r="S157" s="399">
        <v>825.6</v>
      </c>
      <c r="T157" s="399">
        <v>185.74</v>
      </c>
      <c r="U157" s="399"/>
      <c r="V157" s="399">
        <v>828.28746000000001</v>
      </c>
      <c r="W157" s="399">
        <v>828.28746000000001</v>
      </c>
      <c r="X157" s="399">
        <v>514.9052999999999</v>
      </c>
      <c r="Y157" s="399">
        <v>0</v>
      </c>
      <c r="Z157" s="399">
        <v>51.060691026162246</v>
      </c>
      <c r="AA157" s="399">
        <v>0</v>
      </c>
      <c r="AB157" s="399">
        <v>0</v>
      </c>
      <c r="AC157" s="399">
        <v>0</v>
      </c>
      <c r="AD157" s="399">
        <v>106.74166741970332</v>
      </c>
      <c r="AE157" s="399">
        <v>480.97395196903062</v>
      </c>
      <c r="AF157" s="399">
        <v>152.12457182160446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7.8912240632822472</v>
      </c>
      <c r="AM157" s="399"/>
      <c r="AN157" s="399">
        <v>1.9417403582308119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27.559758726653186</v>
      </c>
      <c r="BH157" s="399">
        <v>0</v>
      </c>
      <c r="BI157" s="399">
        <v>0.33</v>
      </c>
      <c r="BJ157" s="399">
        <v>1.66</v>
      </c>
      <c r="BK157" s="399">
        <v>100.22</v>
      </c>
      <c r="BL157" s="399">
        <v>0</v>
      </c>
      <c r="BM157" s="399"/>
      <c r="BN157" s="399"/>
      <c r="BO157" s="399"/>
      <c r="BP157" s="399"/>
      <c r="BQ157" s="399"/>
      <c r="BR157" s="399">
        <v>61.785359999999997</v>
      </c>
      <c r="BS157" s="399"/>
      <c r="BT157" s="399"/>
      <c r="BU157" s="399"/>
      <c r="BV157" s="399">
        <v>179.68433054825766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453.67319999999995</v>
      </c>
      <c r="CJ157" s="399">
        <v>-275.25041999999996</v>
      </c>
      <c r="CK157" s="399"/>
      <c r="CL157" s="399"/>
      <c r="CM157" s="399"/>
      <c r="CN157" s="399"/>
      <c r="CO157" s="399">
        <v>-313.38216</v>
      </c>
      <c r="CP157" s="399">
        <v>0</v>
      </c>
      <c r="CQ157" s="399"/>
      <c r="CR157" s="399">
        <v>-13.508225005351392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-9.8262765757873183</v>
      </c>
      <c r="DA157" s="399">
        <v>0</v>
      </c>
      <c r="DB157" s="399">
        <v>0</v>
      </c>
      <c r="DC157" s="399">
        <v>0</v>
      </c>
      <c r="DD157" s="399">
        <v>0</v>
      </c>
      <c r="DE157" s="399">
        <v>0</v>
      </c>
      <c r="DF157" s="399">
        <v>0</v>
      </c>
      <c r="DG157" s="399">
        <v>0</v>
      </c>
      <c r="DH157" s="399">
        <v>0</v>
      </c>
      <c r="DI157" s="399">
        <v>-3.1580366030329614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-0.42306742267753528</v>
      </c>
      <c r="DP157" s="399">
        <v>-0.10084440385360338</v>
      </c>
      <c r="DQ157" s="399">
        <v>0</v>
      </c>
      <c r="DR157" s="399">
        <v>0</v>
      </c>
      <c r="DS157" s="399"/>
      <c r="DT157" s="399"/>
      <c r="DU157" s="399"/>
      <c r="DV157" s="399">
        <v>480.97395196903062</v>
      </c>
      <c r="DW157" s="399">
        <v>0</v>
      </c>
      <c r="DX157" s="399">
        <v>0</v>
      </c>
      <c r="DY157" s="399">
        <v>-313.38216</v>
      </c>
      <c r="DZ157" s="399">
        <v>0</v>
      </c>
      <c r="EA157" s="399">
        <v>0</v>
      </c>
      <c r="EB157" s="399">
        <v>0</v>
      </c>
      <c r="EC157" s="399">
        <v>-299.87615659862462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221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157</v>
      </c>
      <c r="B158" s="399" t="s">
        <v>2330</v>
      </c>
      <c r="C158" s="399" t="s">
        <v>2328</v>
      </c>
      <c r="D158" s="399" t="s">
        <v>2337</v>
      </c>
      <c r="E158" s="399" t="s">
        <v>894</v>
      </c>
      <c r="F158" s="399" t="s">
        <v>1239</v>
      </c>
      <c r="G158" s="399" t="s">
        <v>1239</v>
      </c>
      <c r="H158" s="399" t="s">
        <v>1239</v>
      </c>
      <c r="I158" s="399" t="s">
        <v>1239</v>
      </c>
      <c r="J158" s="399" t="s">
        <v>2326</v>
      </c>
      <c r="K158" s="786">
        <v>44531</v>
      </c>
      <c r="L158" s="399">
        <v>0</v>
      </c>
      <c r="M158" s="399">
        <v>0</v>
      </c>
      <c r="N158" s="399">
        <v>20.591999999999999</v>
      </c>
      <c r="O158" s="399">
        <v>20.591999999999999</v>
      </c>
      <c r="P158" s="399">
        <v>20.591999999999999</v>
      </c>
      <c r="Q158" s="399">
        <v>20.591999999999999</v>
      </c>
      <c r="R158" s="399"/>
      <c r="S158" s="399">
        <v>825.6</v>
      </c>
      <c r="T158" s="399">
        <v>185.74</v>
      </c>
      <c r="U158" s="399"/>
      <c r="V158" s="399">
        <v>20825.513279999999</v>
      </c>
      <c r="W158" s="399">
        <v>20825.513279999999</v>
      </c>
      <c r="X158" s="399">
        <v>12946.190399999999</v>
      </c>
      <c r="Y158" s="399">
        <v>0</v>
      </c>
      <c r="Z158" s="399">
        <v>1283.811660086365</v>
      </c>
      <c r="AA158" s="399">
        <v>0</v>
      </c>
      <c r="AB158" s="399">
        <v>0</v>
      </c>
      <c r="AC158" s="399">
        <v>0</v>
      </c>
      <c r="AD158" s="399">
        <v>2683.7904951239689</v>
      </c>
      <c r="AE158" s="399">
        <v>12093.05936379277</v>
      </c>
      <c r="AF158" s="399">
        <v>3824.8463772289124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198.40791930538222</v>
      </c>
      <c r="AM158" s="399"/>
      <c r="AN158" s="399">
        <v>48.820900435517558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692.93107655585152</v>
      </c>
      <c r="BH158" s="399">
        <v>0</v>
      </c>
      <c r="BI158" s="399">
        <v>6.52</v>
      </c>
      <c r="BJ158" s="399">
        <v>34.22</v>
      </c>
      <c r="BK158" s="399">
        <v>10864.21</v>
      </c>
      <c r="BL158" s="399">
        <v>113</v>
      </c>
      <c r="BM158" s="399"/>
      <c r="BN158" s="399"/>
      <c r="BO158" s="399"/>
      <c r="BP158" s="399"/>
      <c r="BQ158" s="399"/>
      <c r="BR158" s="399">
        <v>1553.46048</v>
      </c>
      <c r="BS158" s="399"/>
      <c r="BT158" s="399"/>
      <c r="BU158" s="399"/>
      <c r="BV158" s="399">
        <v>4517.7774537847636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11391.6234</v>
      </c>
      <c r="CJ158" s="399">
        <v>-6934.8747599999988</v>
      </c>
      <c r="CK158" s="399"/>
      <c r="CL158" s="399"/>
      <c r="CM158" s="399"/>
      <c r="CN158" s="399"/>
      <c r="CO158" s="399">
        <v>-7879.3228800000006</v>
      </c>
      <c r="CP158" s="399">
        <v>0</v>
      </c>
      <c r="CQ158" s="399"/>
      <c r="CR158" s="399">
        <v>-339.63537156312123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-247.06066819122361</v>
      </c>
      <c r="DA158" s="399">
        <v>0</v>
      </c>
      <c r="DB158" s="399">
        <v>0</v>
      </c>
      <c r="DC158" s="399">
        <v>0</v>
      </c>
      <c r="DD158" s="399">
        <v>0</v>
      </c>
      <c r="DE158" s="399">
        <v>0</v>
      </c>
      <c r="DF158" s="399">
        <v>0</v>
      </c>
      <c r="DG158" s="399">
        <v>0</v>
      </c>
      <c r="DH158" s="399">
        <v>0</v>
      </c>
      <c r="DI158" s="399">
        <v>-79.402063161971682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-10.637123770178022</v>
      </c>
      <c r="DP158" s="399">
        <v>-2.5355164397477381</v>
      </c>
      <c r="DQ158" s="399">
        <v>0</v>
      </c>
      <c r="DR158" s="399">
        <v>0</v>
      </c>
      <c r="DS158" s="399"/>
      <c r="DT158" s="399"/>
      <c r="DU158" s="399"/>
      <c r="DV158" s="399">
        <v>12093.05936379277</v>
      </c>
      <c r="DW158" s="399">
        <v>0</v>
      </c>
      <c r="DX158" s="399">
        <v>0</v>
      </c>
      <c r="DY158" s="399">
        <v>-7879.3228799999997</v>
      </c>
      <c r="DZ158" s="399">
        <v>0</v>
      </c>
      <c r="EA158" s="399">
        <v>0</v>
      </c>
      <c r="EB158" s="399">
        <v>0</v>
      </c>
      <c r="EC158" s="399">
        <v>-7539.7433659082772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221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158</v>
      </c>
      <c r="B159" s="399" t="s">
        <v>956</v>
      </c>
      <c r="C159" s="399" t="s">
        <v>2328</v>
      </c>
      <c r="D159" s="399" t="s">
        <v>1824</v>
      </c>
      <c r="E159" s="399" t="s">
        <v>2338</v>
      </c>
      <c r="F159" s="399" t="s">
        <v>1239</v>
      </c>
      <c r="G159" s="399" t="s">
        <v>1239</v>
      </c>
      <c r="H159" s="399" t="s">
        <v>1239</v>
      </c>
      <c r="I159" s="399" t="s">
        <v>1239</v>
      </c>
      <c r="J159" s="399" t="s">
        <v>2326</v>
      </c>
      <c r="K159" s="786">
        <v>44531</v>
      </c>
      <c r="L159" s="399">
        <v>0</v>
      </c>
      <c r="M159" s="399">
        <v>0</v>
      </c>
      <c r="N159" s="399">
        <v>19.356000000000002</v>
      </c>
      <c r="O159" s="399">
        <v>19.356000000000002</v>
      </c>
      <c r="P159" s="399">
        <v>19.356000000000002</v>
      </c>
      <c r="Q159" s="399">
        <v>19.356000000000002</v>
      </c>
      <c r="R159" s="399"/>
      <c r="S159" s="399">
        <v>825.6</v>
      </c>
      <c r="T159" s="399">
        <v>185.74</v>
      </c>
      <c r="U159" s="399"/>
      <c r="V159" s="399">
        <v>19575.497040000002</v>
      </c>
      <c r="W159" s="399">
        <v>19575.497040000002</v>
      </c>
      <c r="X159" s="399">
        <v>12169.117200000001</v>
      </c>
      <c r="Y159" s="399">
        <v>0</v>
      </c>
      <c r="Z159" s="399">
        <v>1206.7530348014611</v>
      </c>
      <c r="AA159" s="399">
        <v>0</v>
      </c>
      <c r="AB159" s="399">
        <v>0</v>
      </c>
      <c r="AC159" s="399">
        <v>0</v>
      </c>
      <c r="AD159" s="399">
        <v>2522.7005061975306</v>
      </c>
      <c r="AE159" s="399">
        <v>11367.193912469545</v>
      </c>
      <c r="AF159" s="399">
        <v>3595.2664373369676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186.49881925383539</v>
      </c>
      <c r="AM159" s="399"/>
      <c r="AN159" s="399">
        <v>45.890508393059342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651.33905972295383</v>
      </c>
      <c r="BH159" s="399">
        <v>0</v>
      </c>
      <c r="BI159" s="399">
        <v>8.5399999999999991</v>
      </c>
      <c r="BJ159" s="399">
        <v>43.53</v>
      </c>
      <c r="BK159" s="399">
        <v>3788.34</v>
      </c>
      <c r="BL159" s="399">
        <v>93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4246.6054970599216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12171.632</v>
      </c>
      <c r="CJ159" s="399">
        <v>-7403.8950400000012</v>
      </c>
      <c r="CK159" s="399"/>
      <c r="CL159" s="399"/>
      <c r="CM159" s="399"/>
      <c r="CN159" s="399"/>
      <c r="CO159" s="399">
        <v>-7406.3798400000014</v>
      </c>
      <c r="CP159" s="399">
        <v>0</v>
      </c>
      <c r="CQ159" s="399"/>
      <c r="CR159" s="399">
        <v>-319.24933236090692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-232.23126910981591</v>
      </c>
      <c r="DA159" s="399">
        <v>0</v>
      </c>
      <c r="DB159" s="399">
        <v>0</v>
      </c>
      <c r="DC159" s="399">
        <v>0</v>
      </c>
      <c r="DD159" s="399">
        <v>0</v>
      </c>
      <c r="DE159" s="399">
        <v>0</v>
      </c>
      <c r="DF159" s="399">
        <v>0</v>
      </c>
      <c r="DG159" s="399">
        <v>0</v>
      </c>
      <c r="DH159" s="399">
        <v>0</v>
      </c>
      <c r="DI159" s="399">
        <v>-74.636088508310195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-9.9986483923642879</v>
      </c>
      <c r="DP159" s="399">
        <v>-2.3833263504155653</v>
      </c>
      <c r="DQ159" s="399">
        <v>0</v>
      </c>
      <c r="DR159" s="399">
        <v>0</v>
      </c>
      <c r="DS159" s="399"/>
      <c r="DT159" s="399"/>
      <c r="DU159" s="399"/>
      <c r="DV159" s="399">
        <v>11367.193912469545</v>
      </c>
      <c r="DW159" s="399">
        <v>0</v>
      </c>
      <c r="DX159" s="399">
        <v>0</v>
      </c>
      <c r="DY159" s="399">
        <v>-7406.3798400000014</v>
      </c>
      <c r="DZ159" s="399">
        <v>0</v>
      </c>
      <c r="EA159" s="399">
        <v>0</v>
      </c>
      <c r="EB159" s="399">
        <v>0</v>
      </c>
      <c r="EC159" s="399">
        <v>-7087.1830123601694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221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159</v>
      </c>
      <c r="B160" s="399" t="s">
        <v>956</v>
      </c>
      <c r="C160" s="399" t="s">
        <v>2328</v>
      </c>
      <c r="D160" s="399" t="s">
        <v>2339</v>
      </c>
      <c r="E160" s="399" t="s">
        <v>2340</v>
      </c>
      <c r="F160" s="399" t="s">
        <v>2341</v>
      </c>
      <c r="G160" s="399" t="s">
        <v>1239</v>
      </c>
      <c r="H160" s="399" t="s">
        <v>1239</v>
      </c>
      <c r="I160" s="399" t="s">
        <v>1239</v>
      </c>
      <c r="J160" s="399" t="s">
        <v>2326</v>
      </c>
      <c r="K160" s="786">
        <v>44531</v>
      </c>
      <c r="L160" s="399">
        <v>0</v>
      </c>
      <c r="M160" s="399">
        <v>0</v>
      </c>
      <c r="N160" s="399">
        <v>191.27699999999999</v>
      </c>
      <c r="O160" s="399">
        <v>191.27699999999999</v>
      </c>
      <c r="P160" s="399">
        <v>191.27699999999999</v>
      </c>
      <c r="Q160" s="399">
        <v>191.27699999999999</v>
      </c>
      <c r="R160" s="399"/>
      <c r="S160" s="399">
        <v>454.08</v>
      </c>
      <c r="T160" s="399">
        <v>102.16</v>
      </c>
      <c r="U160" s="399"/>
      <c r="V160" s="399">
        <v>106395.91847999999</v>
      </c>
      <c r="W160" s="399">
        <v>106395.91847999999</v>
      </c>
      <c r="X160" s="399">
        <v>66141.673829999985</v>
      </c>
      <c r="Y160" s="399">
        <v>0</v>
      </c>
      <c r="Z160" s="399">
        <v>6558.8579836094978</v>
      </c>
      <c r="AA160" s="399">
        <v>0</v>
      </c>
      <c r="AB160" s="399">
        <v>0</v>
      </c>
      <c r="AC160" s="399">
        <v>0</v>
      </c>
      <c r="AD160" s="399">
        <v>13711.201777132179</v>
      </c>
      <c r="AE160" s="399">
        <v>61782.161216030712</v>
      </c>
      <c r="AF160" s="399">
        <v>19540.735590203411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1013.6450742781938</v>
      </c>
      <c r="AM160" s="399"/>
      <c r="AN160" s="399">
        <v>249.42081657597595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3540.1115793368967</v>
      </c>
      <c r="BH160" s="399">
        <v>0</v>
      </c>
      <c r="BI160" s="399">
        <v>56.13</v>
      </c>
      <c r="BJ160" s="399">
        <v>271.54000000000002</v>
      </c>
      <c r="BK160" s="399">
        <v>31210.15</v>
      </c>
      <c r="BL160" s="399">
        <v>9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23080.847169540306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66142.711199999991</v>
      </c>
      <c r="CJ160" s="399">
        <v>-40253.237279999987</v>
      </c>
      <c r="CK160" s="399"/>
      <c r="CL160" s="399"/>
      <c r="CM160" s="399"/>
      <c r="CN160" s="399"/>
      <c r="CO160" s="399">
        <v>-40254.244649999993</v>
      </c>
      <c r="CP160" s="399">
        <v>0</v>
      </c>
      <c r="CQ160" s="399"/>
      <c r="CR160" s="399">
        <v>-1735.1611903440207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-1262.2068223721526</v>
      </c>
      <c r="DA160" s="399">
        <v>0</v>
      </c>
      <c r="DB160" s="399">
        <v>0</v>
      </c>
      <c r="DC160" s="399">
        <v>0</v>
      </c>
      <c r="DD160" s="399">
        <v>0</v>
      </c>
      <c r="DE160" s="399">
        <v>0</v>
      </c>
      <c r="DF160" s="399">
        <v>0</v>
      </c>
      <c r="DG160" s="399">
        <v>0</v>
      </c>
      <c r="DH160" s="399">
        <v>0</v>
      </c>
      <c r="DI160" s="399">
        <v>-405.6567423993738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-54.343940261440594</v>
      </c>
      <c r="DP160" s="399">
        <v>-12.953685311048872</v>
      </c>
      <c r="DQ160" s="399">
        <v>0</v>
      </c>
      <c r="DR160" s="399">
        <v>0</v>
      </c>
      <c r="DS160" s="399"/>
      <c r="DT160" s="399"/>
      <c r="DU160" s="399"/>
      <c r="DV160" s="399">
        <v>61782.161216030712</v>
      </c>
      <c r="DW160" s="399">
        <v>0</v>
      </c>
      <c r="DX160" s="399">
        <v>0</v>
      </c>
      <c r="DY160" s="399">
        <v>-40254.244650000001</v>
      </c>
      <c r="DZ160" s="399">
        <v>0</v>
      </c>
      <c r="EA160" s="399">
        <v>0</v>
      </c>
      <c r="EB160" s="399">
        <v>0</v>
      </c>
      <c r="EC160" s="399">
        <v>-38519.751383569426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221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160</v>
      </c>
      <c r="B161" s="399" t="s">
        <v>956</v>
      </c>
      <c r="C161" s="399" t="s">
        <v>2328</v>
      </c>
      <c r="D161" s="399" t="s">
        <v>2339</v>
      </c>
      <c r="E161" s="399" t="s">
        <v>2340</v>
      </c>
      <c r="F161" s="399" t="s">
        <v>2578</v>
      </c>
      <c r="G161" s="399" t="s">
        <v>1239</v>
      </c>
      <c r="H161" s="399" t="s">
        <v>1239</v>
      </c>
      <c r="I161" s="399" t="s">
        <v>1239</v>
      </c>
      <c r="J161" s="399" t="s">
        <v>2326</v>
      </c>
      <c r="K161" s="786">
        <v>44531</v>
      </c>
      <c r="L161" s="399">
        <v>0</v>
      </c>
      <c r="M161" s="399">
        <v>0</v>
      </c>
      <c r="N161" s="399">
        <v>130.57300000000001</v>
      </c>
      <c r="O161" s="399">
        <v>130.57300000000001</v>
      </c>
      <c r="P161" s="399">
        <v>130.57300000000001</v>
      </c>
      <c r="Q161" s="399">
        <v>130.57300000000001</v>
      </c>
      <c r="R161" s="399"/>
      <c r="S161" s="399">
        <v>495.36</v>
      </c>
      <c r="T161" s="399">
        <v>111.45</v>
      </c>
      <c r="U161" s="399"/>
      <c r="V161" s="399">
        <v>79233.002130000008</v>
      </c>
      <c r="W161" s="399">
        <v>79233.002130000008</v>
      </c>
      <c r="X161" s="399">
        <v>49256.052790000002</v>
      </c>
      <c r="Y161" s="399">
        <v>0</v>
      </c>
      <c r="Z161" s="399">
        <v>4884.3572229736856</v>
      </c>
      <c r="AA161" s="399">
        <v>0</v>
      </c>
      <c r="AB161" s="399">
        <v>0</v>
      </c>
      <c r="AC161" s="399">
        <v>0</v>
      </c>
      <c r="AD161" s="399">
        <v>10210.681128199969</v>
      </c>
      <c r="AE161" s="399">
        <v>46008.946395935782</v>
      </c>
      <c r="AF161" s="399">
        <v>14551.913345393645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754.85772865564263</v>
      </c>
      <c r="AM161" s="399"/>
      <c r="AN161" s="399">
        <v>185.74275735917328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2636.3079679232792</v>
      </c>
      <c r="BH161" s="399">
        <v>0</v>
      </c>
      <c r="BI161" s="399">
        <v>40.78</v>
      </c>
      <c r="BJ161" s="399">
        <v>197.32</v>
      </c>
      <c r="BK161" s="399">
        <v>22678.45</v>
      </c>
      <c r="BL161" s="399">
        <v>6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17188.221313316924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49254.921099999992</v>
      </c>
      <c r="CJ161" s="399">
        <v>-29978.111030000015</v>
      </c>
      <c r="CK161" s="399"/>
      <c r="CL161" s="399"/>
      <c r="CM161" s="399"/>
      <c r="CN161" s="399"/>
      <c r="CO161" s="399">
        <v>-29976.949340000006</v>
      </c>
      <c r="CP161" s="399">
        <v>0</v>
      </c>
      <c r="CQ161" s="399"/>
      <c r="CR161" s="399">
        <v>-1292.1681052188724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-939.96074090131333</v>
      </c>
      <c r="DA161" s="399">
        <v>0</v>
      </c>
      <c r="DB161" s="399">
        <v>0</v>
      </c>
      <c r="DC161" s="399">
        <v>0</v>
      </c>
      <c r="DD161" s="399">
        <v>0</v>
      </c>
      <c r="DE161" s="399">
        <v>0</v>
      </c>
      <c r="DF161" s="399">
        <v>0</v>
      </c>
      <c r="DG161" s="399">
        <v>0</v>
      </c>
      <c r="DH161" s="399">
        <v>0</v>
      </c>
      <c r="DI161" s="399">
        <v>-302.09107206434237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-40.469730828771276</v>
      </c>
      <c r="DP161" s="399">
        <v>-9.6465614244511926</v>
      </c>
      <c r="DQ161" s="399">
        <v>0</v>
      </c>
      <c r="DR161" s="399">
        <v>0</v>
      </c>
      <c r="DS161" s="399"/>
      <c r="DT161" s="399"/>
      <c r="DU161" s="399"/>
      <c r="DV161" s="399">
        <v>46008.946395935782</v>
      </c>
      <c r="DW161" s="399">
        <v>0</v>
      </c>
      <c r="DX161" s="399">
        <v>0</v>
      </c>
      <c r="DY161" s="399">
        <v>-29976.949340000006</v>
      </c>
      <c r="DZ161" s="399">
        <v>0</v>
      </c>
      <c r="EA161" s="399">
        <v>0</v>
      </c>
      <c r="EB161" s="399">
        <v>0</v>
      </c>
      <c r="EC161" s="399">
        <v>-28685.516040697668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221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161</v>
      </c>
      <c r="B162" s="399" t="s">
        <v>956</v>
      </c>
      <c r="C162" s="399" t="s">
        <v>2328</v>
      </c>
      <c r="D162" s="399" t="s">
        <v>1824</v>
      </c>
      <c r="E162" s="399" t="s">
        <v>921</v>
      </c>
      <c r="F162" s="399" t="s">
        <v>2327</v>
      </c>
      <c r="G162" s="399" t="s">
        <v>1239</v>
      </c>
      <c r="H162" s="399" t="s">
        <v>1239</v>
      </c>
      <c r="I162" s="399" t="s">
        <v>1239</v>
      </c>
      <c r="J162" s="399" t="s">
        <v>2326</v>
      </c>
      <c r="K162" s="786">
        <v>44531</v>
      </c>
      <c r="L162" s="399">
        <v>0</v>
      </c>
      <c r="M162" s="399">
        <v>0</v>
      </c>
      <c r="N162" s="399">
        <v>6.89</v>
      </c>
      <c r="O162" s="399">
        <v>6.4765999999999995</v>
      </c>
      <c r="P162" s="399">
        <v>6.89</v>
      </c>
      <c r="Q162" s="399">
        <v>6.4765999999999995</v>
      </c>
      <c r="R162" s="399"/>
      <c r="S162" s="399">
        <v>825.6</v>
      </c>
      <c r="T162" s="399">
        <v>185.74</v>
      </c>
      <c r="U162" s="399"/>
      <c r="V162" s="399">
        <v>6968.1325999999999</v>
      </c>
      <c r="W162" s="399">
        <v>6968.1325999999999</v>
      </c>
      <c r="X162" s="399">
        <v>4331.7429999999995</v>
      </c>
      <c r="Y162" s="399">
        <v>0</v>
      </c>
      <c r="Z162" s="399">
        <v>429.55819434707922</v>
      </c>
      <c r="AA162" s="399">
        <v>0</v>
      </c>
      <c r="AB162" s="399">
        <v>0</v>
      </c>
      <c r="AC162" s="399">
        <v>0</v>
      </c>
      <c r="AD162" s="399">
        <v>897.98545607051994</v>
      </c>
      <c r="AE162" s="399">
        <v>4046.2888022791467</v>
      </c>
      <c r="AF162" s="399">
        <v>1279.7781438960376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66.386488151422085</v>
      </c>
      <c r="AM162" s="399"/>
      <c r="AN162" s="399">
        <v>16.335276029560799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231.8519384940665</v>
      </c>
      <c r="BH162" s="399">
        <v>0</v>
      </c>
      <c r="BI162" s="399">
        <v>2.78</v>
      </c>
      <c r="BJ162" s="399">
        <v>13.57</v>
      </c>
      <c r="BK162" s="399">
        <v>0</v>
      </c>
      <c r="BL162" s="399">
        <v>5</v>
      </c>
      <c r="BM162" s="399"/>
      <c r="BN162" s="399"/>
      <c r="BO162" s="399"/>
      <c r="BP162" s="399"/>
      <c r="BQ162" s="399">
        <v>259.90458000000012</v>
      </c>
      <c r="BR162" s="399"/>
      <c r="BS162" s="399"/>
      <c r="BT162" s="399"/>
      <c r="BU162" s="399"/>
      <c r="BV162" s="399">
        <v>1511.630082390104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4073.9760000000001</v>
      </c>
      <c r="CJ162" s="399">
        <v>-2476.0986440000001</v>
      </c>
      <c r="CK162" s="399"/>
      <c r="CL162" s="399"/>
      <c r="CM162" s="399"/>
      <c r="CN162" s="399"/>
      <c r="CO162" s="399">
        <v>-2636.3896</v>
      </c>
      <c r="CP162" s="399">
        <v>0</v>
      </c>
      <c r="CQ162" s="399"/>
      <c r="CR162" s="399">
        <v>-113.64062306089272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-82.665501351861508</v>
      </c>
      <c r="DA162" s="399">
        <v>0</v>
      </c>
      <c r="DB162" s="399">
        <v>0</v>
      </c>
      <c r="DC162" s="399">
        <v>0</v>
      </c>
      <c r="DD162" s="399">
        <v>0</v>
      </c>
      <c r="DE162" s="399">
        <v>0</v>
      </c>
      <c r="DF162" s="399">
        <v>0</v>
      </c>
      <c r="DG162" s="399">
        <v>0</v>
      </c>
      <c r="DH162" s="399">
        <v>0</v>
      </c>
      <c r="DI162" s="399">
        <v>-26.567609517578887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-3.5591386352237109</v>
      </c>
      <c r="DP162" s="399">
        <v>-0.84837355622872579</v>
      </c>
      <c r="DQ162" s="399">
        <v>0</v>
      </c>
      <c r="DR162" s="399">
        <v>0</v>
      </c>
      <c r="DS162" s="399"/>
      <c r="DT162" s="399"/>
      <c r="DU162" s="399"/>
      <c r="DV162" s="399">
        <v>4046.2888022791467</v>
      </c>
      <c r="DW162" s="399">
        <v>0</v>
      </c>
      <c r="DX162" s="399">
        <v>0</v>
      </c>
      <c r="DY162" s="399">
        <v>-2636.3896000000004</v>
      </c>
      <c r="DZ162" s="399">
        <v>0</v>
      </c>
      <c r="EA162" s="399">
        <v>0</v>
      </c>
      <c r="EB162" s="399">
        <v>0</v>
      </c>
      <c r="EC162" s="399">
        <v>-2522.7676666233501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221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162</v>
      </c>
      <c r="B163" s="399" t="s">
        <v>956</v>
      </c>
      <c r="C163" s="399" t="s">
        <v>2328</v>
      </c>
      <c r="D163" s="399" t="s">
        <v>1824</v>
      </c>
      <c r="E163" s="399" t="s">
        <v>2579</v>
      </c>
      <c r="F163" s="399" t="s">
        <v>1239</v>
      </c>
      <c r="G163" s="399" t="s">
        <v>1239</v>
      </c>
      <c r="H163" s="399" t="s">
        <v>1239</v>
      </c>
      <c r="I163" s="399" t="s">
        <v>1239</v>
      </c>
      <c r="J163" s="399" t="s">
        <v>2326</v>
      </c>
      <c r="K163" s="786">
        <v>44531</v>
      </c>
      <c r="L163" s="399">
        <v>0</v>
      </c>
      <c r="M163" s="399">
        <v>0</v>
      </c>
      <c r="N163" s="399">
        <v>0.48699999999999999</v>
      </c>
      <c r="O163" s="399">
        <v>0.48699999999999999</v>
      </c>
      <c r="P163" s="399">
        <v>0.48699999999999999</v>
      </c>
      <c r="Q163" s="399">
        <v>0.48699999999999999</v>
      </c>
      <c r="R163" s="399"/>
      <c r="S163" s="399">
        <v>825.6</v>
      </c>
      <c r="T163" s="399">
        <v>185.74</v>
      </c>
      <c r="U163" s="399"/>
      <c r="V163" s="399">
        <v>492.52258</v>
      </c>
      <c r="W163" s="399">
        <v>492.52258</v>
      </c>
      <c r="X163" s="399">
        <v>306.17689999999999</v>
      </c>
      <c r="Y163" s="399">
        <v>0</v>
      </c>
      <c r="Z163" s="399">
        <v>30.362095884909664</v>
      </c>
      <c r="AA163" s="399">
        <v>0</v>
      </c>
      <c r="AB163" s="399">
        <v>0</v>
      </c>
      <c r="AC163" s="399">
        <v>0</v>
      </c>
      <c r="AD163" s="399">
        <v>63.471540944316871</v>
      </c>
      <c r="AE163" s="399">
        <v>286.00038413787291</v>
      </c>
      <c r="AF163" s="399">
        <v>90.457468226033427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4.6923395834169161</v>
      </c>
      <c r="AM163" s="399"/>
      <c r="AN163" s="399">
        <v>1.1546123986061116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16.387793040146647</v>
      </c>
      <c r="BH163" s="399">
        <v>0</v>
      </c>
      <c r="BI163" s="399">
        <v>0.2</v>
      </c>
      <c r="BJ163" s="399">
        <v>1.1100000000000001</v>
      </c>
      <c r="BK163" s="399">
        <v>125.51</v>
      </c>
      <c r="BL163" s="399">
        <v>4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106.84526126618007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308.06299999999999</v>
      </c>
      <c r="CJ163" s="399">
        <v>-184.48957999999999</v>
      </c>
      <c r="CK163" s="399"/>
      <c r="CL163" s="399"/>
      <c r="CM163" s="399"/>
      <c r="CN163" s="399"/>
      <c r="CO163" s="399">
        <v>-186.34568000000002</v>
      </c>
      <c r="CP163" s="399">
        <v>0</v>
      </c>
      <c r="CQ163" s="399"/>
      <c r="CR163" s="399">
        <v>-8.0323633426204424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-5.8429752044058887</v>
      </c>
      <c r="DA163" s="399">
        <v>0</v>
      </c>
      <c r="DB163" s="399">
        <v>0</v>
      </c>
      <c r="DC163" s="399">
        <v>0</v>
      </c>
      <c r="DD163" s="399">
        <v>0</v>
      </c>
      <c r="DE163" s="399">
        <v>0</v>
      </c>
      <c r="DF163" s="399">
        <v>0</v>
      </c>
      <c r="DG163" s="399">
        <v>0</v>
      </c>
      <c r="DH163" s="399">
        <v>0</v>
      </c>
      <c r="DI163" s="399">
        <v>-1.8778557090073917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-0.25156756391203849</v>
      </c>
      <c r="DP163" s="399">
        <v>-5.9964865295121905E-2</v>
      </c>
      <c r="DQ163" s="399">
        <v>0</v>
      </c>
      <c r="DR163" s="399">
        <v>0</v>
      </c>
      <c r="DS163" s="399"/>
      <c r="DT163" s="399"/>
      <c r="DU163" s="399"/>
      <c r="DV163" s="399">
        <v>286.00038413787291</v>
      </c>
      <c r="DW163" s="399">
        <v>0</v>
      </c>
      <c r="DX163" s="399">
        <v>0</v>
      </c>
      <c r="DY163" s="399">
        <v>-186.34568000000002</v>
      </c>
      <c r="DZ163" s="399">
        <v>0</v>
      </c>
      <c r="EA163" s="399">
        <v>0</v>
      </c>
      <c r="EB163" s="399">
        <v>0</v>
      </c>
      <c r="EC163" s="399">
        <v>-178.31463768440807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221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163</v>
      </c>
      <c r="B164" s="399" t="s">
        <v>956</v>
      </c>
      <c r="C164" s="399" t="s">
        <v>2328</v>
      </c>
      <c r="D164" s="399" t="s">
        <v>1824</v>
      </c>
      <c r="E164" s="399" t="s">
        <v>921</v>
      </c>
      <c r="F164" s="399" t="s">
        <v>2580</v>
      </c>
      <c r="G164" s="399" t="s">
        <v>1239</v>
      </c>
      <c r="H164" s="399" t="s">
        <v>1239</v>
      </c>
      <c r="I164" s="399" t="s">
        <v>1239</v>
      </c>
      <c r="J164" s="399" t="s">
        <v>2326</v>
      </c>
      <c r="K164" s="786">
        <v>44531</v>
      </c>
      <c r="L164" s="399">
        <v>0</v>
      </c>
      <c r="M164" s="399">
        <v>0</v>
      </c>
      <c r="N164" s="399">
        <v>5.1999999999999998E-2</v>
      </c>
      <c r="O164" s="399">
        <v>5.1999999999999998E-2</v>
      </c>
      <c r="P164" s="399">
        <v>5.1999999999999998E-2</v>
      </c>
      <c r="Q164" s="399">
        <v>5.1999999999999998E-2</v>
      </c>
      <c r="R164" s="399"/>
      <c r="S164" s="399">
        <v>825.6</v>
      </c>
      <c r="T164" s="399">
        <v>185.74</v>
      </c>
      <c r="U164" s="399"/>
      <c r="V164" s="399">
        <v>52.589680000000001</v>
      </c>
      <c r="W164" s="399">
        <v>52.589680000000001</v>
      </c>
      <c r="X164" s="399">
        <v>32.692399999999999</v>
      </c>
      <c r="Y164" s="399">
        <v>0</v>
      </c>
      <c r="Z164" s="399">
        <v>3.2419486365817303</v>
      </c>
      <c r="AA164" s="399">
        <v>0</v>
      </c>
      <c r="AB164" s="399">
        <v>0</v>
      </c>
      <c r="AC164" s="399">
        <v>0</v>
      </c>
      <c r="AD164" s="399">
        <v>6.7772487250605282</v>
      </c>
      <c r="AE164" s="399">
        <v>30.538028696446389</v>
      </c>
      <c r="AF164" s="399">
        <v>9.6587029728002847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0.50103009925601572</v>
      </c>
      <c r="AM164" s="399"/>
      <c r="AN164" s="399">
        <v>0.12328510210989282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1.7498259508986151</v>
      </c>
      <c r="BH164" s="399">
        <v>0</v>
      </c>
      <c r="BI164" s="399">
        <v>0.02</v>
      </c>
      <c r="BJ164" s="399">
        <v>0.12</v>
      </c>
      <c r="BK164" s="399">
        <v>0</v>
      </c>
      <c r="BL164" s="399">
        <v>1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11.408528923698899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31.435000000000002</v>
      </c>
      <c r="CJ164" s="399">
        <v>-21.184679999999993</v>
      </c>
      <c r="CK164" s="399"/>
      <c r="CL164" s="399"/>
      <c r="CM164" s="399"/>
      <c r="CN164" s="399"/>
      <c r="CO164" s="399">
        <v>-19.897280000000002</v>
      </c>
      <c r="CP164" s="399">
        <v>0</v>
      </c>
      <c r="CQ164" s="399"/>
      <c r="CR164" s="399">
        <v>-0.85766507970485506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-0.62389057624046451</v>
      </c>
      <c r="DA164" s="399">
        <v>0</v>
      </c>
      <c r="DB164" s="399">
        <v>0</v>
      </c>
      <c r="DC164" s="399">
        <v>0</v>
      </c>
      <c r="DD164" s="399">
        <v>0</v>
      </c>
      <c r="DE164" s="399">
        <v>0</v>
      </c>
      <c r="DF164" s="399">
        <v>0</v>
      </c>
      <c r="DG164" s="399">
        <v>0</v>
      </c>
      <c r="DH164" s="399">
        <v>0</v>
      </c>
      <c r="DI164" s="399">
        <v>-0.20051026051002951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-2.6861423662065731E-2</v>
      </c>
      <c r="DP164" s="399">
        <v>-6.4028192922922778E-3</v>
      </c>
      <c r="DQ164" s="399">
        <v>0</v>
      </c>
      <c r="DR164" s="399">
        <v>0</v>
      </c>
      <c r="DS164" s="399"/>
      <c r="DT164" s="399"/>
      <c r="DU164" s="399"/>
      <c r="DV164" s="399">
        <v>30.538028696446389</v>
      </c>
      <c r="DW164" s="399">
        <v>0</v>
      </c>
      <c r="DX164" s="399">
        <v>0</v>
      </c>
      <c r="DY164" s="399">
        <v>-19.897279999999999</v>
      </c>
      <c r="DZ164" s="399">
        <v>0</v>
      </c>
      <c r="EA164" s="399">
        <v>0</v>
      </c>
      <c r="EB164" s="399">
        <v>0</v>
      </c>
      <c r="EC164" s="399">
        <v>-19.039755974515849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221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164</v>
      </c>
      <c r="B165" s="399" t="s">
        <v>956</v>
      </c>
      <c r="C165" s="399" t="s">
        <v>2328</v>
      </c>
      <c r="D165" s="399" t="s">
        <v>1821</v>
      </c>
      <c r="E165" s="399" t="s">
        <v>889</v>
      </c>
      <c r="F165" s="399" t="s">
        <v>889</v>
      </c>
      <c r="G165" s="399" t="s">
        <v>1239</v>
      </c>
      <c r="H165" s="399" t="s">
        <v>1239</v>
      </c>
      <c r="I165" s="399" t="s">
        <v>1239</v>
      </c>
      <c r="J165" s="399" t="s">
        <v>2326</v>
      </c>
      <c r="K165" s="786">
        <v>44562</v>
      </c>
      <c r="L165" s="399">
        <v>0</v>
      </c>
      <c r="M165" s="399">
        <v>0</v>
      </c>
      <c r="N165" s="399">
        <v>1529.3979999999999</v>
      </c>
      <c r="O165" s="399">
        <v>1529.3979999999999</v>
      </c>
      <c r="P165" s="399">
        <v>1529.3979999999999</v>
      </c>
      <c r="Q165" s="399">
        <v>1529.3979999999999</v>
      </c>
      <c r="R165" s="399"/>
      <c r="S165" s="399">
        <v>825.6</v>
      </c>
      <c r="T165" s="399">
        <v>185.74</v>
      </c>
      <c r="U165" s="399"/>
      <c r="V165" s="399">
        <v>1546741.37332</v>
      </c>
      <c r="W165" s="399">
        <v>1546741.37332</v>
      </c>
      <c r="X165" s="399">
        <v>961532.52260000003</v>
      </c>
      <c r="Y165" s="399">
        <v>0</v>
      </c>
      <c r="Z165" s="399">
        <v>95350.572324823559</v>
      </c>
      <c r="AA165" s="399">
        <v>0</v>
      </c>
      <c r="AB165" s="399">
        <v>0</v>
      </c>
      <c r="AC165" s="399">
        <v>0</v>
      </c>
      <c r="AD165" s="399">
        <v>199329.05087711773</v>
      </c>
      <c r="AE165" s="399">
        <v>898169.2310055329</v>
      </c>
      <c r="AF165" s="399">
        <v>284076.94248451554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14736.046764268305</v>
      </c>
      <c r="AM165" s="399"/>
      <c r="AN165" s="399">
        <v>3625.9997807051127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51465.00595485462</v>
      </c>
      <c r="BH165" s="399">
        <v>0</v>
      </c>
      <c r="BI165" s="399">
        <v>588.79999999999995</v>
      </c>
      <c r="BJ165" s="399">
        <v>2931.92</v>
      </c>
      <c r="BK165" s="399">
        <v>261834.91</v>
      </c>
      <c r="BL165" s="399">
        <v>8125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335541.94843937014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961533.78</v>
      </c>
      <c r="CJ165" s="399">
        <v>-585207.62332000001</v>
      </c>
      <c r="CK165" s="399"/>
      <c r="CL165" s="399"/>
      <c r="CM165" s="399"/>
      <c r="CN165" s="399"/>
      <c r="CO165" s="399">
        <v>-585208.85071999999</v>
      </c>
      <c r="CP165" s="399">
        <v>0</v>
      </c>
      <c r="CQ165" s="399">
        <v>31</v>
      </c>
      <c r="CR165" s="399">
        <v>-25225.216491739266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-18349.557683096413</v>
      </c>
      <c r="DA165" s="399">
        <v>0</v>
      </c>
      <c r="DB165" s="399">
        <v>0</v>
      </c>
      <c r="DC165" s="399">
        <v>0</v>
      </c>
      <c r="DD165" s="399">
        <v>0</v>
      </c>
      <c r="DE165" s="399">
        <v>0</v>
      </c>
      <c r="DF165" s="399">
        <v>0</v>
      </c>
      <c r="DG165" s="399">
        <v>0</v>
      </c>
      <c r="DH165" s="399">
        <v>0</v>
      </c>
      <c r="DI165" s="399">
        <v>-5897.3075269907422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-790.03476203684477</v>
      </c>
      <c r="DP165" s="399">
        <v>-188.31651961525404</v>
      </c>
      <c r="DQ165" s="399">
        <v>0</v>
      </c>
      <c r="DR165" s="399">
        <v>0</v>
      </c>
      <c r="DS165" s="399"/>
      <c r="DT165" s="399"/>
      <c r="DU165" s="399"/>
      <c r="DV165" s="399">
        <v>898169.2310055329</v>
      </c>
      <c r="DW165" s="399">
        <v>0</v>
      </c>
      <c r="DX165" s="399">
        <v>0</v>
      </c>
      <c r="DY165" s="399">
        <v>-585208.85071999999</v>
      </c>
      <c r="DZ165" s="399">
        <v>0</v>
      </c>
      <c r="EA165" s="399">
        <v>0</v>
      </c>
      <c r="EB165" s="399">
        <v>0</v>
      </c>
      <c r="EC165" s="399">
        <v>-559987.78284447291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221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165</v>
      </c>
      <c r="B166" s="399" t="s">
        <v>2329</v>
      </c>
      <c r="C166" s="399" t="s">
        <v>2328</v>
      </c>
      <c r="D166" s="399" t="s">
        <v>1821</v>
      </c>
      <c r="E166" s="399" t="s">
        <v>889</v>
      </c>
      <c r="F166" s="399" t="s">
        <v>889</v>
      </c>
      <c r="G166" s="399" t="s">
        <v>1239</v>
      </c>
      <c r="H166" s="399" t="s">
        <v>1239</v>
      </c>
      <c r="I166" s="399" t="s">
        <v>1239</v>
      </c>
      <c r="J166" s="399" t="s">
        <v>2326</v>
      </c>
      <c r="K166" s="786">
        <v>44562</v>
      </c>
      <c r="L166" s="399">
        <v>0</v>
      </c>
      <c r="M166" s="399">
        <v>0</v>
      </c>
      <c r="N166" s="399">
        <v>-3.8340000000000001</v>
      </c>
      <c r="O166" s="399">
        <v>-3.8340000000000001</v>
      </c>
      <c r="P166" s="399">
        <v>-3.8340000000000001</v>
      </c>
      <c r="Q166" s="399">
        <v>-3.8340000000000001</v>
      </c>
      <c r="R166" s="399"/>
      <c r="S166" s="399">
        <v>825.6</v>
      </c>
      <c r="T166" s="399">
        <v>185.74</v>
      </c>
      <c r="U166" s="399"/>
      <c r="V166" s="399">
        <v>-3877.4775600000003</v>
      </c>
      <c r="W166" s="399">
        <v>-3877.4775600000003</v>
      </c>
      <c r="X166" s="399">
        <v>-2410.4358000000002</v>
      </c>
      <c r="Y166" s="399">
        <v>0</v>
      </c>
      <c r="Z166" s="399">
        <v>-239.03136678181451</v>
      </c>
      <c r="AA166" s="399">
        <v>0</v>
      </c>
      <c r="AB166" s="399">
        <v>0</v>
      </c>
      <c r="AC166" s="399">
        <v>0</v>
      </c>
      <c r="AD166" s="399">
        <v>-499.69176176696283</v>
      </c>
      <c r="AE166" s="399">
        <v>-2251.5923465802975</v>
      </c>
      <c r="AF166" s="399">
        <v>-712.14359995608254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-36.941334625914699</v>
      </c>
      <c r="AM166" s="399"/>
      <c r="AN166" s="399">
        <v>-9.0899054132563286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-129.01601337971712</v>
      </c>
      <c r="BH166" s="399">
        <v>0</v>
      </c>
      <c r="BI166" s="399">
        <v>-1.92</v>
      </c>
      <c r="BJ166" s="399">
        <v>-9.3699999999999992</v>
      </c>
      <c r="BK166" s="399">
        <v>-1040.1400000000001</v>
      </c>
      <c r="BL166" s="399">
        <v>0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-841.15961333579969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-2407.9209999999998</v>
      </c>
      <c r="CJ166" s="399">
        <v>1469.5265599999998</v>
      </c>
      <c r="CK166" s="399"/>
      <c r="CL166" s="399"/>
      <c r="CM166" s="399"/>
      <c r="CN166" s="399"/>
      <c r="CO166" s="399">
        <v>1467.0417600000003</v>
      </c>
      <c r="CP166" s="399">
        <v>0</v>
      </c>
      <c r="CQ166" s="399">
        <v>31</v>
      </c>
      <c r="CR166" s="399">
        <v>63.236306069007696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45.999932102037349</v>
      </c>
      <c r="DA166" s="399">
        <v>0</v>
      </c>
      <c r="DB166" s="399">
        <v>0</v>
      </c>
      <c r="DC166" s="399">
        <v>0</v>
      </c>
      <c r="DD166" s="399">
        <v>0</v>
      </c>
      <c r="DE166" s="399">
        <v>0</v>
      </c>
      <c r="DF166" s="399">
        <v>0</v>
      </c>
      <c r="DG166" s="399">
        <v>0</v>
      </c>
      <c r="DH166" s="399">
        <v>0</v>
      </c>
      <c r="DI166" s="399">
        <v>14.783775746066425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1.9805134292376891</v>
      </c>
      <c r="DP166" s="399">
        <v>0.47208479166631889</v>
      </c>
      <c r="DQ166" s="399">
        <v>0</v>
      </c>
      <c r="DR166" s="399">
        <v>0</v>
      </c>
      <c r="DS166" s="399"/>
      <c r="DT166" s="399"/>
      <c r="DU166" s="399"/>
      <c r="DV166" s="399">
        <v>-2251.5923465802975</v>
      </c>
      <c r="DW166" s="399">
        <v>0</v>
      </c>
      <c r="DX166" s="399">
        <v>0</v>
      </c>
      <c r="DY166" s="399">
        <v>1467.0417600000003</v>
      </c>
      <c r="DZ166" s="399">
        <v>0</v>
      </c>
      <c r="EA166" s="399">
        <v>0</v>
      </c>
      <c r="EB166" s="399">
        <v>0</v>
      </c>
      <c r="EC166" s="399">
        <v>1403.8158539671881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221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166</v>
      </c>
      <c r="B167" s="399" t="s">
        <v>2330</v>
      </c>
      <c r="C167" s="399" t="s">
        <v>2328</v>
      </c>
      <c r="D167" s="399" t="s">
        <v>1821</v>
      </c>
      <c r="E167" s="399" t="s">
        <v>889</v>
      </c>
      <c r="F167" s="399" t="s">
        <v>889</v>
      </c>
      <c r="G167" s="399" t="s">
        <v>1239</v>
      </c>
      <c r="H167" s="399" t="s">
        <v>1239</v>
      </c>
      <c r="I167" s="399" t="s">
        <v>1239</v>
      </c>
      <c r="J167" s="399" t="s">
        <v>2326</v>
      </c>
      <c r="K167" s="786">
        <v>44562</v>
      </c>
      <c r="L167" s="399">
        <v>0</v>
      </c>
      <c r="M167" s="399">
        <v>0</v>
      </c>
      <c r="N167" s="399">
        <v>6.8049999999999997</v>
      </c>
      <c r="O167" s="399">
        <v>6.8049999999999997</v>
      </c>
      <c r="P167" s="399">
        <v>6.8049999999999997</v>
      </c>
      <c r="Q167" s="399">
        <v>6.8049999999999997</v>
      </c>
      <c r="R167" s="399"/>
      <c r="S167" s="399">
        <v>825.6</v>
      </c>
      <c r="T167" s="399">
        <v>185.74</v>
      </c>
      <c r="U167" s="399"/>
      <c r="V167" s="399">
        <v>6882.1687000000002</v>
      </c>
      <c r="W167" s="399">
        <v>6882.1687000000002</v>
      </c>
      <c r="X167" s="399">
        <v>4278.3035</v>
      </c>
      <c r="Y167" s="399">
        <v>0</v>
      </c>
      <c r="Z167" s="399">
        <v>424.25885522958987</v>
      </c>
      <c r="AA167" s="399">
        <v>0</v>
      </c>
      <c r="AB167" s="399">
        <v>0</v>
      </c>
      <c r="AC167" s="399">
        <v>0</v>
      </c>
      <c r="AD167" s="399">
        <v>886.90726103917109</v>
      </c>
      <c r="AE167" s="399">
        <v>3996.3708707561091</v>
      </c>
      <c r="AF167" s="399">
        <v>1263.9898794212679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65.567496643022821</v>
      </c>
      <c r="AM167" s="399"/>
      <c r="AN167" s="399">
        <v>16.13375230495809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228.99164607432837</v>
      </c>
      <c r="BH167" s="399">
        <v>0</v>
      </c>
      <c r="BI167" s="399">
        <v>2.0099999999999998</v>
      </c>
      <c r="BJ167" s="399">
        <v>10.81</v>
      </c>
      <c r="BK167" s="399">
        <v>4432.91</v>
      </c>
      <c r="BL167" s="399">
        <v>60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1492.9815254955963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4281.4470000000001</v>
      </c>
      <c r="CJ167" s="399">
        <v>-2600.7517000000007</v>
      </c>
      <c r="CK167" s="399"/>
      <c r="CL167" s="399"/>
      <c r="CM167" s="399"/>
      <c r="CN167" s="399"/>
      <c r="CO167" s="399">
        <v>-2603.8652000000002</v>
      </c>
      <c r="CP167" s="399">
        <v>0</v>
      </c>
      <c r="CQ167" s="399">
        <v>31</v>
      </c>
      <c r="CR167" s="399">
        <v>-112.23867052675996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-81.645680217622385</v>
      </c>
      <c r="DA167" s="399">
        <v>0</v>
      </c>
      <c r="DB167" s="399">
        <v>0</v>
      </c>
      <c r="DC167" s="399">
        <v>0</v>
      </c>
      <c r="DD167" s="399">
        <v>0</v>
      </c>
      <c r="DE167" s="399">
        <v>0</v>
      </c>
      <c r="DF167" s="399">
        <v>0</v>
      </c>
      <c r="DG167" s="399">
        <v>0</v>
      </c>
      <c r="DH167" s="399">
        <v>0</v>
      </c>
      <c r="DI167" s="399">
        <v>-26.239852360975988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-3.5152305388530181</v>
      </c>
      <c r="DP167" s="399">
        <v>-0.8379074093086345</v>
      </c>
      <c r="DQ167" s="399">
        <v>0</v>
      </c>
      <c r="DR167" s="399">
        <v>0</v>
      </c>
      <c r="DS167" s="399"/>
      <c r="DT167" s="399"/>
      <c r="DU167" s="399"/>
      <c r="DV167" s="399">
        <v>3996.3708707561091</v>
      </c>
      <c r="DW167" s="399">
        <v>0</v>
      </c>
      <c r="DX167" s="399">
        <v>0</v>
      </c>
      <c r="DY167" s="399">
        <v>-2603.8651999999997</v>
      </c>
      <c r="DZ167" s="399">
        <v>0</v>
      </c>
      <c r="EA167" s="399">
        <v>0</v>
      </c>
      <c r="EB167" s="399">
        <v>0</v>
      </c>
      <c r="EC167" s="399">
        <v>-2491.6449885880838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221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167</v>
      </c>
      <c r="B168" s="399" t="s">
        <v>956</v>
      </c>
      <c r="C168" s="399" t="s">
        <v>2328</v>
      </c>
      <c r="D168" s="399" t="s">
        <v>1821</v>
      </c>
      <c r="E168" s="399" t="s">
        <v>889</v>
      </c>
      <c r="F168" s="399" t="s">
        <v>2331</v>
      </c>
      <c r="G168" s="399" t="s">
        <v>1239</v>
      </c>
      <c r="H168" s="399" t="s">
        <v>1239</v>
      </c>
      <c r="I168" s="399" t="s">
        <v>1239</v>
      </c>
      <c r="J168" s="399" t="s">
        <v>2326</v>
      </c>
      <c r="K168" s="786">
        <v>44562</v>
      </c>
      <c r="L168" s="399">
        <v>0</v>
      </c>
      <c r="M168" s="399">
        <v>0</v>
      </c>
      <c r="N168" s="399">
        <v>5.97</v>
      </c>
      <c r="O168" s="399">
        <v>5.97</v>
      </c>
      <c r="P168" s="399">
        <v>5.97</v>
      </c>
      <c r="Q168" s="399">
        <v>5.97</v>
      </c>
      <c r="R168" s="399"/>
      <c r="S168" s="399">
        <v>753.62</v>
      </c>
      <c r="T168" s="399">
        <v>185.74</v>
      </c>
      <c r="U168" s="399"/>
      <c r="V168" s="399">
        <v>5607.9791999999998</v>
      </c>
      <c r="W168" s="399">
        <v>5607.9791999999998</v>
      </c>
      <c r="X168" s="399">
        <v>3349.7073</v>
      </c>
      <c r="Y168" s="399">
        <v>0</v>
      </c>
      <c r="Z168" s="399">
        <v>0</v>
      </c>
      <c r="AA168" s="399">
        <v>0</v>
      </c>
      <c r="AB168" s="399">
        <v>0</v>
      </c>
      <c r="AC168" s="399">
        <v>0</v>
      </c>
      <c r="AD168" s="399">
        <v>778.0802863194491</v>
      </c>
      <c r="AE168" s="399">
        <v>3506.000602265095</v>
      </c>
      <c r="AF168" s="399">
        <v>1108.8933989926479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0</v>
      </c>
      <c r="AM168" s="399"/>
      <c r="AN168" s="399">
        <v>14.154078069155004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200.89347936278332</v>
      </c>
      <c r="BH168" s="399">
        <v>0</v>
      </c>
      <c r="BI168" s="399">
        <v>0</v>
      </c>
      <c r="BJ168" s="399">
        <v>2.29</v>
      </c>
      <c r="BK168" s="399">
        <v>159.19999999999999</v>
      </c>
      <c r="BL168" s="399">
        <v>10</v>
      </c>
      <c r="BM168" s="399"/>
      <c r="BN168" s="399"/>
      <c r="BO168" s="399"/>
      <c r="BP168" s="399"/>
      <c r="BQ168" s="399"/>
      <c r="BR168" s="399"/>
      <c r="BS168" s="399"/>
      <c r="BT168" s="399">
        <v>2177.3186999999998</v>
      </c>
      <c r="BU168" s="399"/>
      <c r="BV168" s="399">
        <v>1309.7868783554313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1172.3886</v>
      </c>
      <c r="CJ168" s="399">
        <v>-790.45799999999986</v>
      </c>
      <c r="CK168" s="399"/>
      <c r="CL168" s="399"/>
      <c r="CM168" s="399"/>
      <c r="CN168" s="399"/>
      <c r="CO168" s="399">
        <v>-2258.2718999999997</v>
      </c>
      <c r="CP168" s="399">
        <v>0</v>
      </c>
      <c r="CQ168" s="399">
        <v>31</v>
      </c>
      <c r="CR168" s="399">
        <v>-72.362530217895028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-71.627437310684059</v>
      </c>
      <c r="DA168" s="399">
        <v>0</v>
      </c>
      <c r="DB168" s="399">
        <v>0</v>
      </c>
      <c r="DC168" s="399">
        <v>0</v>
      </c>
      <c r="DD168" s="399">
        <v>0</v>
      </c>
      <c r="DE168" s="399">
        <v>0</v>
      </c>
      <c r="DF168" s="399">
        <v>0</v>
      </c>
      <c r="DG168" s="399">
        <v>0</v>
      </c>
      <c r="DH168" s="399">
        <v>0</v>
      </c>
      <c r="DI168" s="399">
        <v>0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0</v>
      </c>
      <c r="DP168" s="399">
        <v>-0.7350929072112482</v>
      </c>
      <c r="DQ168" s="399">
        <v>0</v>
      </c>
      <c r="DR168" s="399">
        <v>0</v>
      </c>
      <c r="DS168" s="399"/>
      <c r="DT168" s="399"/>
      <c r="DU168" s="399"/>
      <c r="DV168" s="399">
        <v>3506.000602265095</v>
      </c>
      <c r="DW168" s="399">
        <v>0</v>
      </c>
      <c r="DX168" s="399">
        <v>0</v>
      </c>
      <c r="DY168" s="399">
        <v>-2258.2718999999997</v>
      </c>
      <c r="DZ168" s="399">
        <v>0</v>
      </c>
      <c r="EA168" s="399">
        <v>0</v>
      </c>
      <c r="EB168" s="399">
        <v>0</v>
      </c>
      <c r="EC168" s="399">
        <v>-2185.9104455357619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221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168</v>
      </c>
      <c r="B169" s="399" t="s">
        <v>2330</v>
      </c>
      <c r="C169" s="399" t="s">
        <v>2328</v>
      </c>
      <c r="D169" s="399" t="s">
        <v>1821</v>
      </c>
      <c r="E169" s="399" t="s">
        <v>889</v>
      </c>
      <c r="F169" s="399" t="s">
        <v>2331</v>
      </c>
      <c r="G169" s="399" t="s">
        <v>1239</v>
      </c>
      <c r="H169" s="399" t="s">
        <v>1239</v>
      </c>
      <c r="I169" s="399" t="s">
        <v>1239</v>
      </c>
      <c r="J169" s="399" t="s">
        <v>2326</v>
      </c>
      <c r="K169" s="786">
        <v>44562</v>
      </c>
      <c r="L169" s="399">
        <v>0</v>
      </c>
      <c r="M169" s="399">
        <v>0</v>
      </c>
      <c r="N169" s="399">
        <v>0</v>
      </c>
      <c r="O169" s="399">
        <v>0</v>
      </c>
      <c r="P169" s="399">
        <v>0</v>
      </c>
      <c r="Q169" s="399">
        <v>0</v>
      </c>
      <c r="R169" s="399"/>
      <c r="S169" s="399"/>
      <c r="T169" s="399"/>
      <c r="U169" s="399"/>
      <c r="V169" s="399"/>
      <c r="W169" s="399"/>
      <c r="X169" s="399"/>
      <c r="Y169" s="399"/>
      <c r="Z169" s="399"/>
      <c r="AA169" s="399">
        <v>0</v>
      </c>
      <c r="AB169" s="399"/>
      <c r="AC169" s="399"/>
      <c r="AD169" s="399"/>
      <c r="AE169" s="399"/>
      <c r="AF169" s="399"/>
      <c r="AG169" s="399"/>
      <c r="AH169" s="399"/>
      <c r="AI169" s="399"/>
      <c r="AJ169" s="399"/>
      <c r="AK169" s="399"/>
      <c r="AL169" s="399"/>
      <c r="AM169" s="399"/>
      <c r="AN169" s="399"/>
      <c r="AO169" s="399"/>
      <c r="AP169" s="399"/>
      <c r="AQ169" s="399"/>
      <c r="AR169" s="399"/>
      <c r="AS169" s="399"/>
      <c r="AT169" s="399"/>
      <c r="AU169" s="399"/>
      <c r="AV169" s="399"/>
      <c r="AW169" s="399"/>
      <c r="AX169" s="399"/>
      <c r="AY169" s="399"/>
      <c r="AZ169" s="399">
        <v>0</v>
      </c>
      <c r="BA169" s="399"/>
      <c r="BB169" s="399"/>
      <c r="BC169" s="399"/>
      <c r="BD169" s="399"/>
      <c r="BE169" s="399"/>
      <c r="BF169" s="399"/>
      <c r="BG169" s="399"/>
      <c r="BH169" s="399"/>
      <c r="BI169" s="399">
        <v>0</v>
      </c>
      <c r="BJ169" s="399">
        <v>0</v>
      </c>
      <c r="BK169" s="399">
        <v>0.8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/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/>
      <c r="CJ169" s="399">
        <v>-0.03</v>
      </c>
      <c r="CK169" s="399"/>
      <c r="CL169" s="399"/>
      <c r="CM169" s="399"/>
      <c r="CN169" s="399"/>
      <c r="CO169" s="399">
        <v>0</v>
      </c>
      <c r="CP169" s="399">
        <v>0</v>
      </c>
      <c r="CQ169" s="399">
        <v>31</v>
      </c>
      <c r="CR169" s="399"/>
      <c r="CS169" s="399"/>
      <c r="CT169" s="399"/>
      <c r="CU169" s="399"/>
      <c r="CV169" s="399"/>
      <c r="CW169" s="399"/>
      <c r="CX169" s="399"/>
      <c r="CY169" s="399"/>
      <c r="CZ169" s="399"/>
      <c r="DA169" s="399"/>
      <c r="DB169" s="399"/>
      <c r="DC169" s="399"/>
      <c r="DD169" s="399"/>
      <c r="DE169" s="399"/>
      <c r="DF169" s="399"/>
      <c r="DG169" s="399"/>
      <c r="DH169" s="399"/>
      <c r="DI169" s="399"/>
      <c r="DJ169" s="399"/>
      <c r="DK169" s="399">
        <v>0</v>
      </c>
      <c r="DL169" s="399"/>
      <c r="DM169" s="399"/>
      <c r="DN169" s="399"/>
      <c r="DO169" s="399"/>
      <c r="DP169" s="399"/>
      <c r="DQ169" s="399"/>
      <c r="DR169" s="399"/>
      <c r="DS169" s="399"/>
      <c r="DT169" s="399"/>
      <c r="DU169" s="399"/>
      <c r="DV169" s="399"/>
      <c r="DW169" s="399"/>
      <c r="DX169" s="399"/>
      <c r="DY169" s="399"/>
      <c r="DZ169" s="399"/>
      <c r="EA169" s="399"/>
      <c r="EB169" s="399"/>
      <c r="EC169" s="399"/>
      <c r="ED169" s="399"/>
      <c r="EE169" s="399"/>
      <c r="EF169" s="399"/>
      <c r="EG169" s="399"/>
      <c r="EH169" s="399"/>
      <c r="EI169" s="399"/>
      <c r="EJ169" s="399"/>
      <c r="EK169" s="399"/>
      <c r="EL169" s="399"/>
      <c r="EM169" s="399"/>
      <c r="EN169" s="399"/>
      <c r="EO169" s="399"/>
      <c r="EP169" s="399"/>
      <c r="EQ169" s="399"/>
      <c r="ER169" s="399"/>
      <c r="ES169" s="399"/>
      <c r="ET169" s="399"/>
      <c r="EU169" s="399"/>
      <c r="EV169" s="399">
        <v>221</v>
      </c>
      <c r="EW169" s="399"/>
      <c r="EX169" s="399"/>
      <c r="EY169" s="399"/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169</v>
      </c>
      <c r="B170" s="399" t="s">
        <v>956</v>
      </c>
      <c r="C170" s="399" t="s">
        <v>2328</v>
      </c>
      <c r="D170" s="399" t="s">
        <v>1821</v>
      </c>
      <c r="E170" s="399" t="s">
        <v>889</v>
      </c>
      <c r="F170" s="399" t="s">
        <v>2332</v>
      </c>
      <c r="G170" s="399" t="s">
        <v>1239</v>
      </c>
      <c r="H170" s="399" t="s">
        <v>1239</v>
      </c>
      <c r="I170" s="399" t="s">
        <v>1239</v>
      </c>
      <c r="J170" s="399" t="s">
        <v>2326</v>
      </c>
      <c r="K170" s="786">
        <v>44562</v>
      </c>
      <c r="L170" s="399">
        <v>0</v>
      </c>
      <c r="M170" s="399">
        <v>0</v>
      </c>
      <c r="N170" s="399">
        <v>12.425000000000001</v>
      </c>
      <c r="O170" s="399">
        <v>12.425000000000001</v>
      </c>
      <c r="P170" s="399">
        <v>12.425000000000001</v>
      </c>
      <c r="Q170" s="399">
        <v>12.425000000000001</v>
      </c>
      <c r="R170" s="399"/>
      <c r="S170" s="399">
        <v>753.62</v>
      </c>
      <c r="T170" s="399">
        <v>185.74</v>
      </c>
      <c r="U170" s="399"/>
      <c r="V170" s="399">
        <v>11671.548000000001</v>
      </c>
      <c r="W170" s="399">
        <v>11671.548000000001</v>
      </c>
      <c r="X170" s="399">
        <v>6971.5432500000006</v>
      </c>
      <c r="Y170" s="399">
        <v>0</v>
      </c>
      <c r="Z170" s="399">
        <v>0</v>
      </c>
      <c r="AA170" s="399">
        <v>0</v>
      </c>
      <c r="AB170" s="399">
        <v>0</v>
      </c>
      <c r="AC170" s="399">
        <v>0</v>
      </c>
      <c r="AD170" s="399">
        <v>1619.3714501707129</v>
      </c>
      <c r="AE170" s="399">
        <v>7296.8270491028161</v>
      </c>
      <c r="AF170" s="399">
        <v>2307.8727776354526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0</v>
      </c>
      <c r="AM170" s="399"/>
      <c r="AN170" s="399">
        <v>29.458026802219585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418.10745076760185</v>
      </c>
      <c r="BH170" s="399">
        <v>0</v>
      </c>
      <c r="BI170" s="399">
        <v>1.76</v>
      </c>
      <c r="BJ170" s="399">
        <v>10.92</v>
      </c>
      <c r="BK170" s="399">
        <v>571.51</v>
      </c>
      <c r="BL170" s="399">
        <v>30</v>
      </c>
      <c r="BM170" s="399"/>
      <c r="BN170" s="399"/>
      <c r="BO170" s="399"/>
      <c r="BP170" s="399"/>
      <c r="BQ170" s="399"/>
      <c r="BR170" s="399"/>
      <c r="BS170" s="399"/>
      <c r="BT170" s="399">
        <v>2788.5427500000005</v>
      </c>
      <c r="BU170" s="399"/>
      <c r="BV170" s="399">
        <v>2725.9802284030543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4184.6837999999998</v>
      </c>
      <c r="CJ170" s="399">
        <v>-2818.3247000000019</v>
      </c>
      <c r="CK170" s="399"/>
      <c r="CL170" s="399"/>
      <c r="CM170" s="399"/>
      <c r="CN170" s="399"/>
      <c r="CO170" s="399">
        <v>-4700.0047500000001</v>
      </c>
      <c r="CP170" s="399">
        <v>0</v>
      </c>
      <c r="CQ170" s="399">
        <v>31</v>
      </c>
      <c r="CR170" s="399">
        <v>-150.60375845181716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-149.07385403438025</v>
      </c>
      <c r="DA170" s="399">
        <v>0</v>
      </c>
      <c r="DB170" s="399">
        <v>0</v>
      </c>
      <c r="DC170" s="399">
        <v>0</v>
      </c>
      <c r="DD170" s="399">
        <v>0</v>
      </c>
      <c r="DE170" s="399">
        <v>0</v>
      </c>
      <c r="DF170" s="399">
        <v>0</v>
      </c>
      <c r="DG170" s="399">
        <v>0</v>
      </c>
      <c r="DH170" s="399">
        <v>0</v>
      </c>
      <c r="DI170" s="399">
        <v>0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0</v>
      </c>
      <c r="DP170" s="399">
        <v>-1.5299044174371446</v>
      </c>
      <c r="DQ170" s="399">
        <v>0</v>
      </c>
      <c r="DR170" s="399">
        <v>0</v>
      </c>
      <c r="DS170" s="399"/>
      <c r="DT170" s="399"/>
      <c r="DU170" s="399"/>
      <c r="DV170" s="399">
        <v>7296.8270491028161</v>
      </c>
      <c r="DW170" s="399">
        <v>0</v>
      </c>
      <c r="DX170" s="399">
        <v>0</v>
      </c>
      <c r="DY170" s="399">
        <v>-4700.004750000001</v>
      </c>
      <c r="DZ170" s="399">
        <v>0</v>
      </c>
      <c r="EA170" s="399">
        <v>0</v>
      </c>
      <c r="EB170" s="399">
        <v>0</v>
      </c>
      <c r="EC170" s="399">
        <v>-4549.4032304492212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221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170</v>
      </c>
      <c r="B171" s="399" t="s">
        <v>2330</v>
      </c>
      <c r="C171" s="399" t="s">
        <v>2328</v>
      </c>
      <c r="D171" s="399" t="s">
        <v>1821</v>
      </c>
      <c r="E171" s="399" t="s">
        <v>889</v>
      </c>
      <c r="F171" s="399" t="s">
        <v>2332</v>
      </c>
      <c r="G171" s="399" t="s">
        <v>1239</v>
      </c>
      <c r="H171" s="399" t="s">
        <v>1239</v>
      </c>
      <c r="I171" s="399" t="s">
        <v>1239</v>
      </c>
      <c r="J171" s="399" t="s">
        <v>2326</v>
      </c>
      <c r="K171" s="786">
        <v>44562</v>
      </c>
      <c r="L171" s="399">
        <v>0</v>
      </c>
      <c r="M171" s="399">
        <v>0</v>
      </c>
      <c r="N171" s="399">
        <v>0</v>
      </c>
      <c r="O171" s="399">
        <v>0</v>
      </c>
      <c r="P171" s="399">
        <v>0</v>
      </c>
      <c r="Q171" s="399">
        <v>0</v>
      </c>
      <c r="R171" s="399"/>
      <c r="S171" s="399"/>
      <c r="T171" s="399"/>
      <c r="U171" s="399"/>
      <c r="V171" s="399"/>
      <c r="W171" s="399"/>
      <c r="X171" s="399"/>
      <c r="Y171" s="399"/>
      <c r="Z171" s="399"/>
      <c r="AA171" s="399">
        <v>0</v>
      </c>
      <c r="AB171" s="399"/>
      <c r="AC171" s="399"/>
      <c r="AD171" s="399"/>
      <c r="AE171" s="399"/>
      <c r="AF171" s="399"/>
      <c r="AG171" s="399"/>
      <c r="AH171" s="399"/>
      <c r="AI171" s="399"/>
      <c r="AJ171" s="399"/>
      <c r="AK171" s="399"/>
      <c r="AL171" s="399"/>
      <c r="AM171" s="399"/>
      <c r="AN171" s="399"/>
      <c r="AO171" s="399"/>
      <c r="AP171" s="399"/>
      <c r="AQ171" s="399"/>
      <c r="AR171" s="399"/>
      <c r="AS171" s="399"/>
      <c r="AT171" s="399"/>
      <c r="AU171" s="399"/>
      <c r="AV171" s="399"/>
      <c r="AW171" s="399"/>
      <c r="AX171" s="399"/>
      <c r="AY171" s="399"/>
      <c r="AZ171" s="399">
        <v>0</v>
      </c>
      <c r="BA171" s="399"/>
      <c r="BB171" s="399"/>
      <c r="BC171" s="399"/>
      <c r="BD171" s="399"/>
      <c r="BE171" s="399"/>
      <c r="BF171" s="399"/>
      <c r="BG171" s="399"/>
      <c r="BH171" s="399"/>
      <c r="BI171" s="399">
        <v>0</v>
      </c>
      <c r="BJ171" s="399">
        <v>0</v>
      </c>
      <c r="BK171" s="399">
        <v>3.21</v>
      </c>
      <c r="BL171" s="399">
        <v>0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/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/>
      <c r="CJ171" s="399">
        <v>-0.03</v>
      </c>
      <c r="CK171" s="399"/>
      <c r="CL171" s="399"/>
      <c r="CM171" s="399"/>
      <c r="CN171" s="399"/>
      <c r="CO171" s="399">
        <v>0</v>
      </c>
      <c r="CP171" s="399">
        <v>0</v>
      </c>
      <c r="CQ171" s="399">
        <v>31</v>
      </c>
      <c r="CR171" s="399"/>
      <c r="CS171" s="399"/>
      <c r="CT171" s="399"/>
      <c r="CU171" s="399"/>
      <c r="CV171" s="399"/>
      <c r="CW171" s="399"/>
      <c r="CX171" s="399"/>
      <c r="CY171" s="399"/>
      <c r="CZ171" s="399"/>
      <c r="DA171" s="399"/>
      <c r="DB171" s="399"/>
      <c r="DC171" s="399"/>
      <c r="DD171" s="399"/>
      <c r="DE171" s="399"/>
      <c r="DF171" s="399"/>
      <c r="DG171" s="399"/>
      <c r="DH171" s="399"/>
      <c r="DI171" s="399"/>
      <c r="DJ171" s="399"/>
      <c r="DK171" s="399">
        <v>0</v>
      </c>
      <c r="DL171" s="399"/>
      <c r="DM171" s="399"/>
      <c r="DN171" s="399"/>
      <c r="DO171" s="399"/>
      <c r="DP171" s="399"/>
      <c r="DQ171" s="399"/>
      <c r="DR171" s="399"/>
      <c r="DS171" s="399"/>
      <c r="DT171" s="399"/>
      <c r="DU171" s="399"/>
      <c r="DV171" s="399"/>
      <c r="DW171" s="399"/>
      <c r="DX171" s="399"/>
      <c r="DY171" s="399"/>
      <c r="DZ171" s="399"/>
      <c r="EA171" s="399"/>
      <c r="EB171" s="399"/>
      <c r="EC171" s="399"/>
      <c r="ED171" s="399"/>
      <c r="EE171" s="399"/>
      <c r="EF171" s="399"/>
      <c r="EG171" s="399"/>
      <c r="EH171" s="399"/>
      <c r="EI171" s="399"/>
      <c r="EJ171" s="399"/>
      <c r="EK171" s="399"/>
      <c r="EL171" s="399"/>
      <c r="EM171" s="399"/>
      <c r="EN171" s="399"/>
      <c r="EO171" s="399"/>
      <c r="EP171" s="399"/>
      <c r="EQ171" s="399"/>
      <c r="ER171" s="399"/>
      <c r="ES171" s="399"/>
      <c r="ET171" s="399"/>
      <c r="EU171" s="399"/>
      <c r="EV171" s="399">
        <v>221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171</v>
      </c>
      <c r="B172" s="399" t="s">
        <v>956</v>
      </c>
      <c r="C172" s="399" t="s">
        <v>2328</v>
      </c>
      <c r="D172" s="399" t="s">
        <v>1821</v>
      </c>
      <c r="E172" s="399" t="s">
        <v>889</v>
      </c>
      <c r="F172" s="399" t="s">
        <v>2333</v>
      </c>
      <c r="G172" s="399" t="s">
        <v>1239</v>
      </c>
      <c r="H172" s="399" t="s">
        <v>1239</v>
      </c>
      <c r="I172" s="399" t="s">
        <v>1239</v>
      </c>
      <c r="J172" s="399" t="s">
        <v>2326</v>
      </c>
      <c r="K172" s="786">
        <v>44562</v>
      </c>
      <c r="L172" s="399">
        <v>0</v>
      </c>
      <c r="M172" s="399">
        <v>0</v>
      </c>
      <c r="N172" s="399">
        <v>13.813000000000001</v>
      </c>
      <c r="O172" s="399">
        <v>13.813000000000001</v>
      </c>
      <c r="P172" s="399">
        <v>13.813000000000001</v>
      </c>
      <c r="Q172" s="399">
        <v>13.813000000000001</v>
      </c>
      <c r="R172" s="399"/>
      <c r="S172" s="399">
        <v>753.62</v>
      </c>
      <c r="T172" s="399">
        <v>185.74</v>
      </c>
      <c r="U172" s="399"/>
      <c r="V172" s="399">
        <v>12975.379680000002</v>
      </c>
      <c r="W172" s="399">
        <v>12975.379680000002</v>
      </c>
      <c r="X172" s="399">
        <v>7750.3361700000005</v>
      </c>
      <c r="Y172" s="399">
        <v>0</v>
      </c>
      <c r="Z172" s="399">
        <v>0</v>
      </c>
      <c r="AA172" s="399">
        <v>0</v>
      </c>
      <c r="AB172" s="399">
        <v>0</v>
      </c>
      <c r="AC172" s="399">
        <v>0</v>
      </c>
      <c r="AD172" s="399">
        <v>1800.2718584473284</v>
      </c>
      <c r="AE172" s="399">
        <v>8111.9575073848846</v>
      </c>
      <c r="AF172" s="399">
        <v>2565.6858492940451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0</v>
      </c>
      <c r="AM172" s="399"/>
      <c r="AN172" s="399">
        <v>32.748790681614416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464.81434345697255</v>
      </c>
      <c r="BH172" s="399">
        <v>0</v>
      </c>
      <c r="BI172" s="399">
        <v>3.52</v>
      </c>
      <c r="BJ172" s="399">
        <v>16.63</v>
      </c>
      <c r="BK172" s="399">
        <v>1608.91</v>
      </c>
      <c r="BL172" s="399">
        <v>92</v>
      </c>
      <c r="BM172" s="399"/>
      <c r="BN172" s="399"/>
      <c r="BO172" s="399"/>
      <c r="BP172" s="399"/>
      <c r="BQ172" s="399"/>
      <c r="BR172" s="399"/>
      <c r="BS172" s="399"/>
      <c r="BT172" s="399">
        <v>774.90930000000071</v>
      </c>
      <c r="BU172" s="399"/>
      <c r="BV172" s="399">
        <v>3030.5001927510175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6973.9119000000001</v>
      </c>
      <c r="CJ172" s="399">
        <v>-4704.0426899999993</v>
      </c>
      <c r="CK172" s="399"/>
      <c r="CL172" s="399"/>
      <c r="CM172" s="399"/>
      <c r="CN172" s="399"/>
      <c r="CO172" s="399">
        <v>-5225.0435100000004</v>
      </c>
      <c r="CP172" s="399">
        <v>0</v>
      </c>
      <c r="CQ172" s="399">
        <v>31</v>
      </c>
      <c r="CR172" s="399">
        <v>-167.42774370180632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-165.7269332617218</v>
      </c>
      <c r="DA172" s="399">
        <v>0</v>
      </c>
      <c r="DB172" s="399">
        <v>0</v>
      </c>
      <c r="DC172" s="399">
        <v>0</v>
      </c>
      <c r="DD172" s="399">
        <v>0</v>
      </c>
      <c r="DE172" s="399">
        <v>0</v>
      </c>
      <c r="DF172" s="399">
        <v>0</v>
      </c>
      <c r="DG172" s="399">
        <v>0</v>
      </c>
      <c r="DH172" s="399">
        <v>0</v>
      </c>
      <c r="DI172" s="399">
        <v>0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0</v>
      </c>
      <c r="DP172" s="399">
        <v>-1.7008104400852524</v>
      </c>
      <c r="DQ172" s="399">
        <v>0</v>
      </c>
      <c r="DR172" s="399">
        <v>0</v>
      </c>
      <c r="DS172" s="399"/>
      <c r="DT172" s="399"/>
      <c r="DU172" s="399"/>
      <c r="DV172" s="399">
        <v>8111.9575073848846</v>
      </c>
      <c r="DW172" s="399">
        <v>0</v>
      </c>
      <c r="DX172" s="399">
        <v>0</v>
      </c>
      <c r="DY172" s="399">
        <v>-5225.0435100000004</v>
      </c>
      <c r="DZ172" s="399">
        <v>0</v>
      </c>
      <c r="EA172" s="399">
        <v>0</v>
      </c>
      <c r="EB172" s="399">
        <v>0</v>
      </c>
      <c r="EC172" s="399">
        <v>-5057.6182553074505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221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172</v>
      </c>
      <c r="B173" s="399" t="s">
        <v>2330</v>
      </c>
      <c r="C173" s="399" t="s">
        <v>2328</v>
      </c>
      <c r="D173" s="399" t="s">
        <v>1821</v>
      </c>
      <c r="E173" s="399" t="s">
        <v>889</v>
      </c>
      <c r="F173" s="399" t="s">
        <v>2333</v>
      </c>
      <c r="G173" s="399" t="s">
        <v>1239</v>
      </c>
      <c r="H173" s="399" t="s">
        <v>1239</v>
      </c>
      <c r="I173" s="399" t="s">
        <v>1239</v>
      </c>
      <c r="J173" s="399" t="s">
        <v>2326</v>
      </c>
      <c r="K173" s="786">
        <v>44562</v>
      </c>
      <c r="L173" s="399">
        <v>0</v>
      </c>
      <c r="M173" s="399">
        <v>0</v>
      </c>
      <c r="N173" s="399">
        <v>0</v>
      </c>
      <c r="O173" s="399">
        <v>0</v>
      </c>
      <c r="P173" s="399">
        <v>0</v>
      </c>
      <c r="Q173" s="399">
        <v>0</v>
      </c>
      <c r="R173" s="399"/>
      <c r="S173" s="399"/>
      <c r="T173" s="399"/>
      <c r="U173" s="399"/>
      <c r="V173" s="399"/>
      <c r="W173" s="399"/>
      <c r="X173" s="399"/>
      <c r="Y173" s="399"/>
      <c r="Z173" s="399"/>
      <c r="AA173" s="399">
        <v>0</v>
      </c>
      <c r="AB173" s="399"/>
      <c r="AC173" s="399"/>
      <c r="AD173" s="399"/>
      <c r="AE173" s="399"/>
      <c r="AF173" s="399"/>
      <c r="AG173" s="399"/>
      <c r="AH173" s="399"/>
      <c r="AI173" s="399"/>
      <c r="AJ173" s="399"/>
      <c r="AK173" s="399"/>
      <c r="AL173" s="399"/>
      <c r="AM173" s="399"/>
      <c r="AN173" s="399"/>
      <c r="AO173" s="399"/>
      <c r="AP173" s="399"/>
      <c r="AQ173" s="399"/>
      <c r="AR173" s="399"/>
      <c r="AS173" s="399"/>
      <c r="AT173" s="399"/>
      <c r="AU173" s="399"/>
      <c r="AV173" s="399"/>
      <c r="AW173" s="399"/>
      <c r="AX173" s="399"/>
      <c r="AY173" s="399"/>
      <c r="AZ173" s="399">
        <v>0</v>
      </c>
      <c r="BA173" s="399"/>
      <c r="BB173" s="399"/>
      <c r="BC173" s="399"/>
      <c r="BD173" s="399"/>
      <c r="BE173" s="399"/>
      <c r="BF173" s="399"/>
      <c r="BG173" s="399"/>
      <c r="BH173" s="399"/>
      <c r="BI173" s="399">
        <v>0</v>
      </c>
      <c r="BJ173" s="399">
        <v>0</v>
      </c>
      <c r="BK173" s="399">
        <v>1.72</v>
      </c>
      <c r="BL173" s="399">
        <v>1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/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/>
      <c r="CJ173" s="399">
        <v>-0.03</v>
      </c>
      <c r="CK173" s="399"/>
      <c r="CL173" s="399"/>
      <c r="CM173" s="399"/>
      <c r="CN173" s="399"/>
      <c r="CO173" s="399">
        <v>0</v>
      </c>
      <c r="CP173" s="399">
        <v>0</v>
      </c>
      <c r="CQ173" s="399">
        <v>31</v>
      </c>
      <c r="CR173" s="399"/>
      <c r="CS173" s="399"/>
      <c r="CT173" s="399"/>
      <c r="CU173" s="399"/>
      <c r="CV173" s="399"/>
      <c r="CW173" s="399"/>
      <c r="CX173" s="399"/>
      <c r="CY173" s="399"/>
      <c r="CZ173" s="399"/>
      <c r="DA173" s="399"/>
      <c r="DB173" s="399"/>
      <c r="DC173" s="399"/>
      <c r="DD173" s="399"/>
      <c r="DE173" s="399"/>
      <c r="DF173" s="399"/>
      <c r="DG173" s="399"/>
      <c r="DH173" s="399"/>
      <c r="DI173" s="399"/>
      <c r="DJ173" s="399"/>
      <c r="DK173" s="399">
        <v>0</v>
      </c>
      <c r="DL173" s="399"/>
      <c r="DM173" s="399"/>
      <c r="DN173" s="399"/>
      <c r="DO173" s="399"/>
      <c r="DP173" s="399"/>
      <c r="DQ173" s="399"/>
      <c r="DR173" s="399"/>
      <c r="DS173" s="399"/>
      <c r="DT173" s="399"/>
      <c r="DU173" s="399"/>
      <c r="DV173" s="399"/>
      <c r="DW173" s="399"/>
      <c r="DX173" s="399"/>
      <c r="DY173" s="399"/>
      <c r="DZ173" s="399"/>
      <c r="EA173" s="399"/>
      <c r="EB173" s="399"/>
      <c r="EC173" s="399"/>
      <c r="ED173" s="399"/>
      <c r="EE173" s="399"/>
      <c r="EF173" s="399"/>
      <c r="EG173" s="399"/>
      <c r="EH173" s="399"/>
      <c r="EI173" s="399"/>
      <c r="EJ173" s="399"/>
      <c r="EK173" s="399"/>
      <c r="EL173" s="399"/>
      <c r="EM173" s="399"/>
      <c r="EN173" s="399"/>
      <c r="EO173" s="399"/>
      <c r="EP173" s="399"/>
      <c r="EQ173" s="399"/>
      <c r="ER173" s="399"/>
      <c r="ES173" s="399"/>
      <c r="ET173" s="399"/>
      <c r="EU173" s="399"/>
      <c r="EV173" s="399">
        <v>221</v>
      </c>
      <c r="EW173" s="399"/>
      <c r="EX173" s="399"/>
      <c r="EY173" s="399"/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173</v>
      </c>
      <c r="B174" s="399" t="s">
        <v>956</v>
      </c>
      <c r="C174" s="399" t="s">
        <v>2328</v>
      </c>
      <c r="D174" s="399" t="s">
        <v>1821</v>
      </c>
      <c r="E174" s="399" t="s">
        <v>889</v>
      </c>
      <c r="F174" s="399" t="s">
        <v>2334</v>
      </c>
      <c r="G174" s="399" t="s">
        <v>1239</v>
      </c>
      <c r="H174" s="399" t="s">
        <v>1239</v>
      </c>
      <c r="I174" s="399" t="s">
        <v>1239</v>
      </c>
      <c r="J174" s="399" t="s">
        <v>2326</v>
      </c>
      <c r="K174" s="786">
        <v>44562</v>
      </c>
      <c r="L174" s="399">
        <v>0</v>
      </c>
      <c r="M174" s="399">
        <v>0</v>
      </c>
      <c r="N174" s="399">
        <v>5.2519999999999998</v>
      </c>
      <c r="O174" s="399">
        <v>5.2519999999999998</v>
      </c>
      <c r="P174" s="399">
        <v>5.2519999999999998</v>
      </c>
      <c r="Q174" s="399">
        <v>5.2519999999999998</v>
      </c>
      <c r="R174" s="399"/>
      <c r="S174" s="399">
        <v>753.62</v>
      </c>
      <c r="T174" s="399">
        <v>185.74</v>
      </c>
      <c r="U174" s="399"/>
      <c r="V174" s="399">
        <v>4933.51872</v>
      </c>
      <c r="W174" s="399">
        <v>4933.51872</v>
      </c>
      <c r="X174" s="399">
        <v>2946.8446800000002</v>
      </c>
      <c r="Y174" s="399">
        <v>0</v>
      </c>
      <c r="Z174" s="399">
        <v>0</v>
      </c>
      <c r="AA174" s="399">
        <v>0</v>
      </c>
      <c r="AB174" s="399">
        <v>0</v>
      </c>
      <c r="AC174" s="399">
        <v>0</v>
      </c>
      <c r="AD174" s="399">
        <v>684.50212123111339</v>
      </c>
      <c r="AE174" s="399">
        <v>3084.3408983410854</v>
      </c>
      <c r="AF174" s="399">
        <v>975.52900025282872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0</v>
      </c>
      <c r="AM174" s="399"/>
      <c r="AN174" s="399">
        <v>12.451795313099176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176.73242104076013</v>
      </c>
      <c r="BH174" s="399">
        <v>0</v>
      </c>
      <c r="BI174" s="399">
        <v>1.63</v>
      </c>
      <c r="BJ174" s="399">
        <v>6.93</v>
      </c>
      <c r="BK174" s="399">
        <v>984.81</v>
      </c>
      <c r="BL174" s="399">
        <v>67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1152.2614212935889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2945.7224999999999</v>
      </c>
      <c r="CJ174" s="399">
        <v>-1987.8262200000008</v>
      </c>
      <c r="CK174" s="399"/>
      <c r="CL174" s="399"/>
      <c r="CM174" s="399"/>
      <c r="CN174" s="399"/>
      <c r="CO174" s="399">
        <v>-1986.6740399999999</v>
      </c>
      <c r="CP174" s="399">
        <v>0</v>
      </c>
      <c r="CQ174" s="399">
        <v>31</v>
      </c>
      <c r="CR174" s="399">
        <v>-63.659632948808166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-63.012948200286928</v>
      </c>
      <c r="DA174" s="399">
        <v>0</v>
      </c>
      <c r="DB174" s="399">
        <v>0</v>
      </c>
      <c r="DC174" s="399">
        <v>0</v>
      </c>
      <c r="DD174" s="399">
        <v>0</v>
      </c>
      <c r="DE174" s="399">
        <v>0</v>
      </c>
      <c r="DF174" s="399">
        <v>0</v>
      </c>
      <c r="DG174" s="399">
        <v>0</v>
      </c>
      <c r="DH174" s="399">
        <v>0</v>
      </c>
      <c r="DI174" s="399">
        <v>0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0</v>
      </c>
      <c r="DP174" s="399">
        <v>-0.6466847485215208</v>
      </c>
      <c r="DQ174" s="399">
        <v>0</v>
      </c>
      <c r="DR174" s="399">
        <v>0</v>
      </c>
      <c r="DS174" s="399"/>
      <c r="DT174" s="399"/>
      <c r="DU174" s="399"/>
      <c r="DV174" s="399">
        <v>3084.3408983410854</v>
      </c>
      <c r="DW174" s="399">
        <v>0</v>
      </c>
      <c r="DX174" s="399">
        <v>0</v>
      </c>
      <c r="DY174" s="399">
        <v>-1986.6740399999999</v>
      </c>
      <c r="DZ174" s="399">
        <v>0</v>
      </c>
      <c r="EA174" s="399">
        <v>0</v>
      </c>
      <c r="EB174" s="399">
        <v>0</v>
      </c>
      <c r="EC174" s="399">
        <v>-1923.015353426101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221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174</v>
      </c>
      <c r="B175" s="399" t="s">
        <v>956</v>
      </c>
      <c r="C175" s="399" t="s">
        <v>2335</v>
      </c>
      <c r="D175" s="399" t="s">
        <v>1821</v>
      </c>
      <c r="E175" s="399" t="s">
        <v>889</v>
      </c>
      <c r="F175" s="399" t="s">
        <v>889</v>
      </c>
      <c r="G175" s="399" t="s">
        <v>1239</v>
      </c>
      <c r="H175" s="399" t="s">
        <v>1239</v>
      </c>
      <c r="I175" s="399" t="s">
        <v>893</v>
      </c>
      <c r="J175" s="399" t="s">
        <v>2326</v>
      </c>
      <c r="K175" s="786">
        <v>44562</v>
      </c>
      <c r="L175" s="399">
        <v>0</v>
      </c>
      <c r="M175" s="399">
        <v>0</v>
      </c>
      <c r="N175" s="399">
        <v>6.8000000000000005E-2</v>
      </c>
      <c r="O175" s="399">
        <v>6.8000000000000005E-2</v>
      </c>
      <c r="P175" s="399">
        <v>6.8000000000000005E-2</v>
      </c>
      <c r="Q175" s="399">
        <v>6.8000000000000005E-2</v>
      </c>
      <c r="R175" s="399"/>
      <c r="S175" s="399">
        <v>2045.69</v>
      </c>
      <c r="T175" s="399">
        <v>185.74</v>
      </c>
      <c r="U175" s="399"/>
      <c r="V175" s="399">
        <v>151.73724000000001</v>
      </c>
      <c r="W175" s="399">
        <v>151.73724000000001</v>
      </c>
      <c r="X175" s="399">
        <v>82.002560000000003</v>
      </c>
      <c r="Y175" s="399">
        <v>0</v>
      </c>
      <c r="Z175" s="399">
        <v>4.2394712939914934</v>
      </c>
      <c r="AA175" s="399">
        <v>0</v>
      </c>
      <c r="AB175" s="399">
        <v>0</v>
      </c>
      <c r="AC175" s="399">
        <v>0</v>
      </c>
      <c r="AD175" s="399">
        <v>23.939847786684606</v>
      </c>
      <c r="AE175" s="399">
        <v>107.8226984515162</v>
      </c>
      <c r="AF175" s="399">
        <v>12.630611579815758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0.65519320671940517</v>
      </c>
      <c r="AM175" s="399"/>
      <c r="AN175" s="399">
        <v>0.16121897968216756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2.2882339357904971</v>
      </c>
      <c r="BH175" s="399">
        <v>0</v>
      </c>
      <c r="BI175" s="399">
        <v>0</v>
      </c>
      <c r="BJ175" s="399">
        <v>0</v>
      </c>
      <c r="BK175" s="399">
        <v>0</v>
      </c>
      <c r="BL175" s="399">
        <v>0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14.918845515606256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84.414400000000001</v>
      </c>
      <c r="CJ175" s="399">
        <v>-67.352839999999986</v>
      </c>
      <c r="CK175" s="399"/>
      <c r="CL175" s="399"/>
      <c r="CM175" s="399"/>
      <c r="CN175" s="399"/>
      <c r="CO175" s="399">
        <v>-69.734680000000026</v>
      </c>
      <c r="CP175" s="399">
        <v>0</v>
      </c>
      <c r="CQ175" s="399">
        <v>31</v>
      </c>
      <c r="CR175" s="399">
        <v>-2.5095264693535597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-2.2038213494385914</v>
      </c>
      <c r="DA175" s="399">
        <v>0</v>
      </c>
      <c r="DB175" s="399">
        <v>0</v>
      </c>
      <c r="DC175" s="399">
        <v>0</v>
      </c>
      <c r="DD175" s="399">
        <v>0</v>
      </c>
      <c r="DE175" s="399">
        <v>0</v>
      </c>
      <c r="DF175" s="399">
        <v>0</v>
      </c>
      <c r="DG175" s="399">
        <v>0</v>
      </c>
      <c r="DH175" s="399">
        <v>0</v>
      </c>
      <c r="DI175" s="399">
        <v>-0.26220572528234598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-3.5126477096547482E-2</v>
      </c>
      <c r="DP175" s="399">
        <v>-8.3729175360745256E-3</v>
      </c>
      <c r="DQ175" s="399">
        <v>0</v>
      </c>
      <c r="DR175" s="399">
        <v>0</v>
      </c>
      <c r="DS175" s="399"/>
      <c r="DT175" s="399"/>
      <c r="DU175" s="399"/>
      <c r="DV175" s="399">
        <v>107.8226984515162</v>
      </c>
      <c r="DW175" s="399">
        <v>0</v>
      </c>
      <c r="DX175" s="399">
        <v>0</v>
      </c>
      <c r="DY175" s="399">
        <v>-69.734679999999997</v>
      </c>
      <c r="DZ175" s="399">
        <v>0</v>
      </c>
      <c r="EA175" s="399">
        <v>0</v>
      </c>
      <c r="EB175" s="399">
        <v>0</v>
      </c>
      <c r="EC175" s="399">
        <v>-67.224963583506124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221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175</v>
      </c>
      <c r="B176" s="399" t="s">
        <v>956</v>
      </c>
      <c r="C176" s="399" t="s">
        <v>2335</v>
      </c>
      <c r="D176" s="399" t="s">
        <v>1821</v>
      </c>
      <c r="E176" s="399" t="s">
        <v>889</v>
      </c>
      <c r="F176" s="399" t="s">
        <v>889</v>
      </c>
      <c r="G176" s="399" t="s">
        <v>1239</v>
      </c>
      <c r="H176" s="399" t="s">
        <v>1239</v>
      </c>
      <c r="I176" s="399" t="s">
        <v>2323</v>
      </c>
      <c r="J176" s="399" t="s">
        <v>2326</v>
      </c>
      <c r="K176" s="786">
        <v>44562</v>
      </c>
      <c r="L176" s="399">
        <v>0</v>
      </c>
      <c r="M176" s="399">
        <v>0</v>
      </c>
      <c r="N176" s="399">
        <v>1.395</v>
      </c>
      <c r="O176" s="399">
        <v>1.395</v>
      </c>
      <c r="P176" s="399">
        <v>1.395</v>
      </c>
      <c r="Q176" s="399">
        <v>1.395</v>
      </c>
      <c r="R176" s="399"/>
      <c r="S176" s="399">
        <v>495.6</v>
      </c>
      <c r="T176" s="399">
        <v>185.74</v>
      </c>
      <c r="U176" s="399"/>
      <c r="V176" s="399">
        <v>950.46930000000009</v>
      </c>
      <c r="W176" s="399">
        <v>950.46930000000009</v>
      </c>
      <c r="X176" s="399">
        <v>659.33279999999991</v>
      </c>
      <c r="Y176" s="399">
        <v>0</v>
      </c>
      <c r="Z176" s="399">
        <v>86.971506692913721</v>
      </c>
      <c r="AA176" s="399">
        <v>0</v>
      </c>
      <c r="AB176" s="399">
        <v>0</v>
      </c>
      <c r="AC176" s="399">
        <v>0</v>
      </c>
      <c r="AD176" s="399">
        <v>98.313618674070298</v>
      </c>
      <c r="AE176" s="399">
        <v>442.38984419555271</v>
      </c>
      <c r="AF176" s="399">
        <v>259.1132816741615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13.441095931964268</v>
      </c>
      <c r="AM176" s="399"/>
      <c r="AN176" s="399">
        <v>3.3073599508327018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46.942446182760925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306.05572785692243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661.69599999999991</v>
      </c>
      <c r="CJ176" s="399">
        <v>-288.80330000000015</v>
      </c>
      <c r="CK176" s="399"/>
      <c r="CL176" s="399"/>
      <c r="CM176" s="399"/>
      <c r="CN176" s="399"/>
      <c r="CO176" s="399">
        <v>-291.13650000000007</v>
      </c>
      <c r="CP176" s="399">
        <v>0</v>
      </c>
      <c r="CQ176" s="399">
        <v>31</v>
      </c>
      <c r="CR176" s="399">
        <v>-15.321869559494019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-9.0504189377089972</v>
      </c>
      <c r="DA176" s="399">
        <v>0</v>
      </c>
      <c r="DB176" s="399">
        <v>0</v>
      </c>
      <c r="DC176" s="399">
        <v>0</v>
      </c>
      <c r="DD176" s="399">
        <v>0</v>
      </c>
      <c r="DE176" s="399">
        <v>0</v>
      </c>
      <c r="DF176" s="399">
        <v>0</v>
      </c>
      <c r="DG176" s="399">
        <v>0</v>
      </c>
      <c r="DH176" s="399">
        <v>0</v>
      </c>
      <c r="DI176" s="399">
        <v>-5.3790733348363631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-0.72060934631887896</v>
      </c>
      <c r="DP176" s="399">
        <v>-0.17176794062976386</v>
      </c>
      <c r="DQ176" s="399">
        <v>0</v>
      </c>
      <c r="DR176" s="399">
        <v>0</v>
      </c>
      <c r="DS176" s="399"/>
      <c r="DT176" s="399"/>
      <c r="DU176" s="399"/>
      <c r="DV176" s="399">
        <v>442.38984419555271</v>
      </c>
      <c r="DW176" s="399">
        <v>0</v>
      </c>
      <c r="DX176" s="399">
        <v>0</v>
      </c>
      <c r="DY176" s="399">
        <v>-291.13650000000013</v>
      </c>
      <c r="DZ176" s="399">
        <v>0</v>
      </c>
      <c r="EA176" s="399">
        <v>0</v>
      </c>
      <c r="EB176" s="399">
        <v>0</v>
      </c>
      <c r="EC176" s="399">
        <v>-275.81985604943679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221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176</v>
      </c>
      <c r="B177" s="399" t="s">
        <v>956</v>
      </c>
      <c r="C177" s="399" t="s">
        <v>2335</v>
      </c>
      <c r="D177" s="399" t="s">
        <v>1821</v>
      </c>
      <c r="E177" s="399" t="s">
        <v>889</v>
      </c>
      <c r="F177" s="399" t="s">
        <v>889</v>
      </c>
      <c r="G177" s="399" t="s">
        <v>1239</v>
      </c>
      <c r="H177" s="399" t="s">
        <v>1239</v>
      </c>
      <c r="I177" s="399" t="s">
        <v>1239</v>
      </c>
      <c r="J177" s="399" t="s">
        <v>2326</v>
      </c>
      <c r="K177" s="786">
        <v>44562</v>
      </c>
      <c r="L177" s="399">
        <v>0</v>
      </c>
      <c r="M177" s="399">
        <v>0</v>
      </c>
      <c r="N177" s="399">
        <v>0</v>
      </c>
      <c r="O177" s="399">
        <v>0</v>
      </c>
      <c r="P177" s="399">
        <v>0</v>
      </c>
      <c r="Q177" s="399">
        <v>0</v>
      </c>
      <c r="R177" s="399"/>
      <c r="S177" s="399"/>
      <c r="T177" s="399"/>
      <c r="U177" s="399"/>
      <c r="V177" s="399"/>
      <c r="W177" s="399"/>
      <c r="X177" s="399"/>
      <c r="Y177" s="399"/>
      <c r="Z177" s="399"/>
      <c r="AA177" s="399">
        <v>0</v>
      </c>
      <c r="AB177" s="399"/>
      <c r="AC177" s="399"/>
      <c r="AD177" s="399"/>
      <c r="AE177" s="399"/>
      <c r="AF177" s="399"/>
      <c r="AG177" s="399"/>
      <c r="AH177" s="399"/>
      <c r="AI177" s="399"/>
      <c r="AJ177" s="399"/>
      <c r="AK177" s="399"/>
      <c r="AL177" s="399"/>
      <c r="AM177" s="399"/>
      <c r="AN177" s="399"/>
      <c r="AO177" s="399"/>
      <c r="AP177" s="399"/>
      <c r="AQ177" s="399"/>
      <c r="AR177" s="399"/>
      <c r="AS177" s="399"/>
      <c r="AT177" s="399"/>
      <c r="AU177" s="399"/>
      <c r="AV177" s="399"/>
      <c r="AW177" s="399"/>
      <c r="AX177" s="399"/>
      <c r="AY177" s="399"/>
      <c r="AZ177" s="399">
        <v>0</v>
      </c>
      <c r="BA177" s="399"/>
      <c r="BB177" s="399"/>
      <c r="BC177" s="399"/>
      <c r="BD177" s="399"/>
      <c r="BE177" s="399"/>
      <c r="BF177" s="399"/>
      <c r="BG177" s="399"/>
      <c r="BH177" s="399"/>
      <c r="BI177" s="399">
        <v>0.64</v>
      </c>
      <c r="BJ177" s="399">
        <v>3.08</v>
      </c>
      <c r="BK177" s="399">
        <v>334.4</v>
      </c>
      <c r="BL177" s="399">
        <v>2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/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/>
      <c r="CJ177" s="399">
        <v>-0.03</v>
      </c>
      <c r="CK177" s="399"/>
      <c r="CL177" s="399"/>
      <c r="CM177" s="399"/>
      <c r="CN177" s="399"/>
      <c r="CO177" s="399">
        <v>0</v>
      </c>
      <c r="CP177" s="399">
        <v>0</v>
      </c>
      <c r="CQ177" s="399">
        <v>31</v>
      </c>
      <c r="CR177" s="399"/>
      <c r="CS177" s="399"/>
      <c r="CT177" s="399"/>
      <c r="CU177" s="399"/>
      <c r="CV177" s="399"/>
      <c r="CW177" s="399"/>
      <c r="CX177" s="399"/>
      <c r="CY177" s="399"/>
      <c r="CZ177" s="399"/>
      <c r="DA177" s="399"/>
      <c r="DB177" s="399"/>
      <c r="DC177" s="399"/>
      <c r="DD177" s="399"/>
      <c r="DE177" s="399"/>
      <c r="DF177" s="399"/>
      <c r="DG177" s="399"/>
      <c r="DH177" s="399"/>
      <c r="DI177" s="399"/>
      <c r="DJ177" s="399"/>
      <c r="DK177" s="399">
        <v>0</v>
      </c>
      <c r="DL177" s="399"/>
      <c r="DM177" s="399"/>
      <c r="DN177" s="399"/>
      <c r="DO177" s="399"/>
      <c r="DP177" s="399"/>
      <c r="DQ177" s="399"/>
      <c r="DR177" s="399"/>
      <c r="DS177" s="399"/>
      <c r="DT177" s="399"/>
      <c r="DU177" s="399"/>
      <c r="DV177" s="399"/>
      <c r="DW177" s="399"/>
      <c r="DX177" s="399"/>
      <c r="DY177" s="399"/>
      <c r="DZ177" s="399"/>
      <c r="EA177" s="399"/>
      <c r="EB177" s="399"/>
      <c r="EC177" s="399"/>
      <c r="ED177" s="399"/>
      <c r="EE177" s="399"/>
      <c r="EF177" s="399"/>
      <c r="EG177" s="399"/>
      <c r="EH177" s="399"/>
      <c r="EI177" s="399"/>
      <c r="EJ177" s="399"/>
      <c r="EK177" s="399"/>
      <c r="EL177" s="399"/>
      <c r="EM177" s="399"/>
      <c r="EN177" s="399"/>
      <c r="EO177" s="399"/>
      <c r="EP177" s="399"/>
      <c r="EQ177" s="399"/>
      <c r="ER177" s="399"/>
      <c r="ES177" s="399"/>
      <c r="ET177" s="399"/>
      <c r="EU177" s="399"/>
      <c r="EV177" s="399">
        <v>221</v>
      </c>
      <c r="EW177" s="399"/>
      <c r="EX177" s="399"/>
      <c r="EY177" s="399"/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177</v>
      </c>
      <c r="B178" s="399" t="s">
        <v>956</v>
      </c>
      <c r="C178" s="399" t="s">
        <v>2335</v>
      </c>
      <c r="D178" s="399" t="s">
        <v>1821</v>
      </c>
      <c r="E178" s="399" t="s">
        <v>889</v>
      </c>
      <c r="F178" s="399" t="s">
        <v>889</v>
      </c>
      <c r="G178" s="399" t="s">
        <v>1239</v>
      </c>
      <c r="H178" s="399" t="s">
        <v>1239</v>
      </c>
      <c r="I178" s="399" t="s">
        <v>2336</v>
      </c>
      <c r="J178" s="399" t="s">
        <v>2326</v>
      </c>
      <c r="K178" s="786">
        <v>44562</v>
      </c>
      <c r="L178" s="399">
        <v>0</v>
      </c>
      <c r="M178" s="399">
        <v>0</v>
      </c>
      <c r="N178" s="399">
        <v>5.0999999999999997E-2</v>
      </c>
      <c r="O178" s="399">
        <v>5.0999999999999997E-2</v>
      </c>
      <c r="P178" s="399">
        <v>5.0999999999999997E-2</v>
      </c>
      <c r="Q178" s="399">
        <v>5.0999999999999997E-2</v>
      </c>
      <c r="R178" s="399"/>
      <c r="S178" s="399">
        <v>1270.6099999999999</v>
      </c>
      <c r="T178" s="399">
        <v>185.74</v>
      </c>
      <c r="U178" s="399"/>
      <c r="V178" s="399">
        <v>74.273849999999996</v>
      </c>
      <c r="W178" s="399">
        <v>74.273849999999996</v>
      </c>
      <c r="X178" s="399">
        <v>42.801749999999998</v>
      </c>
      <c r="Y178" s="399">
        <v>0</v>
      </c>
      <c r="Z178" s="399">
        <v>3.1796034704936198</v>
      </c>
      <c r="AA178" s="399">
        <v>0</v>
      </c>
      <c r="AB178" s="399">
        <v>0</v>
      </c>
      <c r="AC178" s="399">
        <v>0</v>
      </c>
      <c r="AD178" s="399">
        <v>10.772932524884618</v>
      </c>
      <c r="AE178" s="399">
        <v>48.520239531865649</v>
      </c>
      <c r="AF178" s="399">
        <v>9.4729586848618172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0.49139490503955385</v>
      </c>
      <c r="AM178" s="399"/>
      <c r="AN178" s="399">
        <v>0.12091423476162565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1.7161754518428725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11.189134136704689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41.962499999999999</v>
      </c>
      <c r="CJ178" s="399">
        <v>-32.341350000000013</v>
      </c>
      <c r="CK178" s="399"/>
      <c r="CL178" s="399"/>
      <c r="CM178" s="399"/>
      <c r="CN178" s="399"/>
      <c r="CO178" s="399">
        <v>-31.472099999999994</v>
      </c>
      <c r="CP178" s="399">
        <v>0</v>
      </c>
      <c r="CQ178" s="399">
        <v>31</v>
      </c>
      <c r="CR178" s="399">
        <v>-1.2209985411620323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-0.99171970122580966</v>
      </c>
      <c r="DA178" s="399">
        <v>0</v>
      </c>
      <c r="DB178" s="399">
        <v>0</v>
      </c>
      <c r="DC178" s="399">
        <v>0</v>
      </c>
      <c r="DD178" s="399">
        <v>0</v>
      </c>
      <c r="DE178" s="399">
        <v>0</v>
      </c>
      <c r="DF178" s="399">
        <v>0</v>
      </c>
      <c r="DG178" s="399">
        <v>0</v>
      </c>
      <c r="DH178" s="399">
        <v>0</v>
      </c>
      <c r="DI178" s="399">
        <v>-0.19665429396175949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-2.6344857822410583E-2</v>
      </c>
      <c r="DP178" s="399">
        <v>-6.2796881520558734E-3</v>
      </c>
      <c r="DQ178" s="399">
        <v>0</v>
      </c>
      <c r="DR178" s="399">
        <v>0</v>
      </c>
      <c r="DS178" s="399"/>
      <c r="DT178" s="399"/>
      <c r="DU178" s="399"/>
      <c r="DV178" s="399">
        <v>48.520239531865649</v>
      </c>
      <c r="DW178" s="399">
        <v>0</v>
      </c>
      <c r="DX178" s="399">
        <v>0</v>
      </c>
      <c r="DY178" s="399">
        <v>-31.472099999999998</v>
      </c>
      <c r="DZ178" s="399">
        <v>0</v>
      </c>
      <c r="EA178" s="399">
        <v>0</v>
      </c>
      <c r="EB178" s="399">
        <v>0</v>
      </c>
      <c r="EC178" s="399">
        <v>-30.251249342079472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221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178</v>
      </c>
      <c r="B179" s="399" t="s">
        <v>956</v>
      </c>
      <c r="C179" s="399" t="s">
        <v>2328</v>
      </c>
      <c r="D179" s="399" t="s">
        <v>1824</v>
      </c>
      <c r="E179" s="399" t="s">
        <v>890</v>
      </c>
      <c r="F179" s="399" t="s">
        <v>1239</v>
      </c>
      <c r="G179" s="399" t="s">
        <v>1239</v>
      </c>
      <c r="H179" s="399" t="s">
        <v>1239</v>
      </c>
      <c r="I179" s="399" t="s">
        <v>1239</v>
      </c>
      <c r="J179" s="399" t="s">
        <v>2326</v>
      </c>
      <c r="K179" s="786">
        <v>44562</v>
      </c>
      <c r="L179" s="399">
        <v>0</v>
      </c>
      <c r="M179" s="399">
        <v>0</v>
      </c>
      <c r="N179" s="399">
        <v>37.445999999999998</v>
      </c>
      <c r="O179" s="399">
        <v>37.445999999999998</v>
      </c>
      <c r="P179" s="399">
        <v>37.445999999999998</v>
      </c>
      <c r="Q179" s="399">
        <v>37.445999999999998</v>
      </c>
      <c r="R179" s="399"/>
      <c r="S179" s="399">
        <v>825.6</v>
      </c>
      <c r="T179" s="399">
        <v>185.74</v>
      </c>
      <c r="U179" s="399"/>
      <c r="V179" s="399">
        <v>37870.637640000001</v>
      </c>
      <c r="W179" s="399">
        <v>37870.637640000001</v>
      </c>
      <c r="X179" s="399">
        <v>23542.300199999998</v>
      </c>
      <c r="Y179" s="399">
        <v>0</v>
      </c>
      <c r="Z179" s="399">
        <v>2334.5770893353742</v>
      </c>
      <c r="AA179" s="399">
        <v>0</v>
      </c>
      <c r="AB179" s="399">
        <v>0</v>
      </c>
      <c r="AC179" s="399">
        <v>0</v>
      </c>
      <c r="AD179" s="399">
        <v>4880.4010722810872</v>
      </c>
      <c r="AE179" s="399">
        <v>21990.904280137143</v>
      </c>
      <c r="AF179" s="399">
        <v>6955.3806061438354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360.79948262963006</v>
      </c>
      <c r="AM179" s="399"/>
      <c r="AN179" s="399">
        <v>88.779498723212441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1260.0765876413373</v>
      </c>
      <c r="BH179" s="399">
        <v>0</v>
      </c>
      <c r="BI179" s="399">
        <v>15.46</v>
      </c>
      <c r="BJ179" s="399">
        <v>74.05</v>
      </c>
      <c r="BK179" s="399">
        <v>9649.31</v>
      </c>
      <c r="BL179" s="399">
        <v>47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8215.4571937851724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23544.814999999999</v>
      </c>
      <c r="CJ179" s="399">
        <v>-14325.852640000001</v>
      </c>
      <c r="CK179" s="399"/>
      <c r="CL179" s="399"/>
      <c r="CM179" s="399"/>
      <c r="CN179" s="399"/>
      <c r="CO179" s="399">
        <v>-14328.337440000001</v>
      </c>
      <c r="CP179" s="399">
        <v>0</v>
      </c>
      <c r="CQ179" s="399">
        <v>31</v>
      </c>
      <c r="CR179" s="399">
        <v>-617.61781874284679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-449.27320226731626</v>
      </c>
      <c r="DA179" s="399">
        <v>0</v>
      </c>
      <c r="DB179" s="399">
        <v>0</v>
      </c>
      <c r="DC179" s="399">
        <v>0</v>
      </c>
      <c r="DD179" s="399">
        <v>0</v>
      </c>
      <c r="DE179" s="399">
        <v>0</v>
      </c>
      <c r="DF179" s="399">
        <v>0</v>
      </c>
      <c r="DG179" s="399">
        <v>0</v>
      </c>
      <c r="DH179" s="399">
        <v>0</v>
      </c>
      <c r="DI179" s="399">
        <v>-144.39052336651093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-19.34332443172525</v>
      </c>
      <c r="DP179" s="399">
        <v>-4.6107686772918584</v>
      </c>
      <c r="DQ179" s="399">
        <v>0</v>
      </c>
      <c r="DR179" s="399">
        <v>0</v>
      </c>
      <c r="DS179" s="399"/>
      <c r="DT179" s="399"/>
      <c r="DU179" s="399"/>
      <c r="DV179" s="399">
        <v>21990.904280137143</v>
      </c>
      <c r="DW179" s="399">
        <v>0</v>
      </c>
      <c r="DX179" s="399">
        <v>0</v>
      </c>
      <c r="DY179" s="399">
        <v>-14328.337440000003</v>
      </c>
      <c r="DZ179" s="399">
        <v>0</v>
      </c>
      <c r="EA179" s="399">
        <v>0</v>
      </c>
      <c r="EB179" s="399">
        <v>0</v>
      </c>
      <c r="EC179" s="399">
        <v>-13710.821196571547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221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179</v>
      </c>
      <c r="B180" s="399" t="s">
        <v>2330</v>
      </c>
      <c r="C180" s="399" t="s">
        <v>2328</v>
      </c>
      <c r="D180" s="399" t="s">
        <v>1824</v>
      </c>
      <c r="E180" s="399" t="s">
        <v>890</v>
      </c>
      <c r="F180" s="399" t="s">
        <v>1239</v>
      </c>
      <c r="G180" s="399" t="s">
        <v>1239</v>
      </c>
      <c r="H180" s="399" t="s">
        <v>1239</v>
      </c>
      <c r="I180" s="399" t="s">
        <v>1239</v>
      </c>
      <c r="J180" s="399" t="s">
        <v>2326</v>
      </c>
      <c r="K180" s="786">
        <v>44562</v>
      </c>
      <c r="L180" s="399">
        <v>0</v>
      </c>
      <c r="M180" s="399">
        <v>0</v>
      </c>
      <c r="N180" s="399">
        <v>0.3</v>
      </c>
      <c r="O180" s="399">
        <v>0.3</v>
      </c>
      <c r="P180" s="399">
        <v>0.3</v>
      </c>
      <c r="Q180" s="399">
        <v>0.3</v>
      </c>
      <c r="R180" s="399"/>
      <c r="S180" s="399">
        <v>825.6</v>
      </c>
      <c r="T180" s="399">
        <v>185.74</v>
      </c>
      <c r="U180" s="399"/>
      <c r="V180" s="399">
        <v>303.40199999999999</v>
      </c>
      <c r="W180" s="399">
        <v>303.40199999999999</v>
      </c>
      <c r="X180" s="399">
        <v>188.60999999999999</v>
      </c>
      <c r="Y180" s="399">
        <v>0</v>
      </c>
      <c r="Z180" s="399">
        <v>18.703549826433058</v>
      </c>
      <c r="AA180" s="399">
        <v>0</v>
      </c>
      <c r="AB180" s="399">
        <v>0</v>
      </c>
      <c r="AC180" s="399">
        <v>0</v>
      </c>
      <c r="AD180" s="399">
        <v>39.099511875349201</v>
      </c>
      <c r="AE180" s="399">
        <v>176.18093478719069</v>
      </c>
      <c r="AF180" s="399">
        <v>55.723286381540099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2.8905582649385519</v>
      </c>
      <c r="AM180" s="399"/>
      <c r="AN180" s="399">
        <v>0.71126020448015093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10.09514971672278</v>
      </c>
      <c r="BH180" s="399">
        <v>0</v>
      </c>
      <c r="BI180" s="399">
        <v>0.02</v>
      </c>
      <c r="BJ180" s="399">
        <v>0.18</v>
      </c>
      <c r="BK180" s="399">
        <v>1157.42</v>
      </c>
      <c r="BL180" s="399">
        <v>3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65.818436098262879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188.60999999999999</v>
      </c>
      <c r="CJ180" s="399">
        <v>-114.82199999999997</v>
      </c>
      <c r="CK180" s="399"/>
      <c r="CL180" s="399"/>
      <c r="CM180" s="399"/>
      <c r="CN180" s="399"/>
      <c r="CO180" s="399">
        <v>-114.79200000000002</v>
      </c>
      <c r="CP180" s="399">
        <v>0</v>
      </c>
      <c r="CQ180" s="399">
        <v>31</v>
      </c>
      <c r="CR180" s="399">
        <v>-4.948067767528002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-3.5993687090795987</v>
      </c>
      <c r="DA180" s="399">
        <v>0</v>
      </c>
      <c r="DB180" s="399">
        <v>0</v>
      </c>
      <c r="DC180" s="399">
        <v>0</v>
      </c>
      <c r="DD180" s="399">
        <v>0</v>
      </c>
      <c r="DE180" s="399">
        <v>0</v>
      </c>
      <c r="DF180" s="399">
        <v>0</v>
      </c>
      <c r="DG180" s="399">
        <v>0</v>
      </c>
      <c r="DH180" s="399">
        <v>0</v>
      </c>
      <c r="DI180" s="399">
        <v>-1.1567899644809394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-0.15496975189653295</v>
      </c>
      <c r="DP180" s="399">
        <v>-3.6939342070916981E-2</v>
      </c>
      <c r="DQ180" s="399">
        <v>0</v>
      </c>
      <c r="DR180" s="399">
        <v>0</v>
      </c>
      <c r="DS180" s="399"/>
      <c r="DT180" s="399"/>
      <c r="DU180" s="399"/>
      <c r="DV180" s="399">
        <v>176.18093478719069</v>
      </c>
      <c r="DW180" s="399">
        <v>0</v>
      </c>
      <c r="DX180" s="399">
        <v>0</v>
      </c>
      <c r="DY180" s="399">
        <v>-114.79200000000003</v>
      </c>
      <c r="DZ180" s="399">
        <v>0</v>
      </c>
      <c r="EA180" s="399">
        <v>0</v>
      </c>
      <c r="EB180" s="399">
        <v>0</v>
      </c>
      <c r="EC180" s="399">
        <v>-109.84474600682219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221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180</v>
      </c>
      <c r="B181" s="399" t="s">
        <v>956</v>
      </c>
      <c r="C181" s="399" t="s">
        <v>2325</v>
      </c>
      <c r="D181" s="399" t="s">
        <v>533</v>
      </c>
      <c r="E181" s="399" t="s">
        <v>890</v>
      </c>
      <c r="F181" s="399" t="s">
        <v>1239</v>
      </c>
      <c r="G181" s="399" t="s">
        <v>1239</v>
      </c>
      <c r="H181" s="399" t="s">
        <v>1239</v>
      </c>
      <c r="I181" s="399" t="s">
        <v>893</v>
      </c>
      <c r="J181" s="399" t="s">
        <v>2326</v>
      </c>
      <c r="K181" s="786">
        <v>44562</v>
      </c>
      <c r="L181" s="399">
        <v>0</v>
      </c>
      <c r="M181" s="399">
        <v>0</v>
      </c>
      <c r="N181" s="399">
        <v>1.9650000000000001</v>
      </c>
      <c r="O181" s="399">
        <v>1.9650000000000001</v>
      </c>
      <c r="P181" s="399">
        <v>1.9650000000000001</v>
      </c>
      <c r="Q181" s="399">
        <v>1.9650000000000001</v>
      </c>
      <c r="R181" s="399"/>
      <c r="S181" s="399">
        <v>4433.21</v>
      </c>
      <c r="T181" s="399">
        <v>185.74</v>
      </c>
      <c r="U181" s="399"/>
      <c r="V181" s="399">
        <v>9076.23675</v>
      </c>
      <c r="W181" s="399">
        <v>9076.23675</v>
      </c>
      <c r="X181" s="399">
        <v>4736.8683000000001</v>
      </c>
      <c r="Y181" s="399">
        <v>0</v>
      </c>
      <c r="Z181" s="399">
        <v>106.58217868592865</v>
      </c>
      <c r="AA181" s="399">
        <v>0</v>
      </c>
      <c r="AB181" s="399">
        <v>0</v>
      </c>
      <c r="AC181" s="399">
        <v>0</v>
      </c>
      <c r="AD181" s="399">
        <v>1889.5891457332586</v>
      </c>
      <c r="AE181" s="399">
        <v>6668.5881884000219</v>
      </c>
      <c r="AF181" s="399">
        <v>364.98752579908768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18.933156635347519</v>
      </c>
      <c r="AM181" s="399"/>
      <c r="AN181" s="399">
        <v>2.0355069973047533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25.529621512028747</v>
      </c>
      <c r="BH181" s="399">
        <v>0</v>
      </c>
      <c r="BI181" s="399">
        <v>0</v>
      </c>
      <c r="BJ181" s="399">
        <v>0</v>
      </c>
      <c r="BK181" s="399">
        <v>0</v>
      </c>
      <c r="BL181" s="399">
        <v>0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390.51714731111645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4748.9214000000002</v>
      </c>
      <c r="CJ181" s="399">
        <v>-4327.3453500000005</v>
      </c>
      <c r="CK181" s="399"/>
      <c r="CL181" s="399"/>
      <c r="CM181" s="399"/>
      <c r="CN181" s="399"/>
      <c r="CO181" s="399">
        <v>-4339.3684499999999</v>
      </c>
      <c r="CP181" s="399">
        <v>0</v>
      </c>
      <c r="CQ181" s="399">
        <v>31</v>
      </c>
      <c r="CR181" s="399">
        <v>-181.66191405244126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-173.94918038495553</v>
      </c>
      <c r="DA181" s="399">
        <v>0</v>
      </c>
      <c r="DB181" s="399">
        <v>0</v>
      </c>
      <c r="DC181" s="399">
        <v>0</v>
      </c>
      <c r="DD181" s="399">
        <v>0</v>
      </c>
      <c r="DE181" s="399">
        <v>0</v>
      </c>
      <c r="DF181" s="399">
        <v>0</v>
      </c>
      <c r="DG181" s="399">
        <v>0</v>
      </c>
      <c r="DH181" s="399">
        <v>0</v>
      </c>
      <c r="DI181" s="399">
        <v>-6.591967612594587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-1.0150518749222925</v>
      </c>
      <c r="DP181" s="399">
        <v>-0.10571417996897225</v>
      </c>
      <c r="DQ181" s="399">
        <v>0</v>
      </c>
      <c r="DR181" s="399">
        <v>0</v>
      </c>
      <c r="DS181" s="399"/>
      <c r="DT181" s="399"/>
      <c r="DU181" s="399"/>
      <c r="DV181" s="399">
        <v>6668.5881884000219</v>
      </c>
      <c r="DW181" s="399">
        <v>0</v>
      </c>
      <c r="DX181" s="399">
        <v>0</v>
      </c>
      <c r="DY181" s="399">
        <v>-4339.368449999999</v>
      </c>
      <c r="DZ181" s="399">
        <v>0</v>
      </c>
      <c r="EA181" s="399">
        <v>0</v>
      </c>
      <c r="EB181" s="399">
        <v>0</v>
      </c>
      <c r="EC181" s="399">
        <v>-4157.7108026114929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221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181</v>
      </c>
      <c r="B182" s="399" t="s">
        <v>956</v>
      </c>
      <c r="C182" s="399" t="s">
        <v>2325</v>
      </c>
      <c r="D182" s="399" t="s">
        <v>533</v>
      </c>
      <c r="E182" s="399" t="s">
        <v>890</v>
      </c>
      <c r="F182" s="399" t="s">
        <v>1239</v>
      </c>
      <c r="G182" s="399" t="s">
        <v>1239</v>
      </c>
      <c r="H182" s="399" t="s">
        <v>1239</v>
      </c>
      <c r="I182" s="399" t="s">
        <v>2323</v>
      </c>
      <c r="J182" s="399" t="s">
        <v>2326</v>
      </c>
      <c r="K182" s="786">
        <v>44562</v>
      </c>
      <c r="L182" s="399">
        <v>0</v>
      </c>
      <c r="M182" s="399">
        <v>0</v>
      </c>
      <c r="N182" s="399">
        <v>54.472999999999999</v>
      </c>
      <c r="O182" s="399">
        <v>54.472999999999999</v>
      </c>
      <c r="P182" s="399">
        <v>54.472999999999999</v>
      </c>
      <c r="Q182" s="399">
        <v>54.472999999999999</v>
      </c>
      <c r="R182" s="399"/>
      <c r="S182" s="399">
        <v>77.900000000000006</v>
      </c>
      <c r="T182" s="399">
        <v>185.74</v>
      </c>
      <c r="U182" s="399"/>
      <c r="V182" s="399">
        <v>14361.26172</v>
      </c>
      <c r="W182" s="399">
        <v>14361.26172</v>
      </c>
      <c r="X182" s="399">
        <v>14147.727559999999</v>
      </c>
      <c r="Y182" s="399">
        <v>0</v>
      </c>
      <c r="Z182" s="399">
        <v>2954.6315621163312</v>
      </c>
      <c r="AA182" s="399">
        <v>0</v>
      </c>
      <c r="AB182" s="399">
        <v>0</v>
      </c>
      <c r="AC182" s="399">
        <v>0</v>
      </c>
      <c r="AD182" s="399">
        <v>0</v>
      </c>
      <c r="AE182" s="399">
        <v>0</v>
      </c>
      <c r="AF182" s="399">
        <v>10118.048596872113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524.85793455332589</v>
      </c>
      <c r="AM182" s="399"/>
      <c r="AN182" s="399">
        <v>56.427568785843171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707.72268326958874</v>
      </c>
      <c r="BH182" s="399">
        <v>0</v>
      </c>
      <c r="BI182" s="399">
        <v>0</v>
      </c>
      <c r="BJ182" s="399">
        <v>0</v>
      </c>
      <c r="BK182" s="399">
        <v>0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10825.771280141702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14146.948399999999</v>
      </c>
      <c r="CJ182" s="399">
        <v>-214.34332000000177</v>
      </c>
      <c r="CK182" s="399"/>
      <c r="CL182" s="399"/>
      <c r="CM182" s="399"/>
      <c r="CN182" s="399"/>
      <c r="CO182" s="399">
        <v>-213.5341600000001</v>
      </c>
      <c r="CP182" s="399">
        <v>0</v>
      </c>
      <c r="CQ182" s="399">
        <v>31</v>
      </c>
      <c r="CR182" s="399">
        <v>-213.80953743967257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0</v>
      </c>
      <c r="DA182" s="399">
        <v>0</v>
      </c>
      <c r="DB182" s="399">
        <v>0</v>
      </c>
      <c r="DC182" s="399">
        <v>0</v>
      </c>
      <c r="DD182" s="399">
        <v>0</v>
      </c>
      <c r="DE182" s="399">
        <v>0</v>
      </c>
      <c r="DF182" s="399">
        <v>0</v>
      </c>
      <c r="DG182" s="399">
        <v>0</v>
      </c>
      <c r="DH182" s="399">
        <v>0</v>
      </c>
      <c r="DI182" s="399">
        <v>-182.74007723199202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-28.13889098353286</v>
      </c>
      <c r="DP182" s="399">
        <v>-2.9305692241474972</v>
      </c>
      <c r="DQ182" s="399">
        <v>0</v>
      </c>
      <c r="DR182" s="399">
        <v>0</v>
      </c>
      <c r="DS182" s="399"/>
      <c r="DT182" s="399"/>
      <c r="DU182" s="399"/>
      <c r="DV182" s="399">
        <v>0</v>
      </c>
      <c r="DW182" s="399">
        <v>0</v>
      </c>
      <c r="DX182" s="399">
        <v>0</v>
      </c>
      <c r="DY182" s="399">
        <v>-213.53416000000016</v>
      </c>
      <c r="DZ182" s="399">
        <v>0</v>
      </c>
      <c r="EA182" s="399">
        <v>0</v>
      </c>
      <c r="EB182" s="399">
        <v>0</v>
      </c>
      <c r="EC182" s="399">
        <v>0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221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182</v>
      </c>
      <c r="B183" s="399" t="s">
        <v>956</v>
      </c>
      <c r="C183" s="399" t="s">
        <v>2325</v>
      </c>
      <c r="D183" s="399" t="s">
        <v>533</v>
      </c>
      <c r="E183" s="399" t="s">
        <v>890</v>
      </c>
      <c r="F183" s="399" t="s">
        <v>1239</v>
      </c>
      <c r="G183" s="399" t="s">
        <v>1239</v>
      </c>
      <c r="H183" s="399" t="s">
        <v>1239</v>
      </c>
      <c r="I183" s="399" t="s">
        <v>1239</v>
      </c>
      <c r="J183" s="399" t="s">
        <v>2326</v>
      </c>
      <c r="K183" s="786">
        <v>44562</v>
      </c>
      <c r="L183" s="399">
        <v>349</v>
      </c>
      <c r="M183" s="399">
        <v>349</v>
      </c>
      <c r="N183" s="399">
        <v>0</v>
      </c>
      <c r="O183" s="399">
        <v>0</v>
      </c>
      <c r="P183" s="399">
        <v>0</v>
      </c>
      <c r="Q183" s="399">
        <v>0</v>
      </c>
      <c r="R183" s="399">
        <v>55.59</v>
      </c>
      <c r="S183" s="399"/>
      <c r="T183" s="399"/>
      <c r="U183" s="399">
        <v>19400.91</v>
      </c>
      <c r="V183" s="399"/>
      <c r="W183" s="399">
        <v>19400.91</v>
      </c>
      <c r="X183" s="399">
        <v>10298.99</v>
      </c>
      <c r="Y183" s="399">
        <v>0</v>
      </c>
      <c r="Z183" s="399">
        <v>0</v>
      </c>
      <c r="AA183" s="399">
        <v>0</v>
      </c>
      <c r="AB183" s="399">
        <v>0</v>
      </c>
      <c r="AC183" s="399">
        <v>0</v>
      </c>
      <c r="AD183" s="399">
        <v>5637.9801188937536</v>
      </c>
      <c r="AE183" s="399">
        <v>13761.322374660731</v>
      </c>
      <c r="AF183" s="399"/>
      <c r="AG183" s="399"/>
      <c r="AH183" s="399"/>
      <c r="AI183" s="399">
        <v>0</v>
      </c>
      <c r="AJ183" s="399">
        <v>0</v>
      </c>
      <c r="AK183" s="399">
        <v>0</v>
      </c>
      <c r="AL183" s="399">
        <v>0</v>
      </c>
      <c r="AM183" s="399"/>
      <c r="AN183" s="399">
        <v>0</v>
      </c>
      <c r="AO183" s="399">
        <v>0</v>
      </c>
      <c r="AP183" s="399">
        <v>0</v>
      </c>
      <c r="AQ183" s="399">
        <v>0</v>
      </c>
      <c r="AR183" s="399">
        <v>0</v>
      </c>
      <c r="AS183" s="399"/>
      <c r="AT183" s="399"/>
      <c r="AU183" s="399">
        <v>0</v>
      </c>
      <c r="AV183" s="399">
        <v>0</v>
      </c>
      <c r="AW183" s="399">
        <v>0</v>
      </c>
      <c r="AX183" s="399"/>
      <c r="AY183" s="399"/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/>
      <c r="BG183" s="399">
        <v>0</v>
      </c>
      <c r="BH183" s="399">
        <v>0</v>
      </c>
      <c r="BI183" s="399">
        <v>19.489999999999998</v>
      </c>
      <c r="BJ183" s="399">
        <v>89.74</v>
      </c>
      <c r="BK183" s="399">
        <v>12384.67</v>
      </c>
      <c r="BL183" s="399">
        <v>5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0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10298.99</v>
      </c>
      <c r="CJ183" s="399">
        <v>-9101.9499999999953</v>
      </c>
      <c r="CK183" s="399"/>
      <c r="CL183" s="399"/>
      <c r="CM183" s="399"/>
      <c r="CN183" s="399"/>
      <c r="CO183" s="399">
        <v>-9101.92</v>
      </c>
      <c r="CP183" s="399">
        <v>0</v>
      </c>
      <c r="CQ183" s="399">
        <v>31</v>
      </c>
      <c r="CR183" s="399">
        <v>-519.01336484852709</v>
      </c>
      <c r="CS183" s="399">
        <v>0</v>
      </c>
      <c r="CT183" s="399">
        <v>0</v>
      </c>
      <c r="CU183" s="399">
        <v>0</v>
      </c>
      <c r="CV183" s="399">
        <v>0</v>
      </c>
      <c r="CW183" s="399"/>
      <c r="CX183" s="399"/>
      <c r="CY183" s="399"/>
      <c r="CZ183" s="399">
        <v>-519.01336484852709</v>
      </c>
      <c r="DA183" s="399">
        <v>0</v>
      </c>
      <c r="DB183" s="399">
        <v>0</v>
      </c>
      <c r="DC183" s="399"/>
      <c r="DD183" s="399"/>
      <c r="DE183" s="399">
        <v>0</v>
      </c>
      <c r="DF183" s="399">
        <v>0</v>
      </c>
      <c r="DG183" s="399">
        <v>0</v>
      </c>
      <c r="DH183" s="399">
        <v>0</v>
      </c>
      <c r="DI183" s="399">
        <v>0</v>
      </c>
      <c r="DJ183" s="399"/>
      <c r="DK183" s="399">
        <v>0</v>
      </c>
      <c r="DL183" s="399">
        <v>0</v>
      </c>
      <c r="DM183" s="399"/>
      <c r="DN183" s="399">
        <v>0</v>
      </c>
      <c r="DO183" s="399">
        <v>0</v>
      </c>
      <c r="DP183" s="399">
        <v>0</v>
      </c>
      <c r="DQ183" s="399">
        <v>0</v>
      </c>
      <c r="DR183" s="399">
        <v>0</v>
      </c>
      <c r="DS183" s="399"/>
      <c r="DT183" s="399"/>
      <c r="DU183" s="399">
        <v>13761.322374660731</v>
      </c>
      <c r="DV183" s="399"/>
      <c r="DW183" s="399">
        <v>0</v>
      </c>
      <c r="DX183" s="399">
        <v>0</v>
      </c>
      <c r="DY183" s="399">
        <v>-9101.92</v>
      </c>
      <c r="DZ183" s="399"/>
      <c r="EA183" s="399">
        <v>0</v>
      </c>
      <c r="EB183" s="399"/>
      <c r="EC183" s="399">
        <v>-8579.866844210359</v>
      </c>
      <c r="ED183" s="399"/>
      <c r="EE183" s="399">
        <v>0</v>
      </c>
      <c r="EF183" s="399">
        <v>0</v>
      </c>
      <c r="EG183" s="399"/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/>
      <c r="EN183" s="399"/>
      <c r="EO183" s="399">
        <v>0</v>
      </c>
      <c r="EP183" s="399">
        <v>0</v>
      </c>
      <c r="EQ183" s="399"/>
      <c r="ER183" s="399">
        <v>0</v>
      </c>
      <c r="ES183" s="399"/>
      <c r="ET183" s="399">
        <v>0</v>
      </c>
      <c r="EU183" s="399"/>
      <c r="EV183" s="399">
        <v>221</v>
      </c>
      <c r="EW183" s="399"/>
      <c r="EX183" s="399"/>
      <c r="EY183" s="399"/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183</v>
      </c>
      <c r="B184" s="399" t="s">
        <v>956</v>
      </c>
      <c r="C184" s="399" t="s">
        <v>2328</v>
      </c>
      <c r="D184" s="399" t="s">
        <v>1824</v>
      </c>
      <c r="E184" s="399" t="s">
        <v>918</v>
      </c>
      <c r="F184" s="399" t="s">
        <v>1239</v>
      </c>
      <c r="G184" s="399" t="s">
        <v>1239</v>
      </c>
      <c r="H184" s="399" t="s">
        <v>1239</v>
      </c>
      <c r="I184" s="399" t="s">
        <v>1239</v>
      </c>
      <c r="J184" s="399" t="s">
        <v>2326</v>
      </c>
      <c r="K184" s="786">
        <v>44562</v>
      </c>
      <c r="L184" s="399">
        <v>0</v>
      </c>
      <c r="M184" s="399">
        <v>0</v>
      </c>
      <c r="N184" s="399">
        <v>183.55799999999999</v>
      </c>
      <c r="O184" s="399">
        <v>183.55799999999999</v>
      </c>
      <c r="P184" s="399">
        <v>183.55799999999999</v>
      </c>
      <c r="Q184" s="399">
        <v>183.55799999999999</v>
      </c>
      <c r="R184" s="399"/>
      <c r="S184" s="399">
        <v>825.6</v>
      </c>
      <c r="T184" s="399">
        <v>185.74</v>
      </c>
      <c r="U184" s="399"/>
      <c r="V184" s="399">
        <v>185639.54772</v>
      </c>
      <c r="W184" s="399">
        <v>185639.54772</v>
      </c>
      <c r="X184" s="399">
        <v>115402.91459999999</v>
      </c>
      <c r="Y184" s="399">
        <v>0</v>
      </c>
      <c r="Z184" s="399">
        <v>11443.953996801331</v>
      </c>
      <c r="AA184" s="399">
        <v>0</v>
      </c>
      <c r="AB184" s="399">
        <v>0</v>
      </c>
      <c r="AC184" s="399">
        <v>0</v>
      </c>
      <c r="AD184" s="399">
        <v>23923.427336051162</v>
      </c>
      <c r="AE184" s="399">
        <v>107798.06675889051</v>
      </c>
      <c r="AF184" s="399">
        <v>34094.850005409127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1768.6169799853026</v>
      </c>
      <c r="AM184" s="399"/>
      <c r="AN184" s="399">
        <v>435.19166871322517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6176.8183056739999</v>
      </c>
      <c r="BH184" s="399">
        <v>0</v>
      </c>
      <c r="BI184" s="399">
        <v>74.84</v>
      </c>
      <c r="BJ184" s="399">
        <v>360.67</v>
      </c>
      <c r="BK184" s="399">
        <v>46389.53</v>
      </c>
      <c r="BL184" s="399">
        <v>371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40271.668311083129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115404.17199999999</v>
      </c>
      <c r="CJ184" s="399">
        <v>-70235.405720000039</v>
      </c>
      <c r="CK184" s="399"/>
      <c r="CL184" s="399"/>
      <c r="CM184" s="399"/>
      <c r="CN184" s="399"/>
      <c r="CO184" s="399">
        <v>-70236.633119999999</v>
      </c>
      <c r="CP184" s="399">
        <v>0</v>
      </c>
      <c r="CQ184" s="399">
        <v>31</v>
      </c>
      <c r="CR184" s="399">
        <v>-3027.5247442396649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-2202.3097383374443</v>
      </c>
      <c r="DA184" s="399">
        <v>0</v>
      </c>
      <c r="DB184" s="399">
        <v>0</v>
      </c>
      <c r="DC184" s="399">
        <v>0</v>
      </c>
      <c r="DD184" s="399">
        <v>0</v>
      </c>
      <c r="DE184" s="399">
        <v>0</v>
      </c>
      <c r="DF184" s="399">
        <v>0</v>
      </c>
      <c r="DG184" s="399">
        <v>0</v>
      </c>
      <c r="DH184" s="399">
        <v>0</v>
      </c>
      <c r="DI184" s="399">
        <v>-707.79350766730749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-94.819792395412833</v>
      </c>
      <c r="DP184" s="399">
        <v>-22.601705839511283</v>
      </c>
      <c r="DQ184" s="399">
        <v>0</v>
      </c>
      <c r="DR184" s="399">
        <v>0</v>
      </c>
      <c r="DS184" s="399"/>
      <c r="DT184" s="399"/>
      <c r="DU184" s="399"/>
      <c r="DV184" s="399">
        <v>107798.06675889051</v>
      </c>
      <c r="DW184" s="399">
        <v>0</v>
      </c>
      <c r="DX184" s="399">
        <v>0</v>
      </c>
      <c r="DY184" s="399">
        <v>-70236.633120000013</v>
      </c>
      <c r="DZ184" s="399">
        <v>0</v>
      </c>
      <c r="EA184" s="399">
        <v>0</v>
      </c>
      <c r="EB184" s="399">
        <v>0</v>
      </c>
      <c r="EC184" s="399">
        <v>-67209.606291734235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221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184</v>
      </c>
      <c r="B185" s="399" t="s">
        <v>2329</v>
      </c>
      <c r="C185" s="399" t="s">
        <v>2328</v>
      </c>
      <c r="D185" s="399" t="s">
        <v>1824</v>
      </c>
      <c r="E185" s="399" t="s">
        <v>918</v>
      </c>
      <c r="F185" s="399" t="s">
        <v>1239</v>
      </c>
      <c r="G185" s="399" t="s">
        <v>1239</v>
      </c>
      <c r="H185" s="399" t="s">
        <v>1239</v>
      </c>
      <c r="I185" s="399" t="s">
        <v>1239</v>
      </c>
      <c r="J185" s="399" t="s">
        <v>2326</v>
      </c>
      <c r="K185" s="786">
        <v>44562</v>
      </c>
      <c r="L185" s="399">
        <v>0</v>
      </c>
      <c r="M185" s="399">
        <v>0</v>
      </c>
      <c r="N185" s="399">
        <v>2.2679999999999998</v>
      </c>
      <c r="O185" s="399">
        <v>2.2679999999999998</v>
      </c>
      <c r="P185" s="399">
        <v>2.2679999999999998</v>
      </c>
      <c r="Q185" s="399">
        <v>2.2679999999999998</v>
      </c>
      <c r="R185" s="399"/>
      <c r="S185" s="399">
        <v>825.6</v>
      </c>
      <c r="T185" s="399">
        <v>185.74</v>
      </c>
      <c r="U185" s="399"/>
      <c r="V185" s="399">
        <v>2293.7191199999997</v>
      </c>
      <c r="W185" s="399">
        <v>2293.7191199999997</v>
      </c>
      <c r="X185" s="399">
        <v>1425.8915999999999</v>
      </c>
      <c r="Y185" s="399">
        <v>0</v>
      </c>
      <c r="Z185" s="399">
        <v>141.39883668783392</v>
      </c>
      <c r="AA185" s="399">
        <v>0</v>
      </c>
      <c r="AB185" s="399">
        <v>0</v>
      </c>
      <c r="AC185" s="399">
        <v>0</v>
      </c>
      <c r="AD185" s="399">
        <v>295.59230977763997</v>
      </c>
      <c r="AE185" s="399">
        <v>1331.9278669911616</v>
      </c>
      <c r="AF185" s="399">
        <v>421.26804504444317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21.852620482935453</v>
      </c>
      <c r="AM185" s="399"/>
      <c r="AN185" s="399">
        <v>5.3771271458699408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76.319331858424206</v>
      </c>
      <c r="BH185" s="399">
        <v>0</v>
      </c>
      <c r="BI185" s="399">
        <v>0.87</v>
      </c>
      <c r="BJ185" s="399">
        <v>4.04</v>
      </c>
      <c r="BK185" s="399">
        <v>584.29</v>
      </c>
      <c r="BL185" s="399">
        <v>0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497.58737690286739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1427.1489999999999</v>
      </c>
      <c r="CJ185" s="399">
        <v>-866.60012000000006</v>
      </c>
      <c r="CK185" s="399"/>
      <c r="CL185" s="399"/>
      <c r="CM185" s="399"/>
      <c r="CN185" s="399"/>
      <c r="CO185" s="399">
        <v>-867.82752000000005</v>
      </c>
      <c r="CP185" s="399">
        <v>0</v>
      </c>
      <c r="CQ185" s="399">
        <v>31</v>
      </c>
      <c r="CR185" s="399">
        <v>-37.407392322511441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-27.211227440641835</v>
      </c>
      <c r="DA185" s="399">
        <v>0</v>
      </c>
      <c r="DB185" s="399">
        <v>0</v>
      </c>
      <c r="DC185" s="399">
        <v>0</v>
      </c>
      <c r="DD185" s="399">
        <v>0</v>
      </c>
      <c r="DE185" s="399">
        <v>0</v>
      </c>
      <c r="DF185" s="399">
        <v>0</v>
      </c>
      <c r="DG185" s="399">
        <v>0</v>
      </c>
      <c r="DH185" s="399">
        <v>0</v>
      </c>
      <c r="DI185" s="399">
        <v>-8.7453321314759194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-1.1715713243377905</v>
      </c>
      <c r="DP185" s="399">
        <v>-0.27926142605613258</v>
      </c>
      <c r="DQ185" s="399">
        <v>0</v>
      </c>
      <c r="DR185" s="399">
        <v>0</v>
      </c>
      <c r="DS185" s="399"/>
      <c r="DT185" s="399"/>
      <c r="DU185" s="399"/>
      <c r="DV185" s="399">
        <v>1331.9278669911616</v>
      </c>
      <c r="DW185" s="399">
        <v>0</v>
      </c>
      <c r="DX185" s="399">
        <v>0</v>
      </c>
      <c r="DY185" s="399">
        <v>-867.82751999999994</v>
      </c>
      <c r="DZ185" s="399">
        <v>0</v>
      </c>
      <c r="EA185" s="399">
        <v>0</v>
      </c>
      <c r="EB185" s="399">
        <v>0</v>
      </c>
      <c r="EC185" s="399">
        <v>-830.4262798115758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221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185</v>
      </c>
      <c r="B186" s="399" t="s">
        <v>2330</v>
      </c>
      <c r="C186" s="399" t="s">
        <v>2328</v>
      </c>
      <c r="D186" s="399" t="s">
        <v>1824</v>
      </c>
      <c r="E186" s="399" t="s">
        <v>918</v>
      </c>
      <c r="F186" s="399" t="s">
        <v>1239</v>
      </c>
      <c r="G186" s="399" t="s">
        <v>1239</v>
      </c>
      <c r="H186" s="399" t="s">
        <v>1239</v>
      </c>
      <c r="I186" s="399" t="s">
        <v>1239</v>
      </c>
      <c r="J186" s="399" t="s">
        <v>2326</v>
      </c>
      <c r="K186" s="786">
        <v>44562</v>
      </c>
      <c r="L186" s="399">
        <v>0</v>
      </c>
      <c r="M186" s="399">
        <v>0</v>
      </c>
      <c r="N186" s="399">
        <v>1.4890000000000001</v>
      </c>
      <c r="O186" s="399">
        <v>1.4890000000000001</v>
      </c>
      <c r="P186" s="399">
        <v>1.4890000000000001</v>
      </c>
      <c r="Q186" s="399">
        <v>1.4890000000000001</v>
      </c>
      <c r="R186" s="399"/>
      <c r="S186" s="399">
        <v>825.6</v>
      </c>
      <c r="T186" s="399">
        <v>185.74</v>
      </c>
      <c r="U186" s="399"/>
      <c r="V186" s="399">
        <v>1505.88526</v>
      </c>
      <c r="W186" s="399">
        <v>1505.88526</v>
      </c>
      <c r="X186" s="399">
        <v>936.13430000000005</v>
      </c>
      <c r="Y186" s="399">
        <v>0</v>
      </c>
      <c r="Z186" s="399">
        <v>92.831952305196083</v>
      </c>
      <c r="AA186" s="399">
        <v>0</v>
      </c>
      <c r="AB186" s="399">
        <v>0</v>
      </c>
      <c r="AC186" s="399">
        <v>0</v>
      </c>
      <c r="AD186" s="399">
        <v>194.06391060798322</v>
      </c>
      <c r="AE186" s="399">
        <v>874.44470632708999</v>
      </c>
      <c r="AF186" s="399">
        <v>276.57324474037739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14.346804188311681</v>
      </c>
      <c r="AM186" s="399"/>
      <c r="AN186" s="399">
        <v>3.5302214815698161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50.105593094000731</v>
      </c>
      <c r="BH186" s="399">
        <v>0</v>
      </c>
      <c r="BI186" s="399">
        <v>0.46</v>
      </c>
      <c r="BJ186" s="399">
        <v>2.37</v>
      </c>
      <c r="BK186" s="399">
        <v>1532.88</v>
      </c>
      <c r="BL186" s="399">
        <v>9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326.6788378343781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936.76300000000003</v>
      </c>
      <c r="CJ186" s="399">
        <v>-569.15225999999996</v>
      </c>
      <c r="CK186" s="399"/>
      <c r="CL186" s="399"/>
      <c r="CM186" s="399"/>
      <c r="CN186" s="399"/>
      <c r="CO186" s="399">
        <v>-569.75096000000008</v>
      </c>
      <c r="CP186" s="399">
        <v>0</v>
      </c>
      <c r="CQ186" s="399">
        <v>31</v>
      </c>
      <c r="CR186" s="399">
        <v>-24.558909686163929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-17.864866692731766</v>
      </c>
      <c r="DA186" s="399">
        <v>0</v>
      </c>
      <c r="DB186" s="399">
        <v>0</v>
      </c>
      <c r="DC186" s="399">
        <v>0</v>
      </c>
      <c r="DD186" s="399">
        <v>0</v>
      </c>
      <c r="DE186" s="399">
        <v>0</v>
      </c>
      <c r="DF186" s="399">
        <v>0</v>
      </c>
      <c r="DG186" s="399">
        <v>0</v>
      </c>
      <c r="DH186" s="399">
        <v>0</v>
      </c>
      <c r="DI186" s="399">
        <v>-5.7415341903737271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-0.76916653524645895</v>
      </c>
      <c r="DP186" s="399">
        <v>-0.1833422678119847</v>
      </c>
      <c r="DQ186" s="399">
        <v>0</v>
      </c>
      <c r="DR186" s="399">
        <v>0</v>
      </c>
      <c r="DS186" s="399"/>
      <c r="DT186" s="399"/>
      <c r="DU186" s="399"/>
      <c r="DV186" s="399">
        <v>874.44470632708999</v>
      </c>
      <c r="DW186" s="399">
        <v>0</v>
      </c>
      <c r="DX186" s="399">
        <v>0</v>
      </c>
      <c r="DY186" s="399">
        <v>-569.75096000000008</v>
      </c>
      <c r="DZ186" s="399">
        <v>0</v>
      </c>
      <c r="EA186" s="399">
        <v>0</v>
      </c>
      <c r="EB186" s="399">
        <v>0</v>
      </c>
      <c r="EC186" s="399">
        <v>-545.19608934719429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221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186</v>
      </c>
      <c r="B187" s="399" t="s">
        <v>956</v>
      </c>
      <c r="C187" s="399" t="s">
        <v>2577</v>
      </c>
      <c r="D187" s="399" t="s">
        <v>533</v>
      </c>
      <c r="E187" s="399" t="s">
        <v>918</v>
      </c>
      <c r="F187" s="399" t="s">
        <v>1239</v>
      </c>
      <c r="G187" s="399" t="s">
        <v>1239</v>
      </c>
      <c r="H187" s="399" t="s">
        <v>1239</v>
      </c>
      <c r="I187" s="399" t="s">
        <v>893</v>
      </c>
      <c r="J187" s="399" t="s">
        <v>2326</v>
      </c>
      <c r="K187" s="786">
        <v>44562</v>
      </c>
      <c r="L187" s="399">
        <v>581</v>
      </c>
      <c r="M187" s="399">
        <v>581</v>
      </c>
      <c r="N187" s="399">
        <v>33.347000000000001</v>
      </c>
      <c r="O187" s="399">
        <v>33.347000000000001</v>
      </c>
      <c r="P187" s="399">
        <v>33.347000000000001</v>
      </c>
      <c r="Q187" s="399">
        <v>33.347000000000001</v>
      </c>
      <c r="R187" s="399">
        <v>181.08</v>
      </c>
      <c r="S187" s="399">
        <v>77.900000000000006</v>
      </c>
      <c r="T187" s="399">
        <v>185.74</v>
      </c>
      <c r="U187" s="399">
        <v>105207.48000000001</v>
      </c>
      <c r="V187" s="399">
        <v>8791.6030800000008</v>
      </c>
      <c r="W187" s="399">
        <v>113999.08308000001</v>
      </c>
      <c r="X187" s="399">
        <v>60613.902840000002</v>
      </c>
      <c r="Y187" s="399">
        <v>0</v>
      </c>
      <c r="Z187" s="399">
        <v>1808.7511005799811</v>
      </c>
      <c r="AA187" s="399">
        <v>0</v>
      </c>
      <c r="AB187" s="399">
        <v>0</v>
      </c>
      <c r="AC187" s="399">
        <v>0</v>
      </c>
      <c r="AD187" s="399">
        <v>23221.650823770968</v>
      </c>
      <c r="AE187" s="399">
        <v>81984.561307553609</v>
      </c>
      <c r="AF187" s="399">
        <v>6194.0147698840592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321.30482153635302</v>
      </c>
      <c r="AM187" s="399"/>
      <c r="AN187" s="399">
        <v>34.543537831614053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433.25001962423545</v>
      </c>
      <c r="BH187" s="399">
        <v>0</v>
      </c>
      <c r="BI187" s="399">
        <v>0</v>
      </c>
      <c r="BJ187" s="399">
        <v>0</v>
      </c>
      <c r="BK187" s="399">
        <v>0</v>
      </c>
      <c r="BL187" s="399">
        <v>0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6627.2647895082946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60614.682000000008</v>
      </c>
      <c r="CJ187" s="399">
        <v>-53384.431079999988</v>
      </c>
      <c r="CK187" s="399"/>
      <c r="CL187" s="399"/>
      <c r="CM187" s="399"/>
      <c r="CN187" s="399"/>
      <c r="CO187" s="399">
        <v>-53385.180240000009</v>
      </c>
      <c r="CP187" s="399">
        <v>0</v>
      </c>
      <c r="CQ187" s="399">
        <v>31</v>
      </c>
      <c r="CR187" s="399">
        <v>-2268.5953873118451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-2137.7065681720742</v>
      </c>
      <c r="DA187" s="399">
        <v>0</v>
      </c>
      <c r="DB187" s="399">
        <v>0</v>
      </c>
      <c r="DC187" s="399">
        <v>0</v>
      </c>
      <c r="DD187" s="399">
        <v>0</v>
      </c>
      <c r="DE187" s="399">
        <v>0</v>
      </c>
      <c r="DF187" s="399">
        <v>0</v>
      </c>
      <c r="DG187" s="399">
        <v>0</v>
      </c>
      <c r="DH187" s="399">
        <v>0</v>
      </c>
      <c r="DI187" s="399">
        <v>-111.86887734208221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-17.225921054978926</v>
      </c>
      <c r="DP187" s="399">
        <v>-1.7940207427100887</v>
      </c>
      <c r="DQ187" s="399">
        <v>0</v>
      </c>
      <c r="DR187" s="399">
        <v>0</v>
      </c>
      <c r="DS187" s="399"/>
      <c r="DT187" s="399"/>
      <c r="DU187" s="399">
        <v>81984.561307553609</v>
      </c>
      <c r="DV187" s="399">
        <v>0</v>
      </c>
      <c r="DW187" s="399">
        <v>0</v>
      </c>
      <c r="DX187" s="399">
        <v>0</v>
      </c>
      <c r="DY187" s="399">
        <v>-53385.180240000009</v>
      </c>
      <c r="DZ187" s="399">
        <v>0</v>
      </c>
      <c r="EA187" s="399">
        <v>0</v>
      </c>
      <c r="EB187" s="399">
        <v>0</v>
      </c>
      <c r="EC187" s="399">
        <v>-51115.481503074247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221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187</v>
      </c>
      <c r="B188" s="399" t="s">
        <v>956</v>
      </c>
      <c r="C188" s="399" t="s">
        <v>2577</v>
      </c>
      <c r="D188" s="399" t="s">
        <v>533</v>
      </c>
      <c r="E188" s="399" t="s">
        <v>918</v>
      </c>
      <c r="F188" s="399" t="s">
        <v>1239</v>
      </c>
      <c r="G188" s="399" t="s">
        <v>1239</v>
      </c>
      <c r="H188" s="399" t="s">
        <v>1239</v>
      </c>
      <c r="I188" s="399" t="s">
        <v>2323</v>
      </c>
      <c r="J188" s="399" t="s">
        <v>2326</v>
      </c>
      <c r="K188" s="786">
        <v>44562</v>
      </c>
      <c r="L188" s="399">
        <v>579</v>
      </c>
      <c r="M188" s="399">
        <v>579</v>
      </c>
      <c r="N188" s="399">
        <v>338.29199999999997</v>
      </c>
      <c r="O188" s="399">
        <v>338.29199999999997</v>
      </c>
      <c r="P188" s="399">
        <v>338.29199999999997</v>
      </c>
      <c r="Q188" s="399">
        <v>338.29199999999997</v>
      </c>
      <c r="R188" s="399">
        <v>55.59</v>
      </c>
      <c r="S188" s="399">
        <v>77.900000000000006</v>
      </c>
      <c r="T188" s="399">
        <v>185.74</v>
      </c>
      <c r="U188" s="399">
        <v>32186.61</v>
      </c>
      <c r="V188" s="399">
        <v>89187.302880000003</v>
      </c>
      <c r="W188" s="399">
        <v>121373.91288</v>
      </c>
      <c r="X188" s="399">
        <v>104947.48824000001</v>
      </c>
      <c r="Y188" s="399">
        <v>0</v>
      </c>
      <c r="Z188" s="399">
        <v>18349.057705862684</v>
      </c>
      <c r="AA188" s="399">
        <v>0</v>
      </c>
      <c r="AB188" s="399">
        <v>0</v>
      </c>
      <c r="AC188" s="399">
        <v>0</v>
      </c>
      <c r="AD188" s="399">
        <v>9353.5544092821874</v>
      </c>
      <c r="AE188" s="399">
        <v>22830.388696070382</v>
      </c>
      <c r="AF188" s="399">
        <v>62835.806655279877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3259.5091218753087</v>
      </c>
      <c r="AM188" s="399"/>
      <c r="AN188" s="399">
        <v>350.43039854056974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4395.1484582937546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67230.955113573626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104946.9688</v>
      </c>
      <c r="CJ188" s="399">
        <v>-16426.97408</v>
      </c>
      <c r="CK188" s="399"/>
      <c r="CL188" s="399"/>
      <c r="CM188" s="399"/>
      <c r="CN188" s="399"/>
      <c r="CO188" s="399">
        <v>-16426.424640000001</v>
      </c>
      <c r="CP188" s="399">
        <v>0</v>
      </c>
      <c r="CQ188" s="399">
        <v>31</v>
      </c>
      <c r="CR188" s="399">
        <v>-2188.8713646441611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-861.05655658251453</v>
      </c>
      <c r="DA188" s="399">
        <v>0</v>
      </c>
      <c r="DB188" s="399">
        <v>0</v>
      </c>
      <c r="DC188" s="399">
        <v>0</v>
      </c>
      <c r="DD188" s="399">
        <v>0</v>
      </c>
      <c r="DE188" s="399">
        <v>0</v>
      </c>
      <c r="DF188" s="399">
        <v>0</v>
      </c>
      <c r="DG188" s="399">
        <v>0</v>
      </c>
      <c r="DH188" s="399">
        <v>0</v>
      </c>
      <c r="DI188" s="399">
        <v>-1134.8650929261312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-174.75009102860622</v>
      </c>
      <c r="DP188" s="399">
        <v>-18.199624106902547</v>
      </c>
      <c r="DQ188" s="399">
        <v>0</v>
      </c>
      <c r="DR188" s="399">
        <v>0</v>
      </c>
      <c r="DS188" s="399"/>
      <c r="DT188" s="399"/>
      <c r="DU188" s="399">
        <v>22830.388696070382</v>
      </c>
      <c r="DV188" s="399">
        <v>0</v>
      </c>
      <c r="DW188" s="399">
        <v>0</v>
      </c>
      <c r="DX188" s="399">
        <v>0</v>
      </c>
      <c r="DY188" s="399">
        <v>-16426.424640000005</v>
      </c>
      <c r="DZ188" s="399">
        <v>0</v>
      </c>
      <c r="EA188" s="399">
        <v>0</v>
      </c>
      <c r="EB188" s="399">
        <v>0</v>
      </c>
      <c r="EC188" s="399">
        <v>-14234.220351856153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221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188</v>
      </c>
      <c r="B189" s="399" t="s">
        <v>956</v>
      </c>
      <c r="C189" s="399" t="s">
        <v>2577</v>
      </c>
      <c r="D189" s="399" t="s">
        <v>533</v>
      </c>
      <c r="E189" s="399" t="s">
        <v>918</v>
      </c>
      <c r="F189" s="399" t="s">
        <v>1239</v>
      </c>
      <c r="G189" s="399" t="s">
        <v>1239</v>
      </c>
      <c r="H189" s="399" t="s">
        <v>1239</v>
      </c>
      <c r="I189" s="399" t="s">
        <v>1239</v>
      </c>
      <c r="J189" s="399" t="s">
        <v>2326</v>
      </c>
      <c r="K189" s="786">
        <v>44562</v>
      </c>
      <c r="L189" s="399">
        <v>0</v>
      </c>
      <c r="M189" s="399">
        <v>0</v>
      </c>
      <c r="N189" s="399">
        <v>0</v>
      </c>
      <c r="O189" s="399">
        <v>0</v>
      </c>
      <c r="P189" s="399">
        <v>0</v>
      </c>
      <c r="Q189" s="399">
        <v>0</v>
      </c>
      <c r="R189" s="399"/>
      <c r="S189" s="399"/>
      <c r="T189" s="399"/>
      <c r="U189" s="399"/>
      <c r="V189" s="399"/>
      <c r="W189" s="399"/>
      <c r="X189" s="399"/>
      <c r="Y189" s="399"/>
      <c r="Z189" s="399"/>
      <c r="AA189" s="399">
        <v>0</v>
      </c>
      <c r="AB189" s="399"/>
      <c r="AC189" s="399"/>
      <c r="AD189" s="399"/>
      <c r="AE189" s="399"/>
      <c r="AF189" s="399"/>
      <c r="AG189" s="399"/>
      <c r="AH189" s="399"/>
      <c r="AI189" s="399"/>
      <c r="AJ189" s="399"/>
      <c r="AK189" s="399"/>
      <c r="AL189" s="399"/>
      <c r="AM189" s="399"/>
      <c r="AN189" s="399"/>
      <c r="AO189" s="399"/>
      <c r="AP189" s="399"/>
      <c r="AQ189" s="399"/>
      <c r="AR189" s="399"/>
      <c r="AS189" s="399"/>
      <c r="AT189" s="399"/>
      <c r="AU189" s="399"/>
      <c r="AV189" s="399"/>
      <c r="AW189" s="399"/>
      <c r="AX189" s="399"/>
      <c r="AY189" s="399"/>
      <c r="AZ189" s="399">
        <v>0</v>
      </c>
      <c r="BA189" s="399"/>
      <c r="BB189" s="399"/>
      <c r="BC189" s="399"/>
      <c r="BD189" s="399"/>
      <c r="BE189" s="399"/>
      <c r="BF189" s="399"/>
      <c r="BG189" s="399"/>
      <c r="BH189" s="399"/>
      <c r="BI189" s="399">
        <v>115.85</v>
      </c>
      <c r="BJ189" s="399">
        <v>532.92999999999995</v>
      </c>
      <c r="BK189" s="399">
        <v>77236.42</v>
      </c>
      <c r="BL189" s="399">
        <v>1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/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/>
      <c r="CJ189" s="399">
        <v>-0.03</v>
      </c>
      <c r="CK189" s="399"/>
      <c r="CL189" s="399"/>
      <c r="CM189" s="399"/>
      <c r="CN189" s="399"/>
      <c r="CO189" s="399">
        <v>0</v>
      </c>
      <c r="CP189" s="399">
        <v>0</v>
      </c>
      <c r="CQ189" s="399">
        <v>31</v>
      </c>
      <c r="CR189" s="399"/>
      <c r="CS189" s="399"/>
      <c r="CT189" s="399"/>
      <c r="CU189" s="399"/>
      <c r="CV189" s="399"/>
      <c r="CW189" s="399"/>
      <c r="CX189" s="399"/>
      <c r="CY189" s="399"/>
      <c r="CZ189" s="399"/>
      <c r="DA189" s="399"/>
      <c r="DB189" s="399"/>
      <c r="DC189" s="399"/>
      <c r="DD189" s="399"/>
      <c r="DE189" s="399"/>
      <c r="DF189" s="399"/>
      <c r="DG189" s="399"/>
      <c r="DH189" s="399"/>
      <c r="DI189" s="399"/>
      <c r="DJ189" s="399"/>
      <c r="DK189" s="399">
        <v>0</v>
      </c>
      <c r="DL189" s="399"/>
      <c r="DM189" s="399"/>
      <c r="DN189" s="399"/>
      <c r="DO189" s="399"/>
      <c r="DP189" s="399"/>
      <c r="DQ189" s="399"/>
      <c r="DR189" s="399"/>
      <c r="DS189" s="399"/>
      <c r="DT189" s="399"/>
      <c r="DU189" s="399"/>
      <c r="DV189" s="399"/>
      <c r="DW189" s="399"/>
      <c r="DX189" s="399"/>
      <c r="DY189" s="399"/>
      <c r="DZ189" s="399"/>
      <c r="EA189" s="399"/>
      <c r="EB189" s="399"/>
      <c r="EC189" s="399"/>
      <c r="ED189" s="399"/>
      <c r="EE189" s="399"/>
      <c r="EF189" s="399"/>
      <c r="EG189" s="399"/>
      <c r="EH189" s="399"/>
      <c r="EI189" s="399"/>
      <c r="EJ189" s="399"/>
      <c r="EK189" s="399"/>
      <c r="EL189" s="399"/>
      <c r="EM189" s="399"/>
      <c r="EN189" s="399"/>
      <c r="EO189" s="399"/>
      <c r="EP189" s="399"/>
      <c r="EQ189" s="399"/>
      <c r="ER189" s="399"/>
      <c r="ES189" s="399"/>
      <c r="ET189" s="399"/>
      <c r="EU189" s="399"/>
      <c r="EV189" s="399">
        <v>221</v>
      </c>
      <c r="EW189" s="399"/>
      <c r="EX189" s="399"/>
      <c r="EY189" s="399"/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189</v>
      </c>
      <c r="B190" s="399" t="s">
        <v>956</v>
      </c>
      <c r="C190" s="399" t="s">
        <v>2325</v>
      </c>
      <c r="D190" s="399" t="s">
        <v>533</v>
      </c>
      <c r="E190" s="399" t="s">
        <v>918</v>
      </c>
      <c r="F190" s="399" t="s">
        <v>1239</v>
      </c>
      <c r="G190" s="399" t="s">
        <v>1239</v>
      </c>
      <c r="H190" s="399" t="s">
        <v>1239</v>
      </c>
      <c r="I190" s="399" t="s">
        <v>893</v>
      </c>
      <c r="J190" s="399" t="s">
        <v>2326</v>
      </c>
      <c r="K190" s="786">
        <v>44562</v>
      </c>
      <c r="L190" s="399">
        <v>0</v>
      </c>
      <c r="M190" s="399">
        <v>0</v>
      </c>
      <c r="N190" s="399">
        <v>6.8529999999999998</v>
      </c>
      <c r="O190" s="399">
        <v>6.8529999999999998</v>
      </c>
      <c r="P190" s="399">
        <v>6.8529999999999998</v>
      </c>
      <c r="Q190" s="399">
        <v>6.8529999999999998</v>
      </c>
      <c r="R190" s="399"/>
      <c r="S190" s="399">
        <v>4433.21</v>
      </c>
      <c r="T190" s="399">
        <v>185.74</v>
      </c>
      <c r="U190" s="399"/>
      <c r="V190" s="399">
        <v>31653.664349999999</v>
      </c>
      <c r="W190" s="399">
        <v>31653.664349999999</v>
      </c>
      <c r="X190" s="399">
        <v>16519.978860000003</v>
      </c>
      <c r="Y190" s="399">
        <v>0</v>
      </c>
      <c r="Z190" s="399">
        <v>371.70873818558221</v>
      </c>
      <c r="AA190" s="399">
        <v>0</v>
      </c>
      <c r="AB190" s="399">
        <v>0</v>
      </c>
      <c r="AC190" s="399">
        <v>0</v>
      </c>
      <c r="AD190" s="399">
        <v>6590.0022471806724</v>
      </c>
      <c r="AE190" s="399">
        <v>23256.913412267353</v>
      </c>
      <c r="AF190" s="399">
        <v>1272.9056052423143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66.02998596541299</v>
      </c>
      <c r="AM190" s="399"/>
      <c r="AN190" s="399">
        <v>7.0988953956892997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89.035367034062588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1361.9409722763769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16512.746999999999</v>
      </c>
      <c r="CJ190" s="399">
        <v>-15140.947349999995</v>
      </c>
      <c r="CK190" s="399"/>
      <c r="CL190" s="399"/>
      <c r="CM190" s="399"/>
      <c r="CN190" s="399"/>
      <c r="CO190" s="399">
        <v>-15133.68549</v>
      </c>
      <c r="CP190" s="399">
        <v>0</v>
      </c>
      <c r="CQ190" s="399">
        <v>31</v>
      </c>
      <c r="CR190" s="399">
        <v>-633.55170330859164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-606.65329932727764</v>
      </c>
      <c r="DA190" s="399">
        <v>0</v>
      </c>
      <c r="DB190" s="399">
        <v>0</v>
      </c>
      <c r="DC190" s="399">
        <v>0</v>
      </c>
      <c r="DD190" s="399">
        <v>0</v>
      </c>
      <c r="DE190" s="399">
        <v>0</v>
      </c>
      <c r="DF190" s="399">
        <v>0</v>
      </c>
      <c r="DG190" s="399">
        <v>0</v>
      </c>
      <c r="DH190" s="399">
        <v>0</v>
      </c>
      <c r="DI190" s="399">
        <v>-22.989696717104664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-3.540025699156466</v>
      </c>
      <c r="DP190" s="399">
        <v>-0.36868156505209537</v>
      </c>
      <c r="DQ190" s="399">
        <v>0</v>
      </c>
      <c r="DR190" s="399">
        <v>0</v>
      </c>
      <c r="DS190" s="399"/>
      <c r="DT190" s="399"/>
      <c r="DU190" s="399"/>
      <c r="DV190" s="399">
        <v>23256.913412267353</v>
      </c>
      <c r="DW190" s="399">
        <v>0</v>
      </c>
      <c r="DX190" s="399">
        <v>0</v>
      </c>
      <c r="DY190" s="399">
        <v>-15133.68549</v>
      </c>
      <c r="DZ190" s="399">
        <v>0</v>
      </c>
      <c r="EA190" s="399">
        <v>0</v>
      </c>
      <c r="EB190" s="399">
        <v>0</v>
      </c>
      <c r="EC190" s="399">
        <v>-14500.148666817589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221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190</v>
      </c>
      <c r="B191" s="399" t="s">
        <v>956</v>
      </c>
      <c r="C191" s="399" t="s">
        <v>2325</v>
      </c>
      <c r="D191" s="399" t="s">
        <v>533</v>
      </c>
      <c r="E191" s="399" t="s">
        <v>918</v>
      </c>
      <c r="F191" s="399" t="s">
        <v>1239</v>
      </c>
      <c r="G191" s="399" t="s">
        <v>1239</v>
      </c>
      <c r="H191" s="399" t="s">
        <v>1239</v>
      </c>
      <c r="I191" s="399" t="s">
        <v>2323</v>
      </c>
      <c r="J191" s="399" t="s">
        <v>2326</v>
      </c>
      <c r="K191" s="786">
        <v>44562</v>
      </c>
      <c r="L191" s="399">
        <v>0</v>
      </c>
      <c r="M191" s="399">
        <v>0</v>
      </c>
      <c r="N191" s="399">
        <v>300.54700000000003</v>
      </c>
      <c r="O191" s="399">
        <v>300.54700000000003</v>
      </c>
      <c r="P191" s="399">
        <v>300.54700000000003</v>
      </c>
      <c r="Q191" s="399">
        <v>300.54700000000003</v>
      </c>
      <c r="R191" s="399"/>
      <c r="S191" s="399">
        <v>77.900000000000006</v>
      </c>
      <c r="T191" s="399">
        <v>185.74</v>
      </c>
      <c r="U191" s="399"/>
      <c r="V191" s="399">
        <v>79236.211080000008</v>
      </c>
      <c r="W191" s="399">
        <v>79236.211080000008</v>
      </c>
      <c r="X191" s="399">
        <v>78058.066840000014</v>
      </c>
      <c r="Y191" s="399">
        <v>0</v>
      </c>
      <c r="Z191" s="399">
        <v>16301.757790086413</v>
      </c>
      <c r="AA191" s="399">
        <v>0</v>
      </c>
      <c r="AB191" s="399">
        <v>0</v>
      </c>
      <c r="AC191" s="399">
        <v>0</v>
      </c>
      <c r="AD191" s="399">
        <v>0</v>
      </c>
      <c r="AE191" s="399">
        <v>0</v>
      </c>
      <c r="AF191" s="399">
        <v>55824.888507042451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2895.8287161749572</v>
      </c>
      <c r="AM191" s="399"/>
      <c r="AN191" s="399">
        <v>311.33105420811796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3904.7588583082465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59729.647365350698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78058.846000000005</v>
      </c>
      <c r="CJ191" s="399">
        <v>-1177.3950799999875</v>
      </c>
      <c r="CK191" s="399"/>
      <c r="CL191" s="399"/>
      <c r="CM191" s="399"/>
      <c r="CN191" s="399"/>
      <c r="CO191" s="399">
        <v>-1178.1442400000005</v>
      </c>
      <c r="CP191" s="399">
        <v>0</v>
      </c>
      <c r="CQ191" s="399">
        <v>31</v>
      </c>
      <c r="CR191" s="399">
        <v>-1179.6635957058024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</v>
      </c>
      <c r="DA191" s="399">
        <v>0</v>
      </c>
      <c r="DB191" s="399">
        <v>0</v>
      </c>
      <c r="DC191" s="399">
        <v>0</v>
      </c>
      <c r="DD191" s="399">
        <v>0</v>
      </c>
      <c r="DE191" s="399">
        <v>0</v>
      </c>
      <c r="DF191" s="399">
        <v>0</v>
      </c>
      <c r="DG191" s="399">
        <v>0</v>
      </c>
      <c r="DH191" s="399">
        <v>0</v>
      </c>
      <c r="DI191" s="399">
        <v>-1008.2422850190651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-155.25231341082463</v>
      </c>
      <c r="DP191" s="399">
        <v>-16.168997275895549</v>
      </c>
      <c r="DQ191" s="399">
        <v>0</v>
      </c>
      <c r="DR191" s="399">
        <v>0</v>
      </c>
      <c r="DS191" s="399"/>
      <c r="DT191" s="399"/>
      <c r="DU191" s="399"/>
      <c r="DV191" s="399">
        <v>0</v>
      </c>
      <c r="DW191" s="399">
        <v>0</v>
      </c>
      <c r="DX191" s="399">
        <v>0</v>
      </c>
      <c r="DY191" s="399">
        <v>-1178.1442400000014</v>
      </c>
      <c r="DZ191" s="399">
        <v>0</v>
      </c>
      <c r="EA191" s="399">
        <v>0</v>
      </c>
      <c r="EB191" s="399">
        <v>0</v>
      </c>
      <c r="EC191" s="399">
        <v>0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221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191</v>
      </c>
      <c r="B192" s="399" t="s">
        <v>956</v>
      </c>
      <c r="C192" s="399" t="s">
        <v>2325</v>
      </c>
      <c r="D192" s="399" t="s">
        <v>533</v>
      </c>
      <c r="E192" s="399" t="s">
        <v>918</v>
      </c>
      <c r="F192" s="399" t="s">
        <v>1239</v>
      </c>
      <c r="G192" s="399" t="s">
        <v>1239</v>
      </c>
      <c r="H192" s="399" t="s">
        <v>1239</v>
      </c>
      <c r="I192" s="399" t="s">
        <v>1239</v>
      </c>
      <c r="J192" s="399" t="s">
        <v>2326</v>
      </c>
      <c r="K192" s="786">
        <v>44562</v>
      </c>
      <c r="L192" s="399">
        <v>1123</v>
      </c>
      <c r="M192" s="399">
        <v>1123</v>
      </c>
      <c r="N192" s="399">
        <v>0</v>
      </c>
      <c r="O192" s="399">
        <v>0</v>
      </c>
      <c r="P192" s="399">
        <v>0</v>
      </c>
      <c r="Q192" s="399">
        <v>0</v>
      </c>
      <c r="R192" s="399">
        <v>55.59</v>
      </c>
      <c r="S192" s="399"/>
      <c r="T192" s="399"/>
      <c r="U192" s="399">
        <v>62427.570000000007</v>
      </c>
      <c r="V192" s="399"/>
      <c r="W192" s="399">
        <v>62427.570000000007</v>
      </c>
      <c r="X192" s="399">
        <v>33139.730000000003</v>
      </c>
      <c r="Y192" s="399">
        <v>0</v>
      </c>
      <c r="Z192" s="399">
        <v>0</v>
      </c>
      <c r="AA192" s="399">
        <v>0</v>
      </c>
      <c r="AB192" s="399">
        <v>0</v>
      </c>
      <c r="AC192" s="399">
        <v>0</v>
      </c>
      <c r="AD192" s="399">
        <v>18141.695339592221</v>
      </c>
      <c r="AE192" s="399">
        <v>44280.702082361036</v>
      </c>
      <c r="AF192" s="399"/>
      <c r="AG192" s="399"/>
      <c r="AH192" s="399"/>
      <c r="AI192" s="399">
        <v>0</v>
      </c>
      <c r="AJ192" s="399">
        <v>0</v>
      </c>
      <c r="AK192" s="399">
        <v>0</v>
      </c>
      <c r="AL192" s="399">
        <v>0</v>
      </c>
      <c r="AM192" s="399"/>
      <c r="AN192" s="399">
        <v>0</v>
      </c>
      <c r="AO192" s="399">
        <v>0</v>
      </c>
      <c r="AP192" s="399">
        <v>0</v>
      </c>
      <c r="AQ192" s="399">
        <v>0</v>
      </c>
      <c r="AR192" s="399">
        <v>0</v>
      </c>
      <c r="AS192" s="399"/>
      <c r="AT192" s="399"/>
      <c r="AU192" s="399">
        <v>0</v>
      </c>
      <c r="AV192" s="399">
        <v>0</v>
      </c>
      <c r="AW192" s="399">
        <v>0</v>
      </c>
      <c r="AX192" s="399"/>
      <c r="AY192" s="399"/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/>
      <c r="BG192" s="399">
        <v>0</v>
      </c>
      <c r="BH192" s="399">
        <v>0</v>
      </c>
      <c r="BI192" s="399">
        <v>86.2</v>
      </c>
      <c r="BJ192" s="399">
        <v>396.61</v>
      </c>
      <c r="BK192" s="399">
        <v>55537.19</v>
      </c>
      <c r="BL192" s="399">
        <v>5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0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33139.730000000003</v>
      </c>
      <c r="CJ192" s="399">
        <v>-29287.87000000001</v>
      </c>
      <c r="CK192" s="399"/>
      <c r="CL192" s="399"/>
      <c r="CM192" s="399"/>
      <c r="CN192" s="399"/>
      <c r="CO192" s="399">
        <v>-29287.840000000004</v>
      </c>
      <c r="CP192" s="399">
        <v>0</v>
      </c>
      <c r="CQ192" s="399">
        <v>31</v>
      </c>
      <c r="CR192" s="399">
        <v>-1670.0630622489844</v>
      </c>
      <c r="CS192" s="399">
        <v>0</v>
      </c>
      <c r="CT192" s="399">
        <v>0</v>
      </c>
      <c r="CU192" s="399">
        <v>0</v>
      </c>
      <c r="CV192" s="399">
        <v>0</v>
      </c>
      <c r="CW192" s="399"/>
      <c r="CX192" s="399"/>
      <c r="CY192" s="399"/>
      <c r="CZ192" s="399">
        <v>-1670.0630622489844</v>
      </c>
      <c r="DA192" s="399">
        <v>0</v>
      </c>
      <c r="DB192" s="399">
        <v>0</v>
      </c>
      <c r="DC192" s="399"/>
      <c r="DD192" s="399"/>
      <c r="DE192" s="399">
        <v>0</v>
      </c>
      <c r="DF192" s="399">
        <v>0</v>
      </c>
      <c r="DG192" s="399">
        <v>0</v>
      </c>
      <c r="DH192" s="399">
        <v>0</v>
      </c>
      <c r="DI192" s="399">
        <v>0</v>
      </c>
      <c r="DJ192" s="399"/>
      <c r="DK192" s="399">
        <v>0</v>
      </c>
      <c r="DL192" s="399">
        <v>0</v>
      </c>
      <c r="DM192" s="399"/>
      <c r="DN192" s="399">
        <v>0</v>
      </c>
      <c r="DO192" s="399">
        <v>0</v>
      </c>
      <c r="DP192" s="399">
        <v>0</v>
      </c>
      <c r="DQ192" s="399">
        <v>0</v>
      </c>
      <c r="DR192" s="399">
        <v>0</v>
      </c>
      <c r="DS192" s="399"/>
      <c r="DT192" s="399"/>
      <c r="DU192" s="399">
        <v>44280.702082361036</v>
      </c>
      <c r="DV192" s="399"/>
      <c r="DW192" s="399">
        <v>0</v>
      </c>
      <c r="DX192" s="399">
        <v>0</v>
      </c>
      <c r="DY192" s="399">
        <v>-29287.840000000004</v>
      </c>
      <c r="DZ192" s="399"/>
      <c r="EA192" s="399">
        <v>0</v>
      </c>
      <c r="EB192" s="399"/>
      <c r="EC192" s="399">
        <v>-27607.995604722732</v>
      </c>
      <c r="ED192" s="399"/>
      <c r="EE192" s="399">
        <v>0</v>
      </c>
      <c r="EF192" s="399">
        <v>0</v>
      </c>
      <c r="EG192" s="399"/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/>
      <c r="EN192" s="399"/>
      <c r="EO192" s="399">
        <v>0</v>
      </c>
      <c r="EP192" s="399">
        <v>0</v>
      </c>
      <c r="EQ192" s="399"/>
      <c r="ER192" s="399">
        <v>0</v>
      </c>
      <c r="ES192" s="399"/>
      <c r="ET192" s="399">
        <v>0</v>
      </c>
      <c r="EU192" s="399"/>
      <c r="EV192" s="399">
        <v>221</v>
      </c>
      <c r="EW192" s="399"/>
      <c r="EX192" s="399"/>
      <c r="EY192" s="399"/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192</v>
      </c>
      <c r="B193" s="399" t="s">
        <v>956</v>
      </c>
      <c r="C193" s="399" t="s">
        <v>2335</v>
      </c>
      <c r="D193" s="399" t="s">
        <v>1824</v>
      </c>
      <c r="E193" s="399" t="s">
        <v>918</v>
      </c>
      <c r="F193" s="399" t="s">
        <v>1239</v>
      </c>
      <c r="G193" s="399" t="s">
        <v>1239</v>
      </c>
      <c r="H193" s="399" t="s">
        <v>1239</v>
      </c>
      <c r="I193" s="399" t="s">
        <v>893</v>
      </c>
      <c r="J193" s="399" t="s">
        <v>2326</v>
      </c>
      <c r="K193" s="786">
        <v>44562</v>
      </c>
      <c r="L193" s="399">
        <v>0</v>
      </c>
      <c r="M193" s="399">
        <v>0</v>
      </c>
      <c r="N193" s="399">
        <v>0.156</v>
      </c>
      <c r="O193" s="399">
        <v>0.156</v>
      </c>
      <c r="P193" s="399">
        <v>0.156</v>
      </c>
      <c r="Q193" s="399">
        <v>0.156</v>
      </c>
      <c r="R193" s="399"/>
      <c r="S193" s="399">
        <v>2583.84</v>
      </c>
      <c r="T193" s="399">
        <v>185.74</v>
      </c>
      <c r="U193" s="399"/>
      <c r="V193" s="399">
        <v>432.05448000000001</v>
      </c>
      <c r="W193" s="399">
        <v>432.05448000000001</v>
      </c>
      <c r="X193" s="399">
        <v>227.83331999999999</v>
      </c>
      <c r="Y193" s="399">
        <v>0</v>
      </c>
      <c r="Z193" s="399">
        <v>9.7258459097451908</v>
      </c>
      <c r="AA193" s="399">
        <v>0</v>
      </c>
      <c r="AB193" s="399">
        <v>0</v>
      </c>
      <c r="AC193" s="399">
        <v>0</v>
      </c>
      <c r="AD193" s="399">
        <v>70.162103438286138</v>
      </c>
      <c r="AE193" s="399">
        <v>316.06846722216011</v>
      </c>
      <c r="AF193" s="399">
        <v>28.976108918400854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1.5030902977680471</v>
      </c>
      <c r="AM193" s="399"/>
      <c r="AN193" s="399">
        <v>0.3698553063296785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5.2494778526958452</v>
      </c>
      <c r="BH193" s="399">
        <v>0</v>
      </c>
      <c r="BI193" s="399">
        <v>0</v>
      </c>
      <c r="BJ193" s="399">
        <v>0</v>
      </c>
      <c r="BK193" s="399">
        <v>0</v>
      </c>
      <c r="BL193" s="399">
        <v>0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>
        <v>34.225586771096701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233.67520000000002</v>
      </c>
      <c r="CJ193" s="399">
        <v>-198.40927999999997</v>
      </c>
      <c r="CK193" s="399"/>
      <c r="CL193" s="399"/>
      <c r="CM193" s="399"/>
      <c r="CN193" s="399"/>
      <c r="CO193" s="399">
        <v>-204.22116000000003</v>
      </c>
      <c r="CP193" s="399">
        <v>0</v>
      </c>
      <c r="CQ193" s="399">
        <v>31</v>
      </c>
      <c r="CR193" s="399">
        <v>-7.160209250043323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-6.4588857396501425</v>
      </c>
      <c r="DA193" s="399">
        <v>0</v>
      </c>
      <c r="DB193" s="399">
        <v>0</v>
      </c>
      <c r="DC193" s="399">
        <v>0</v>
      </c>
      <c r="DD193" s="399">
        <v>0</v>
      </c>
      <c r="DE193" s="399">
        <v>0</v>
      </c>
      <c r="DF193" s="399">
        <v>0</v>
      </c>
      <c r="DG193" s="399">
        <v>0</v>
      </c>
      <c r="DH193" s="399">
        <v>0</v>
      </c>
      <c r="DI193" s="399">
        <v>-0.60153078153008899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-8.0584270986197026E-2</v>
      </c>
      <c r="DP193" s="399">
        <v>-1.9208457876876861E-2</v>
      </c>
      <c r="DQ193" s="399">
        <v>0</v>
      </c>
      <c r="DR193" s="399">
        <v>0</v>
      </c>
      <c r="DS193" s="399"/>
      <c r="DT193" s="399"/>
      <c r="DU193" s="399"/>
      <c r="DV193" s="399">
        <v>316.06846722216011</v>
      </c>
      <c r="DW193" s="399">
        <v>0</v>
      </c>
      <c r="DX193" s="399">
        <v>0</v>
      </c>
      <c r="DY193" s="399">
        <v>-204.22116000000003</v>
      </c>
      <c r="DZ193" s="399">
        <v>0</v>
      </c>
      <c r="EA193" s="399">
        <v>0</v>
      </c>
      <c r="EB193" s="399">
        <v>0</v>
      </c>
      <c r="EC193" s="399">
        <v>-197.0613934176267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221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193</v>
      </c>
      <c r="B194" s="399" t="s">
        <v>956</v>
      </c>
      <c r="C194" s="399" t="s">
        <v>2335</v>
      </c>
      <c r="D194" s="399" t="s">
        <v>1824</v>
      </c>
      <c r="E194" s="399" t="s">
        <v>918</v>
      </c>
      <c r="F194" s="399" t="s">
        <v>1239</v>
      </c>
      <c r="G194" s="399" t="s">
        <v>1239</v>
      </c>
      <c r="H194" s="399" t="s">
        <v>1239</v>
      </c>
      <c r="I194" s="399" t="s">
        <v>2323</v>
      </c>
      <c r="J194" s="399" t="s">
        <v>2326</v>
      </c>
      <c r="K194" s="786">
        <v>44562</v>
      </c>
      <c r="L194" s="399">
        <v>0</v>
      </c>
      <c r="M194" s="399">
        <v>0</v>
      </c>
      <c r="N194" s="399">
        <v>1.236</v>
      </c>
      <c r="O194" s="399">
        <v>1.236</v>
      </c>
      <c r="P194" s="399">
        <v>1.236</v>
      </c>
      <c r="Q194" s="399">
        <v>1.236</v>
      </c>
      <c r="R194" s="399"/>
      <c r="S194" s="399">
        <v>603.13</v>
      </c>
      <c r="T194" s="399">
        <v>185.74</v>
      </c>
      <c r="U194" s="399"/>
      <c r="V194" s="399">
        <v>975.04331999999999</v>
      </c>
      <c r="W194" s="399">
        <v>975.04331999999999</v>
      </c>
      <c r="X194" s="399">
        <v>646.99656000000004</v>
      </c>
      <c r="Y194" s="399">
        <v>0</v>
      </c>
      <c r="Z194" s="399">
        <v>77.05862528490421</v>
      </c>
      <c r="AA194" s="399">
        <v>0</v>
      </c>
      <c r="AB194" s="399">
        <v>0</v>
      </c>
      <c r="AC194" s="399">
        <v>0</v>
      </c>
      <c r="AD194" s="399">
        <v>111.13222266659929</v>
      </c>
      <c r="AE194" s="399">
        <v>500.84745600849556</v>
      </c>
      <c r="AF194" s="399">
        <v>229.57993989194523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11.909100051546835</v>
      </c>
      <c r="AM194" s="399"/>
      <c r="AN194" s="399">
        <v>2.9303920424582217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41.592016832897855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271.17195672484308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649.09040000000005</v>
      </c>
      <c r="CJ194" s="399">
        <v>-325.98291999999992</v>
      </c>
      <c r="CK194" s="399"/>
      <c r="CL194" s="399"/>
      <c r="CM194" s="399"/>
      <c r="CN194" s="399"/>
      <c r="CO194" s="399">
        <v>-328.04675999999995</v>
      </c>
      <c r="CP194" s="399">
        <v>0</v>
      </c>
      <c r="CQ194" s="399">
        <v>31</v>
      </c>
      <c r="CR194" s="399">
        <v>-15.787096350334423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-10.230456229526993</v>
      </c>
      <c r="DA194" s="399">
        <v>0</v>
      </c>
      <c r="DB194" s="399">
        <v>0</v>
      </c>
      <c r="DC194" s="399">
        <v>0</v>
      </c>
      <c r="DD194" s="399">
        <v>0</v>
      </c>
      <c r="DE194" s="399">
        <v>0</v>
      </c>
      <c r="DF194" s="399">
        <v>0</v>
      </c>
      <c r="DG194" s="399">
        <v>0</v>
      </c>
      <c r="DH194" s="399">
        <v>0</v>
      </c>
      <c r="DI194" s="399">
        <v>-4.7659746536614733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-0.63847537781371599</v>
      </c>
      <c r="DP194" s="399">
        <v>-0.1521900893321777</v>
      </c>
      <c r="DQ194" s="399">
        <v>0</v>
      </c>
      <c r="DR194" s="399">
        <v>0</v>
      </c>
      <c r="DS194" s="399"/>
      <c r="DT194" s="399"/>
      <c r="DU194" s="399"/>
      <c r="DV194" s="399">
        <v>500.84745600849556</v>
      </c>
      <c r="DW194" s="399">
        <v>0</v>
      </c>
      <c r="DX194" s="399">
        <v>0</v>
      </c>
      <c r="DY194" s="399">
        <v>-328.04675999999989</v>
      </c>
      <c r="DZ194" s="399">
        <v>0</v>
      </c>
      <c r="EA194" s="399">
        <v>0</v>
      </c>
      <c r="EB194" s="399">
        <v>0</v>
      </c>
      <c r="EC194" s="399">
        <v>-312.26682762166888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221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194</v>
      </c>
      <c r="B195" s="399" t="s">
        <v>956</v>
      </c>
      <c r="C195" s="399" t="s">
        <v>2335</v>
      </c>
      <c r="D195" s="399" t="s">
        <v>1824</v>
      </c>
      <c r="E195" s="399" t="s">
        <v>918</v>
      </c>
      <c r="F195" s="399" t="s">
        <v>1239</v>
      </c>
      <c r="G195" s="399" t="s">
        <v>1239</v>
      </c>
      <c r="H195" s="399" t="s">
        <v>1239</v>
      </c>
      <c r="I195" s="399" t="s">
        <v>1239</v>
      </c>
      <c r="J195" s="399" t="s">
        <v>2326</v>
      </c>
      <c r="K195" s="786">
        <v>44562</v>
      </c>
      <c r="L195" s="399">
        <v>0</v>
      </c>
      <c r="M195" s="399">
        <v>0</v>
      </c>
      <c r="N195" s="399">
        <v>0</v>
      </c>
      <c r="O195" s="399">
        <v>0</v>
      </c>
      <c r="P195" s="399">
        <v>0</v>
      </c>
      <c r="Q195" s="399">
        <v>0</v>
      </c>
      <c r="R195" s="399"/>
      <c r="S195" s="399"/>
      <c r="T195" s="399"/>
      <c r="U195" s="399"/>
      <c r="V195" s="399"/>
      <c r="W195" s="399"/>
      <c r="X195" s="399"/>
      <c r="Y195" s="399"/>
      <c r="Z195" s="399"/>
      <c r="AA195" s="399">
        <v>0</v>
      </c>
      <c r="AB195" s="399"/>
      <c r="AC195" s="399"/>
      <c r="AD195" s="399"/>
      <c r="AE195" s="399"/>
      <c r="AF195" s="399"/>
      <c r="AG195" s="399"/>
      <c r="AH195" s="399"/>
      <c r="AI195" s="399"/>
      <c r="AJ195" s="399"/>
      <c r="AK195" s="399"/>
      <c r="AL195" s="399"/>
      <c r="AM195" s="399"/>
      <c r="AN195" s="399"/>
      <c r="AO195" s="399"/>
      <c r="AP195" s="399"/>
      <c r="AQ195" s="399"/>
      <c r="AR195" s="399"/>
      <c r="AS195" s="399"/>
      <c r="AT195" s="399"/>
      <c r="AU195" s="399"/>
      <c r="AV195" s="399"/>
      <c r="AW195" s="399"/>
      <c r="AX195" s="399"/>
      <c r="AY195" s="399"/>
      <c r="AZ195" s="399">
        <v>0</v>
      </c>
      <c r="BA195" s="399"/>
      <c r="BB195" s="399"/>
      <c r="BC195" s="399"/>
      <c r="BD195" s="399"/>
      <c r="BE195" s="399"/>
      <c r="BF195" s="399"/>
      <c r="BG195" s="399"/>
      <c r="BH195" s="399"/>
      <c r="BI195" s="399">
        <v>0.57999999999999996</v>
      </c>
      <c r="BJ195" s="399">
        <v>2.71</v>
      </c>
      <c r="BK195" s="399">
        <v>392.6</v>
      </c>
      <c r="BL195" s="399">
        <v>1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/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/>
      <c r="CJ195" s="399">
        <v>-0.03</v>
      </c>
      <c r="CK195" s="399"/>
      <c r="CL195" s="399"/>
      <c r="CM195" s="399"/>
      <c r="CN195" s="399"/>
      <c r="CO195" s="399">
        <v>0</v>
      </c>
      <c r="CP195" s="399">
        <v>0</v>
      </c>
      <c r="CQ195" s="399">
        <v>31</v>
      </c>
      <c r="CR195" s="399"/>
      <c r="CS195" s="399"/>
      <c r="CT195" s="399"/>
      <c r="CU195" s="399"/>
      <c r="CV195" s="399"/>
      <c r="CW195" s="399"/>
      <c r="CX195" s="399"/>
      <c r="CY195" s="399"/>
      <c r="CZ195" s="399"/>
      <c r="DA195" s="399"/>
      <c r="DB195" s="399"/>
      <c r="DC195" s="399"/>
      <c r="DD195" s="399"/>
      <c r="DE195" s="399"/>
      <c r="DF195" s="399"/>
      <c r="DG195" s="399"/>
      <c r="DH195" s="399"/>
      <c r="DI195" s="399"/>
      <c r="DJ195" s="399"/>
      <c r="DK195" s="399">
        <v>0</v>
      </c>
      <c r="DL195" s="399"/>
      <c r="DM195" s="399"/>
      <c r="DN195" s="399"/>
      <c r="DO195" s="399"/>
      <c r="DP195" s="399"/>
      <c r="DQ195" s="399"/>
      <c r="DR195" s="399"/>
      <c r="DS195" s="399"/>
      <c r="DT195" s="399"/>
      <c r="DU195" s="399"/>
      <c r="DV195" s="399"/>
      <c r="DW195" s="399"/>
      <c r="DX195" s="399"/>
      <c r="DY195" s="399"/>
      <c r="DZ195" s="399"/>
      <c r="EA195" s="399"/>
      <c r="EB195" s="399"/>
      <c r="EC195" s="399"/>
      <c r="ED195" s="399"/>
      <c r="EE195" s="399"/>
      <c r="EF195" s="399"/>
      <c r="EG195" s="399"/>
      <c r="EH195" s="399"/>
      <c r="EI195" s="399"/>
      <c r="EJ195" s="399"/>
      <c r="EK195" s="399"/>
      <c r="EL195" s="399"/>
      <c r="EM195" s="399"/>
      <c r="EN195" s="399"/>
      <c r="EO195" s="399"/>
      <c r="EP195" s="399"/>
      <c r="EQ195" s="399"/>
      <c r="ER195" s="399"/>
      <c r="ES195" s="399"/>
      <c r="ET195" s="399"/>
      <c r="EU195" s="399"/>
      <c r="EV195" s="399">
        <v>221</v>
      </c>
      <c r="EW195" s="399"/>
      <c r="EX195" s="399"/>
      <c r="EY195" s="399"/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195</v>
      </c>
      <c r="B196" s="399" t="s">
        <v>956</v>
      </c>
      <c r="C196" s="399" t="s">
        <v>2335</v>
      </c>
      <c r="D196" s="399" t="s">
        <v>1824</v>
      </c>
      <c r="E196" s="399" t="s">
        <v>918</v>
      </c>
      <c r="F196" s="399" t="s">
        <v>1239</v>
      </c>
      <c r="G196" s="399" t="s">
        <v>1239</v>
      </c>
      <c r="H196" s="399" t="s">
        <v>1239</v>
      </c>
      <c r="I196" s="399" t="s">
        <v>2336</v>
      </c>
      <c r="J196" s="399" t="s">
        <v>2326</v>
      </c>
      <c r="K196" s="786">
        <v>44562</v>
      </c>
      <c r="L196" s="399">
        <v>0</v>
      </c>
      <c r="M196" s="399">
        <v>0</v>
      </c>
      <c r="N196" s="399">
        <v>0.09</v>
      </c>
      <c r="O196" s="399">
        <v>0.09</v>
      </c>
      <c r="P196" s="399">
        <v>0.09</v>
      </c>
      <c r="Q196" s="399">
        <v>0.09</v>
      </c>
      <c r="R196" s="399"/>
      <c r="S196" s="399">
        <v>1593.45</v>
      </c>
      <c r="T196" s="399">
        <v>185.74</v>
      </c>
      <c r="U196" s="399"/>
      <c r="V196" s="399">
        <v>160.12709999999998</v>
      </c>
      <c r="W196" s="399">
        <v>160.12709999999998</v>
      </c>
      <c r="X196" s="399">
        <v>89.273700000000005</v>
      </c>
      <c r="Y196" s="399">
        <v>0</v>
      </c>
      <c r="Z196" s="399">
        <v>5.6110649479299175</v>
      </c>
      <c r="AA196" s="399">
        <v>0</v>
      </c>
      <c r="AB196" s="399">
        <v>0</v>
      </c>
      <c r="AC196" s="399">
        <v>0</v>
      </c>
      <c r="AD196" s="399">
        <v>24.282248380893627</v>
      </c>
      <c r="AE196" s="399">
        <v>109.40830343475389</v>
      </c>
      <c r="AF196" s="399">
        <v>16.716985914462029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0.86716747948156558</v>
      </c>
      <c r="AM196" s="399"/>
      <c r="AN196" s="399">
        <v>0.21337806134404527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3.028544915016834</v>
      </c>
      <c r="BH196" s="399">
        <v>0</v>
      </c>
      <c r="BI196" s="399">
        <v>0</v>
      </c>
      <c r="BJ196" s="399">
        <v>0</v>
      </c>
      <c r="BK196" s="399">
        <v>0</v>
      </c>
      <c r="BL196" s="399">
        <v>0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19.745530829478863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89.273700000000005</v>
      </c>
      <c r="CJ196" s="399">
        <v>-70.883399999999952</v>
      </c>
      <c r="CK196" s="399"/>
      <c r="CL196" s="399"/>
      <c r="CM196" s="399"/>
      <c r="CN196" s="399"/>
      <c r="CO196" s="399">
        <v>-70.853399999999993</v>
      </c>
      <c r="CP196" s="399">
        <v>0</v>
      </c>
      <c r="CQ196" s="399">
        <v>31</v>
      </c>
      <c r="CR196" s="399">
        <v>-2.6399513066296691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-2.2353415890951567</v>
      </c>
      <c r="DA196" s="399">
        <v>0</v>
      </c>
      <c r="DB196" s="399">
        <v>0</v>
      </c>
      <c r="DC196" s="399">
        <v>0</v>
      </c>
      <c r="DD196" s="399">
        <v>0</v>
      </c>
      <c r="DE196" s="399">
        <v>0</v>
      </c>
      <c r="DF196" s="399">
        <v>0</v>
      </c>
      <c r="DG196" s="399">
        <v>0</v>
      </c>
      <c r="DH196" s="399">
        <v>0</v>
      </c>
      <c r="DI196" s="399">
        <v>-0.34703698934428218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-4.649092556895984E-2</v>
      </c>
      <c r="DP196" s="399">
        <v>-1.1081802621275089E-2</v>
      </c>
      <c r="DQ196" s="399">
        <v>0</v>
      </c>
      <c r="DR196" s="399">
        <v>0</v>
      </c>
      <c r="DS196" s="399"/>
      <c r="DT196" s="399"/>
      <c r="DU196" s="399"/>
      <c r="DV196" s="399">
        <v>109.40830343475389</v>
      </c>
      <c r="DW196" s="399">
        <v>0</v>
      </c>
      <c r="DX196" s="399">
        <v>0</v>
      </c>
      <c r="DY196" s="399">
        <v>-70.853399999999979</v>
      </c>
      <c r="DZ196" s="399">
        <v>0</v>
      </c>
      <c r="EA196" s="399">
        <v>0</v>
      </c>
      <c r="EB196" s="399">
        <v>0</v>
      </c>
      <c r="EC196" s="399">
        <v>-68.213551689598674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221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196</v>
      </c>
      <c r="B197" s="399" t="s">
        <v>956</v>
      </c>
      <c r="C197" s="399" t="s">
        <v>2328</v>
      </c>
      <c r="D197" s="399" t="s">
        <v>2337</v>
      </c>
      <c r="E197" s="399" t="s">
        <v>894</v>
      </c>
      <c r="F197" s="399" t="s">
        <v>1239</v>
      </c>
      <c r="G197" s="399" t="s">
        <v>1239</v>
      </c>
      <c r="H197" s="399" t="s">
        <v>1239</v>
      </c>
      <c r="I197" s="399" t="s">
        <v>1239</v>
      </c>
      <c r="J197" s="399" t="s">
        <v>2326</v>
      </c>
      <c r="K197" s="786">
        <v>44562</v>
      </c>
      <c r="L197" s="399">
        <v>0</v>
      </c>
      <c r="M197" s="399">
        <v>0</v>
      </c>
      <c r="N197" s="399">
        <v>2243.922</v>
      </c>
      <c r="O197" s="399">
        <v>2243.922</v>
      </c>
      <c r="P197" s="399">
        <v>2243.922</v>
      </c>
      <c r="Q197" s="399">
        <v>2243.922</v>
      </c>
      <c r="R197" s="399"/>
      <c r="S197" s="399">
        <v>825.6</v>
      </c>
      <c r="T197" s="399">
        <v>185.74</v>
      </c>
      <c r="U197" s="399"/>
      <c r="V197" s="399">
        <v>2269368.0754800001</v>
      </c>
      <c r="W197" s="399">
        <v>2269368.0754800001</v>
      </c>
      <c r="X197" s="399">
        <v>1410753.7614</v>
      </c>
      <c r="Y197" s="399">
        <v>0</v>
      </c>
      <c r="Z197" s="399">
        <v>139897.68977876441</v>
      </c>
      <c r="AA197" s="399">
        <v>0</v>
      </c>
      <c r="AB197" s="399">
        <v>0</v>
      </c>
      <c r="AC197" s="399">
        <v>0</v>
      </c>
      <c r="AD197" s="399">
        <v>292454.18295452447</v>
      </c>
      <c r="AE197" s="399">
        <v>1317787.5851651418</v>
      </c>
      <c r="AF197" s="399">
        <v>416795.69407946075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21620.624276591487</v>
      </c>
      <c r="AM197" s="399"/>
      <c r="AN197" s="399">
        <v>5320.0414018583642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75509.095142160048</v>
      </c>
      <c r="BH197" s="399">
        <v>0</v>
      </c>
      <c r="BI197" s="399">
        <v>845.17</v>
      </c>
      <c r="BJ197" s="399">
        <v>4131.41</v>
      </c>
      <c r="BK197" s="399">
        <v>360472.99</v>
      </c>
      <c r="BL197" s="399">
        <v>5706</v>
      </c>
      <c r="BM197" s="399"/>
      <c r="BN197" s="399"/>
      <c r="BO197" s="399"/>
      <c r="BP197" s="399"/>
      <c r="BQ197" s="399"/>
      <c r="BR197" s="399">
        <v>169281.47568</v>
      </c>
      <c r="BS197" s="399"/>
      <c r="BT197" s="399"/>
      <c r="BU197" s="399"/>
      <c r="BV197" s="399">
        <v>492304.78922162077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1241471.1792000001</v>
      </c>
      <c r="CJ197" s="399">
        <v>-755574.55235999986</v>
      </c>
      <c r="CK197" s="399"/>
      <c r="CL197" s="399"/>
      <c r="CM197" s="399"/>
      <c r="CN197" s="399"/>
      <c r="CO197" s="399">
        <v>-858614.31408000016</v>
      </c>
      <c r="CP197" s="399">
        <v>0</v>
      </c>
      <c r="CQ197" s="399">
        <v>31</v>
      </c>
      <c r="CR197" s="399">
        <v>-37010.260403489694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-26922.34210805106</v>
      </c>
      <c r="DA197" s="399">
        <v>0</v>
      </c>
      <c r="DB197" s="399">
        <v>0</v>
      </c>
      <c r="DC197" s="399">
        <v>0</v>
      </c>
      <c r="DD197" s="399">
        <v>0</v>
      </c>
      <c r="DE197" s="399">
        <v>0</v>
      </c>
      <c r="DF197" s="399">
        <v>0</v>
      </c>
      <c r="DG197" s="399">
        <v>0</v>
      </c>
      <c r="DH197" s="399">
        <v>0</v>
      </c>
      <c r="DI197" s="399">
        <v>-8652.4881689266767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-1159.1334520505734</v>
      </c>
      <c r="DP197" s="399">
        <v>-276.29667446152052</v>
      </c>
      <c r="DQ197" s="399">
        <v>0</v>
      </c>
      <c r="DR197" s="399">
        <v>0</v>
      </c>
      <c r="DS197" s="399"/>
      <c r="DT197" s="399"/>
      <c r="DU197" s="399"/>
      <c r="DV197" s="399">
        <v>1317787.5851651418</v>
      </c>
      <c r="DW197" s="399">
        <v>0</v>
      </c>
      <c r="DX197" s="399">
        <v>0</v>
      </c>
      <c r="DY197" s="399">
        <v>-858614.31408000016</v>
      </c>
      <c r="DZ197" s="399">
        <v>0</v>
      </c>
      <c r="EA197" s="399">
        <v>0</v>
      </c>
      <c r="EB197" s="399">
        <v>0</v>
      </c>
      <c r="EC197" s="399">
        <v>-821610.14049706841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221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197</v>
      </c>
      <c r="B198" s="399" t="s">
        <v>2329</v>
      </c>
      <c r="C198" s="399" t="s">
        <v>2328</v>
      </c>
      <c r="D198" s="399" t="s">
        <v>2337</v>
      </c>
      <c r="E198" s="399" t="s">
        <v>894</v>
      </c>
      <c r="F198" s="399" t="s">
        <v>1239</v>
      </c>
      <c r="G198" s="399" t="s">
        <v>1239</v>
      </c>
      <c r="H198" s="399" t="s">
        <v>1239</v>
      </c>
      <c r="I198" s="399" t="s">
        <v>1239</v>
      </c>
      <c r="J198" s="399" t="s">
        <v>2326</v>
      </c>
      <c r="K198" s="786">
        <v>44562</v>
      </c>
      <c r="L198" s="399">
        <v>0</v>
      </c>
      <c r="M198" s="399">
        <v>0</v>
      </c>
      <c r="N198" s="399">
        <v>-2.4689999999999999</v>
      </c>
      <c r="O198" s="399">
        <v>-2.4689999999999999</v>
      </c>
      <c r="P198" s="399">
        <v>-2.4689999999999999</v>
      </c>
      <c r="Q198" s="399">
        <v>-2.4689999999999999</v>
      </c>
      <c r="R198" s="399"/>
      <c r="S198" s="399">
        <v>825.6</v>
      </c>
      <c r="T198" s="399">
        <v>185.74</v>
      </c>
      <c r="U198" s="399"/>
      <c r="V198" s="399">
        <v>-2496.9984599999998</v>
      </c>
      <c r="W198" s="399">
        <v>-2496.9984599999998</v>
      </c>
      <c r="X198" s="399">
        <v>-1552.2602999999999</v>
      </c>
      <c r="Y198" s="399">
        <v>0</v>
      </c>
      <c r="Z198" s="399">
        <v>-153.93021507154407</v>
      </c>
      <c r="AA198" s="399">
        <v>0</v>
      </c>
      <c r="AB198" s="399">
        <v>0</v>
      </c>
      <c r="AC198" s="399">
        <v>0</v>
      </c>
      <c r="AD198" s="399">
        <v>-321.78898273412392</v>
      </c>
      <c r="AE198" s="399">
        <v>-1449.9690932985795</v>
      </c>
      <c r="AF198" s="399">
        <v>-458.60264692007502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-23.789294520444283</v>
      </c>
      <c r="AM198" s="399"/>
      <c r="AN198" s="399">
        <v>-5.8536714828716416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-83.083082168628479</v>
      </c>
      <c r="BH198" s="399">
        <v>0</v>
      </c>
      <c r="BI198" s="399">
        <v>-1.1299999999999999</v>
      </c>
      <c r="BJ198" s="399">
        <v>-5.55</v>
      </c>
      <c r="BK198" s="399">
        <v>-574.15</v>
      </c>
      <c r="BL198" s="399">
        <v>0</v>
      </c>
      <c r="BM198" s="399"/>
      <c r="BN198" s="399"/>
      <c r="BO198" s="399"/>
      <c r="BP198" s="399"/>
      <c r="BQ198" s="399"/>
      <c r="BR198" s="399">
        <v>-186.26136</v>
      </c>
      <c r="BS198" s="399"/>
      <c r="BT198" s="399"/>
      <c r="BU198" s="399"/>
      <c r="BV198" s="399">
        <v>-541.68572908870351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-1366.5522000000001</v>
      </c>
      <c r="CJ198" s="399">
        <v>830.77841999999964</v>
      </c>
      <c r="CK198" s="399"/>
      <c r="CL198" s="399"/>
      <c r="CM198" s="399"/>
      <c r="CN198" s="399"/>
      <c r="CO198" s="399">
        <v>944.73816000000011</v>
      </c>
      <c r="CP198" s="399">
        <v>0</v>
      </c>
      <c r="CQ198" s="399">
        <v>31</v>
      </c>
      <c r="CR198" s="399">
        <v>40.722597726755339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29.622804475725104</v>
      </c>
      <c r="DA198" s="399">
        <v>0</v>
      </c>
      <c r="DB198" s="399">
        <v>0</v>
      </c>
      <c r="DC198" s="399">
        <v>0</v>
      </c>
      <c r="DD198" s="399">
        <v>0</v>
      </c>
      <c r="DE198" s="399">
        <v>0</v>
      </c>
      <c r="DF198" s="399">
        <v>0</v>
      </c>
      <c r="DG198" s="399">
        <v>0</v>
      </c>
      <c r="DH198" s="399">
        <v>0</v>
      </c>
      <c r="DI198" s="399">
        <v>9.5203814076781441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1.2754010581084643</v>
      </c>
      <c r="DP198" s="399">
        <v>0.304010785243646</v>
      </c>
      <c r="DQ198" s="399">
        <v>0</v>
      </c>
      <c r="DR198" s="399">
        <v>0</v>
      </c>
      <c r="DS198" s="399"/>
      <c r="DT198" s="399"/>
      <c r="DU198" s="399"/>
      <c r="DV198" s="399">
        <v>-1449.9690932985795</v>
      </c>
      <c r="DW198" s="399">
        <v>0</v>
      </c>
      <c r="DX198" s="399">
        <v>0</v>
      </c>
      <c r="DY198" s="399">
        <v>944.73815999999988</v>
      </c>
      <c r="DZ198" s="399">
        <v>0</v>
      </c>
      <c r="EA198" s="399">
        <v>0</v>
      </c>
      <c r="EB198" s="399">
        <v>0</v>
      </c>
      <c r="EC198" s="399">
        <v>904.02225963614683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221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198</v>
      </c>
      <c r="B199" s="399" t="s">
        <v>2330</v>
      </c>
      <c r="C199" s="399" t="s">
        <v>2328</v>
      </c>
      <c r="D199" s="399" t="s">
        <v>2337</v>
      </c>
      <c r="E199" s="399" t="s">
        <v>894</v>
      </c>
      <c r="F199" s="399" t="s">
        <v>1239</v>
      </c>
      <c r="G199" s="399" t="s">
        <v>1239</v>
      </c>
      <c r="H199" s="399" t="s">
        <v>1239</v>
      </c>
      <c r="I199" s="399" t="s">
        <v>1239</v>
      </c>
      <c r="J199" s="399" t="s">
        <v>2326</v>
      </c>
      <c r="K199" s="786">
        <v>44562</v>
      </c>
      <c r="L199" s="399">
        <v>0</v>
      </c>
      <c r="M199" s="399">
        <v>0</v>
      </c>
      <c r="N199" s="399">
        <v>28.690999999999999</v>
      </c>
      <c r="O199" s="399">
        <v>28.690999999999999</v>
      </c>
      <c r="P199" s="399">
        <v>28.690999999999999</v>
      </c>
      <c r="Q199" s="399">
        <v>28.690999999999999</v>
      </c>
      <c r="R199" s="399"/>
      <c r="S199" s="399">
        <v>825.6</v>
      </c>
      <c r="T199" s="399">
        <v>185.74</v>
      </c>
      <c r="U199" s="399"/>
      <c r="V199" s="399">
        <v>29016.355940000001</v>
      </c>
      <c r="W199" s="399">
        <v>29016.355940000001</v>
      </c>
      <c r="X199" s="399">
        <v>18038.0317</v>
      </c>
      <c r="Y199" s="399">
        <v>0</v>
      </c>
      <c r="Z199" s="399">
        <v>1788.7451602339695</v>
      </c>
      <c r="AA199" s="399">
        <v>0</v>
      </c>
      <c r="AB199" s="399">
        <v>0</v>
      </c>
      <c r="AC199" s="399">
        <v>0</v>
      </c>
      <c r="AD199" s="399">
        <v>3739.3469840521466</v>
      </c>
      <c r="AE199" s="399">
        <v>16849.357333264295</v>
      </c>
      <c r="AF199" s="399">
        <v>5329.189365242557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276.44335726450669</v>
      </c>
      <c r="AM199" s="399"/>
      <c r="AN199" s="399">
        <v>68.022555089133363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965.4664684083109</v>
      </c>
      <c r="BH199" s="399">
        <v>0</v>
      </c>
      <c r="BI199" s="399">
        <v>8.99</v>
      </c>
      <c r="BJ199" s="399">
        <v>45.36</v>
      </c>
      <c r="BK199" s="399">
        <v>15934.65</v>
      </c>
      <c r="BL199" s="399">
        <v>120</v>
      </c>
      <c r="BM199" s="399"/>
      <c r="BN199" s="399"/>
      <c r="BO199" s="399"/>
      <c r="BP199" s="399"/>
      <c r="BQ199" s="399"/>
      <c r="BR199" s="399">
        <v>2164.4490399999995</v>
      </c>
      <c r="BS199" s="399"/>
      <c r="BT199" s="399"/>
      <c r="BU199" s="399"/>
      <c r="BV199" s="399">
        <v>6294.6558336508679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15873.029399999999</v>
      </c>
      <c r="CJ199" s="399">
        <v>-9661.4167799999923</v>
      </c>
      <c r="CK199" s="399"/>
      <c r="CL199" s="399"/>
      <c r="CM199" s="399"/>
      <c r="CN199" s="399"/>
      <c r="CO199" s="399">
        <v>-10978.324240000002</v>
      </c>
      <c r="CP199" s="399">
        <v>0</v>
      </c>
      <c r="CQ199" s="399">
        <v>31</v>
      </c>
      <c r="CR199" s="399">
        <v>-473.21670772715152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-344.23162544067645</v>
      </c>
      <c r="DA199" s="399">
        <v>0</v>
      </c>
      <c r="DB199" s="399">
        <v>0</v>
      </c>
      <c r="DC199" s="399">
        <v>0</v>
      </c>
      <c r="DD199" s="399">
        <v>0</v>
      </c>
      <c r="DE199" s="399">
        <v>0</v>
      </c>
      <c r="DF199" s="399">
        <v>0</v>
      </c>
      <c r="DG199" s="399">
        <v>0</v>
      </c>
      <c r="DH199" s="399">
        <v>0</v>
      </c>
      <c r="DI199" s="399">
        <v>-110.63153623640869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-14.820790505544778</v>
      </c>
      <c r="DP199" s="399">
        <v>-3.53275554452226</v>
      </c>
      <c r="DQ199" s="399">
        <v>0</v>
      </c>
      <c r="DR199" s="399">
        <v>0</v>
      </c>
      <c r="DS199" s="399"/>
      <c r="DT199" s="399"/>
      <c r="DU199" s="399"/>
      <c r="DV199" s="399">
        <v>16849.357333264295</v>
      </c>
      <c r="DW199" s="399">
        <v>0</v>
      </c>
      <c r="DX199" s="399">
        <v>0</v>
      </c>
      <c r="DY199" s="399">
        <v>-10978.324240000002</v>
      </c>
      <c r="DZ199" s="399">
        <v>0</v>
      </c>
      <c r="EA199" s="399">
        <v>0</v>
      </c>
      <c r="EB199" s="399">
        <v>0</v>
      </c>
      <c r="EC199" s="399">
        <v>-10505.185358939121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221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199</v>
      </c>
      <c r="B200" s="399" t="s">
        <v>956</v>
      </c>
      <c r="C200" s="399" t="s">
        <v>2328</v>
      </c>
      <c r="D200" s="399" t="s">
        <v>1824</v>
      </c>
      <c r="E200" s="399" t="s">
        <v>2338</v>
      </c>
      <c r="F200" s="399" t="s">
        <v>1239</v>
      </c>
      <c r="G200" s="399" t="s">
        <v>1239</v>
      </c>
      <c r="H200" s="399" t="s">
        <v>1239</v>
      </c>
      <c r="I200" s="399" t="s">
        <v>1239</v>
      </c>
      <c r="J200" s="399" t="s">
        <v>2326</v>
      </c>
      <c r="K200" s="786">
        <v>44562</v>
      </c>
      <c r="L200" s="399">
        <v>0</v>
      </c>
      <c r="M200" s="399">
        <v>0</v>
      </c>
      <c r="N200" s="399">
        <v>18.238</v>
      </c>
      <c r="O200" s="399">
        <v>18.238</v>
      </c>
      <c r="P200" s="399">
        <v>18.238</v>
      </c>
      <c r="Q200" s="399">
        <v>18.238</v>
      </c>
      <c r="R200" s="399"/>
      <c r="S200" s="399">
        <v>825.6</v>
      </c>
      <c r="T200" s="399">
        <v>185.74</v>
      </c>
      <c r="U200" s="399"/>
      <c r="V200" s="399">
        <v>18444.818919999998</v>
      </c>
      <c r="W200" s="399">
        <v>18444.818919999998</v>
      </c>
      <c r="X200" s="399">
        <v>11466.230599999999</v>
      </c>
      <c r="Y200" s="399">
        <v>0</v>
      </c>
      <c r="Z200" s="399">
        <v>1137.0511391149537</v>
      </c>
      <c r="AA200" s="399">
        <v>0</v>
      </c>
      <c r="AB200" s="399">
        <v>0</v>
      </c>
      <c r="AC200" s="399">
        <v>0</v>
      </c>
      <c r="AD200" s="399">
        <v>2376.9896586087293</v>
      </c>
      <c r="AE200" s="399">
        <v>10710.626295495947</v>
      </c>
      <c r="AF200" s="399">
        <v>3387.6043234217614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175.72667211983105</v>
      </c>
      <c r="AM200" s="399"/>
      <c r="AN200" s="399">
        <v>43.239878697696639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613.71780177863354</v>
      </c>
      <c r="BH200" s="399">
        <v>0</v>
      </c>
      <c r="BI200" s="399">
        <v>7.1</v>
      </c>
      <c r="BJ200" s="399">
        <v>35.18</v>
      </c>
      <c r="BK200" s="399">
        <v>3401.73</v>
      </c>
      <c r="BL200" s="399">
        <v>93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4001.322125200395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11467.487999999999</v>
      </c>
      <c r="CJ200" s="399">
        <v>-6977.3609199999973</v>
      </c>
      <c r="CK200" s="399"/>
      <c r="CL200" s="399"/>
      <c r="CM200" s="399"/>
      <c r="CN200" s="399"/>
      <c r="CO200" s="399">
        <v>-6978.5883200000007</v>
      </c>
      <c r="CP200" s="399">
        <v>0</v>
      </c>
      <c r="CQ200" s="399">
        <v>31</v>
      </c>
      <c r="CR200" s="399">
        <v>-300.8095331472523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-218.817621720646</v>
      </c>
      <c r="DA200" s="399">
        <v>0</v>
      </c>
      <c r="DB200" s="399">
        <v>0</v>
      </c>
      <c r="DC200" s="399">
        <v>0</v>
      </c>
      <c r="DD200" s="399">
        <v>0</v>
      </c>
      <c r="DE200" s="399">
        <v>0</v>
      </c>
      <c r="DF200" s="399">
        <v>0</v>
      </c>
      <c r="DG200" s="399">
        <v>0</v>
      </c>
      <c r="DH200" s="399">
        <v>0</v>
      </c>
      <c r="DI200" s="399">
        <v>-70.32511790734452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-9.4211277836298848</v>
      </c>
      <c r="DP200" s="399">
        <v>-2.2456657356312775</v>
      </c>
      <c r="DQ200" s="399">
        <v>0</v>
      </c>
      <c r="DR200" s="399">
        <v>0</v>
      </c>
      <c r="DS200" s="399"/>
      <c r="DT200" s="399"/>
      <c r="DU200" s="399"/>
      <c r="DV200" s="399">
        <v>10710.626295495947</v>
      </c>
      <c r="DW200" s="399">
        <v>0</v>
      </c>
      <c r="DX200" s="399">
        <v>0</v>
      </c>
      <c r="DY200" s="399">
        <v>-6978.5883199999998</v>
      </c>
      <c r="DZ200" s="399">
        <v>0</v>
      </c>
      <c r="EA200" s="399">
        <v>0</v>
      </c>
      <c r="EB200" s="399">
        <v>0</v>
      </c>
      <c r="EC200" s="399">
        <v>-6677.8282589080791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221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200</v>
      </c>
      <c r="B201" s="399" t="s">
        <v>956</v>
      </c>
      <c r="C201" s="399" t="s">
        <v>2328</v>
      </c>
      <c r="D201" s="399" t="s">
        <v>2339</v>
      </c>
      <c r="E201" s="399" t="s">
        <v>2340</v>
      </c>
      <c r="F201" s="399" t="s">
        <v>2341</v>
      </c>
      <c r="G201" s="399" t="s">
        <v>1239</v>
      </c>
      <c r="H201" s="399" t="s">
        <v>1239</v>
      </c>
      <c r="I201" s="399" t="s">
        <v>1239</v>
      </c>
      <c r="J201" s="399" t="s">
        <v>2326</v>
      </c>
      <c r="K201" s="786">
        <v>44562</v>
      </c>
      <c r="L201" s="399">
        <v>0</v>
      </c>
      <c r="M201" s="399">
        <v>0</v>
      </c>
      <c r="N201" s="399">
        <v>191.27699999999999</v>
      </c>
      <c r="O201" s="399">
        <v>191.27699999999999</v>
      </c>
      <c r="P201" s="399">
        <v>191.27699999999999</v>
      </c>
      <c r="Q201" s="399">
        <v>191.27699999999999</v>
      </c>
      <c r="R201" s="399"/>
      <c r="S201" s="399">
        <v>454.08</v>
      </c>
      <c r="T201" s="399">
        <v>102.16</v>
      </c>
      <c r="U201" s="399"/>
      <c r="V201" s="399">
        <v>106395.91847999999</v>
      </c>
      <c r="W201" s="399">
        <v>106395.91847999999</v>
      </c>
      <c r="X201" s="399">
        <v>66141.673829999985</v>
      </c>
      <c r="Y201" s="399">
        <v>0</v>
      </c>
      <c r="Z201" s="399">
        <v>6558.8579836094978</v>
      </c>
      <c r="AA201" s="399">
        <v>0</v>
      </c>
      <c r="AB201" s="399">
        <v>0</v>
      </c>
      <c r="AC201" s="399">
        <v>0</v>
      </c>
      <c r="AD201" s="399">
        <v>13711.201777132179</v>
      </c>
      <c r="AE201" s="399">
        <v>61782.161216030712</v>
      </c>
      <c r="AF201" s="399">
        <v>19540.735590203411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1013.6450742781938</v>
      </c>
      <c r="AM201" s="399"/>
      <c r="AN201" s="399">
        <v>249.42081657597595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3540.1115793368967</v>
      </c>
      <c r="BH201" s="399">
        <v>0</v>
      </c>
      <c r="BI201" s="399">
        <v>46.73</v>
      </c>
      <c r="BJ201" s="399">
        <v>215.2</v>
      </c>
      <c r="BK201" s="399">
        <v>31188.23</v>
      </c>
      <c r="BL201" s="399">
        <v>9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23080.847169540306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66142.711199999991</v>
      </c>
      <c r="CJ201" s="399">
        <v>-40253.237279999987</v>
      </c>
      <c r="CK201" s="399"/>
      <c r="CL201" s="399"/>
      <c r="CM201" s="399"/>
      <c r="CN201" s="399"/>
      <c r="CO201" s="399">
        <v>-40254.244649999993</v>
      </c>
      <c r="CP201" s="399">
        <v>0</v>
      </c>
      <c r="CQ201" s="399">
        <v>31</v>
      </c>
      <c r="CR201" s="399">
        <v>-1735.1611903440207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-1262.2068223721526</v>
      </c>
      <c r="DA201" s="399">
        <v>0</v>
      </c>
      <c r="DB201" s="399">
        <v>0</v>
      </c>
      <c r="DC201" s="399">
        <v>0</v>
      </c>
      <c r="DD201" s="399">
        <v>0</v>
      </c>
      <c r="DE201" s="399">
        <v>0</v>
      </c>
      <c r="DF201" s="399">
        <v>0</v>
      </c>
      <c r="DG201" s="399">
        <v>0</v>
      </c>
      <c r="DH201" s="399">
        <v>0</v>
      </c>
      <c r="DI201" s="399">
        <v>-405.6567423993738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-54.343940261440594</v>
      </c>
      <c r="DP201" s="399">
        <v>-12.953685311048872</v>
      </c>
      <c r="DQ201" s="399">
        <v>0</v>
      </c>
      <c r="DR201" s="399">
        <v>0</v>
      </c>
      <c r="DS201" s="399"/>
      <c r="DT201" s="399"/>
      <c r="DU201" s="399"/>
      <c r="DV201" s="399">
        <v>61782.161216030712</v>
      </c>
      <c r="DW201" s="399">
        <v>0</v>
      </c>
      <c r="DX201" s="399">
        <v>0</v>
      </c>
      <c r="DY201" s="399">
        <v>-40254.244650000001</v>
      </c>
      <c r="DZ201" s="399">
        <v>0</v>
      </c>
      <c r="EA201" s="399">
        <v>0</v>
      </c>
      <c r="EB201" s="399">
        <v>0</v>
      </c>
      <c r="EC201" s="399">
        <v>-38519.751383569426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221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201</v>
      </c>
      <c r="B202" s="399" t="s">
        <v>956</v>
      </c>
      <c r="C202" s="399" t="s">
        <v>2328</v>
      </c>
      <c r="D202" s="399" t="s">
        <v>2339</v>
      </c>
      <c r="E202" s="399" t="s">
        <v>2340</v>
      </c>
      <c r="F202" s="399" t="s">
        <v>2578</v>
      </c>
      <c r="G202" s="399" t="s">
        <v>1239</v>
      </c>
      <c r="H202" s="399" t="s">
        <v>1239</v>
      </c>
      <c r="I202" s="399" t="s">
        <v>1239</v>
      </c>
      <c r="J202" s="399" t="s">
        <v>2326</v>
      </c>
      <c r="K202" s="786">
        <v>44562</v>
      </c>
      <c r="L202" s="399">
        <v>0</v>
      </c>
      <c r="M202" s="399">
        <v>0</v>
      </c>
      <c r="N202" s="399">
        <v>130.57300000000001</v>
      </c>
      <c r="O202" s="399">
        <v>130.57300000000001</v>
      </c>
      <c r="P202" s="399">
        <v>130.57300000000001</v>
      </c>
      <c r="Q202" s="399">
        <v>130.57300000000001</v>
      </c>
      <c r="R202" s="399"/>
      <c r="S202" s="399">
        <v>495.36</v>
      </c>
      <c r="T202" s="399">
        <v>111.45</v>
      </c>
      <c r="U202" s="399"/>
      <c r="V202" s="399">
        <v>79233.002130000008</v>
      </c>
      <c r="W202" s="399">
        <v>79233.002130000008</v>
      </c>
      <c r="X202" s="399">
        <v>49256.052790000002</v>
      </c>
      <c r="Y202" s="399">
        <v>0</v>
      </c>
      <c r="Z202" s="399">
        <v>4884.3572229736856</v>
      </c>
      <c r="AA202" s="399">
        <v>0</v>
      </c>
      <c r="AB202" s="399">
        <v>0</v>
      </c>
      <c r="AC202" s="399">
        <v>0</v>
      </c>
      <c r="AD202" s="399">
        <v>10210.681128199969</v>
      </c>
      <c r="AE202" s="399">
        <v>46008.946395935782</v>
      </c>
      <c r="AF202" s="399">
        <v>14551.913345393645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754.85772865564263</v>
      </c>
      <c r="AM202" s="399"/>
      <c r="AN202" s="399">
        <v>185.74275735917328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2636.3079679232792</v>
      </c>
      <c r="BH202" s="399">
        <v>0</v>
      </c>
      <c r="BI202" s="399">
        <v>33.96</v>
      </c>
      <c r="BJ202" s="399">
        <v>156.38</v>
      </c>
      <c r="BK202" s="399">
        <v>22662.55</v>
      </c>
      <c r="BL202" s="399">
        <v>6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17188.221313316924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49254.921099999992</v>
      </c>
      <c r="CJ202" s="399">
        <v>-29978.111030000015</v>
      </c>
      <c r="CK202" s="399"/>
      <c r="CL202" s="399"/>
      <c r="CM202" s="399"/>
      <c r="CN202" s="399"/>
      <c r="CO202" s="399">
        <v>-29976.949340000006</v>
      </c>
      <c r="CP202" s="399">
        <v>0</v>
      </c>
      <c r="CQ202" s="399">
        <v>31</v>
      </c>
      <c r="CR202" s="399">
        <v>-1292.1681052188724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-939.96074090131333</v>
      </c>
      <c r="DA202" s="399">
        <v>0</v>
      </c>
      <c r="DB202" s="399">
        <v>0</v>
      </c>
      <c r="DC202" s="399">
        <v>0</v>
      </c>
      <c r="DD202" s="399">
        <v>0</v>
      </c>
      <c r="DE202" s="399">
        <v>0</v>
      </c>
      <c r="DF202" s="399">
        <v>0</v>
      </c>
      <c r="DG202" s="399">
        <v>0</v>
      </c>
      <c r="DH202" s="399">
        <v>0</v>
      </c>
      <c r="DI202" s="399">
        <v>-302.09107206434237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-40.469730828771276</v>
      </c>
      <c r="DP202" s="399">
        <v>-9.6465614244511926</v>
      </c>
      <c r="DQ202" s="399">
        <v>0</v>
      </c>
      <c r="DR202" s="399">
        <v>0</v>
      </c>
      <c r="DS202" s="399"/>
      <c r="DT202" s="399"/>
      <c r="DU202" s="399"/>
      <c r="DV202" s="399">
        <v>46008.946395935782</v>
      </c>
      <c r="DW202" s="399">
        <v>0</v>
      </c>
      <c r="DX202" s="399">
        <v>0</v>
      </c>
      <c r="DY202" s="399">
        <v>-29976.949340000006</v>
      </c>
      <c r="DZ202" s="399">
        <v>0</v>
      </c>
      <c r="EA202" s="399">
        <v>0</v>
      </c>
      <c r="EB202" s="399">
        <v>0</v>
      </c>
      <c r="EC202" s="399">
        <v>-28685.516040697668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221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202</v>
      </c>
      <c r="B203" s="399" t="s">
        <v>956</v>
      </c>
      <c r="C203" s="399" t="s">
        <v>2328</v>
      </c>
      <c r="D203" s="399" t="s">
        <v>1824</v>
      </c>
      <c r="E203" s="399" t="s">
        <v>921</v>
      </c>
      <c r="F203" s="399" t="s">
        <v>2327</v>
      </c>
      <c r="G203" s="399" t="s">
        <v>1239</v>
      </c>
      <c r="H203" s="399" t="s">
        <v>1239</v>
      </c>
      <c r="I203" s="399" t="s">
        <v>1239</v>
      </c>
      <c r="J203" s="399" t="s">
        <v>2326</v>
      </c>
      <c r="K203" s="786">
        <v>44562</v>
      </c>
      <c r="L203" s="399">
        <v>0</v>
      </c>
      <c r="M203" s="399">
        <v>0</v>
      </c>
      <c r="N203" s="399">
        <v>6.3129999999999997</v>
      </c>
      <c r="O203" s="399">
        <v>5.9342199999999998</v>
      </c>
      <c r="P203" s="399">
        <v>6.3129999999999997</v>
      </c>
      <c r="Q203" s="399">
        <v>5.9342199999999998</v>
      </c>
      <c r="R203" s="399"/>
      <c r="S203" s="399">
        <v>825.6</v>
      </c>
      <c r="T203" s="399">
        <v>185.74</v>
      </c>
      <c r="U203" s="399"/>
      <c r="V203" s="399">
        <v>6384.5894199999993</v>
      </c>
      <c r="W203" s="399">
        <v>6384.5894199999993</v>
      </c>
      <c r="X203" s="399">
        <v>3968.9830999999995</v>
      </c>
      <c r="Y203" s="399">
        <v>0</v>
      </c>
      <c r="Z203" s="399">
        <v>393.58503351423968</v>
      </c>
      <c r="AA203" s="399">
        <v>0</v>
      </c>
      <c r="AB203" s="399">
        <v>0</v>
      </c>
      <c r="AC203" s="399">
        <v>0</v>
      </c>
      <c r="AD203" s="399">
        <v>822.78406156359836</v>
      </c>
      <c r="AE203" s="399">
        <v>3707.4341377051164</v>
      </c>
      <c r="AF203" s="399">
        <v>1172.6036897555423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60.826981088523596</v>
      </c>
      <c r="AM203" s="399"/>
      <c r="AN203" s="399">
        <v>14.967285569610642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212.43560053890303</v>
      </c>
      <c r="BH203" s="399">
        <v>0</v>
      </c>
      <c r="BI203" s="399">
        <v>2.2999999999999998</v>
      </c>
      <c r="BJ203" s="399">
        <v>11.05</v>
      </c>
      <c r="BK203" s="399">
        <v>0</v>
      </c>
      <c r="BL203" s="399">
        <v>5</v>
      </c>
      <c r="BM203" s="399"/>
      <c r="BN203" s="399"/>
      <c r="BO203" s="399"/>
      <c r="BP203" s="399"/>
      <c r="BQ203" s="399">
        <v>238.13898599999993</v>
      </c>
      <c r="BR203" s="399"/>
      <c r="BS203" s="399"/>
      <c r="BT203" s="399"/>
      <c r="BU203" s="399"/>
      <c r="BV203" s="399">
        <v>1385.0392902944454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3728.1909999999998</v>
      </c>
      <c r="CJ203" s="399">
        <v>-2273.3530548000008</v>
      </c>
      <c r="CK203" s="399"/>
      <c r="CL203" s="399"/>
      <c r="CM203" s="399"/>
      <c r="CN203" s="399"/>
      <c r="CO203" s="399">
        <v>-2415.6063200000003</v>
      </c>
      <c r="CP203" s="399">
        <v>0</v>
      </c>
      <c r="CQ203" s="399">
        <v>31</v>
      </c>
      <c r="CR203" s="399">
        <v>-104.12383938801395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-75.742715534731815</v>
      </c>
      <c r="DA203" s="399">
        <v>0</v>
      </c>
      <c r="DB203" s="399">
        <v>0</v>
      </c>
      <c r="DC203" s="399">
        <v>0</v>
      </c>
      <c r="DD203" s="399">
        <v>0</v>
      </c>
      <c r="DE203" s="399">
        <v>0</v>
      </c>
      <c r="DF203" s="399">
        <v>0</v>
      </c>
      <c r="DG203" s="399">
        <v>0</v>
      </c>
      <c r="DH203" s="399">
        <v>0</v>
      </c>
      <c r="DI203" s="399">
        <v>-24.342716819227235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-3.261080145742703</v>
      </c>
      <c r="DP203" s="399">
        <v>-0.77732688831232899</v>
      </c>
      <c r="DQ203" s="399">
        <v>0</v>
      </c>
      <c r="DR203" s="399">
        <v>0</v>
      </c>
      <c r="DS203" s="399"/>
      <c r="DT203" s="399"/>
      <c r="DU203" s="399"/>
      <c r="DV203" s="399">
        <v>3707.4341377051164</v>
      </c>
      <c r="DW203" s="399">
        <v>0</v>
      </c>
      <c r="DX203" s="399">
        <v>0</v>
      </c>
      <c r="DY203" s="399">
        <v>-2415.6063199999999</v>
      </c>
      <c r="DZ203" s="399">
        <v>0</v>
      </c>
      <c r="EA203" s="399">
        <v>0</v>
      </c>
      <c r="EB203" s="399">
        <v>0</v>
      </c>
      <c r="EC203" s="399">
        <v>-2311.4996051368953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221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203</v>
      </c>
      <c r="B204" s="399" t="s">
        <v>956</v>
      </c>
      <c r="C204" s="399" t="s">
        <v>2328</v>
      </c>
      <c r="D204" s="399" t="s">
        <v>1824</v>
      </c>
      <c r="E204" s="399" t="s">
        <v>2579</v>
      </c>
      <c r="F204" s="399" t="s">
        <v>1239</v>
      </c>
      <c r="G204" s="399" t="s">
        <v>1239</v>
      </c>
      <c r="H204" s="399" t="s">
        <v>1239</v>
      </c>
      <c r="I204" s="399" t="s">
        <v>1239</v>
      </c>
      <c r="J204" s="399" t="s">
        <v>2326</v>
      </c>
      <c r="K204" s="786">
        <v>44562</v>
      </c>
      <c r="L204" s="399">
        <v>0</v>
      </c>
      <c r="M204" s="399">
        <v>0</v>
      </c>
      <c r="N204" s="399">
        <v>0.74099999999999999</v>
      </c>
      <c r="O204" s="399">
        <v>0.74099999999999999</v>
      </c>
      <c r="P204" s="399">
        <v>0.74099999999999999</v>
      </c>
      <c r="Q204" s="399">
        <v>0.74099999999999999</v>
      </c>
      <c r="R204" s="399"/>
      <c r="S204" s="399">
        <v>825.6</v>
      </c>
      <c r="T204" s="399">
        <v>185.74</v>
      </c>
      <c r="U204" s="399"/>
      <c r="V204" s="399">
        <v>749.40293999999994</v>
      </c>
      <c r="W204" s="399">
        <v>749.40293999999994</v>
      </c>
      <c r="X204" s="399">
        <v>465.86670000000004</v>
      </c>
      <c r="Y204" s="399">
        <v>0</v>
      </c>
      <c r="Z204" s="399">
        <v>46.197768071289659</v>
      </c>
      <c r="AA204" s="399">
        <v>0</v>
      </c>
      <c r="AB204" s="399">
        <v>0</v>
      </c>
      <c r="AC204" s="399">
        <v>0</v>
      </c>
      <c r="AD204" s="399">
        <v>96.575794332112523</v>
      </c>
      <c r="AE204" s="399">
        <v>435.16690892436105</v>
      </c>
      <c r="AF204" s="399">
        <v>137.63651736240405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7.1396789143982238</v>
      </c>
      <c r="AM204" s="399"/>
      <c r="AN204" s="399">
        <v>1.7568127050659728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24.935019800305266</v>
      </c>
      <c r="BH204" s="399">
        <v>0</v>
      </c>
      <c r="BI204" s="399">
        <v>0.28000000000000003</v>
      </c>
      <c r="BJ204" s="399">
        <v>1.47</v>
      </c>
      <c r="BK204" s="399">
        <v>190.92</v>
      </c>
      <c r="BL204" s="399">
        <v>4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162.57153716270932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465.23799999999994</v>
      </c>
      <c r="CJ204" s="399">
        <v>-284.19493999999997</v>
      </c>
      <c r="CK204" s="399"/>
      <c r="CL204" s="399"/>
      <c r="CM204" s="399"/>
      <c r="CN204" s="399"/>
      <c r="CO204" s="399">
        <v>-283.53624000000002</v>
      </c>
      <c r="CP204" s="399">
        <v>0</v>
      </c>
      <c r="CQ204" s="399">
        <v>31</v>
      </c>
      <c r="CR204" s="399">
        <v>-12.221727385794168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-8.8904407114266064</v>
      </c>
      <c r="DA204" s="399">
        <v>0</v>
      </c>
      <c r="DB204" s="399">
        <v>0</v>
      </c>
      <c r="DC204" s="399">
        <v>0</v>
      </c>
      <c r="DD204" s="399">
        <v>0</v>
      </c>
      <c r="DE204" s="399">
        <v>0</v>
      </c>
      <c r="DF204" s="399">
        <v>0</v>
      </c>
      <c r="DG204" s="399">
        <v>0</v>
      </c>
      <c r="DH204" s="399">
        <v>0</v>
      </c>
      <c r="DI204" s="399">
        <v>-2.8572712122679249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-0.38277528718443588</v>
      </c>
      <c r="DP204" s="399">
        <v>-9.1240174915164785E-2</v>
      </c>
      <c r="DQ204" s="399">
        <v>0</v>
      </c>
      <c r="DR204" s="399">
        <v>0</v>
      </c>
      <c r="DS204" s="399"/>
      <c r="DT204" s="399"/>
      <c r="DU204" s="399"/>
      <c r="DV204" s="399">
        <v>435.16690892436105</v>
      </c>
      <c r="DW204" s="399">
        <v>0</v>
      </c>
      <c r="DX204" s="399">
        <v>0</v>
      </c>
      <c r="DY204" s="399">
        <v>-283.53623999999996</v>
      </c>
      <c r="DZ204" s="399">
        <v>0</v>
      </c>
      <c r="EA204" s="399">
        <v>0</v>
      </c>
      <c r="EB204" s="399">
        <v>0</v>
      </c>
      <c r="EC204" s="399">
        <v>-271.31652263685089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221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204</v>
      </c>
      <c r="B205" s="399" t="s">
        <v>956</v>
      </c>
      <c r="C205" s="399" t="s">
        <v>2328</v>
      </c>
      <c r="D205" s="399" t="s">
        <v>1824</v>
      </c>
      <c r="E205" s="399" t="s">
        <v>921</v>
      </c>
      <c r="F205" s="399" t="s">
        <v>2580</v>
      </c>
      <c r="G205" s="399" t="s">
        <v>1239</v>
      </c>
      <c r="H205" s="399" t="s">
        <v>1239</v>
      </c>
      <c r="I205" s="399" t="s">
        <v>1239</v>
      </c>
      <c r="J205" s="399" t="s">
        <v>2326</v>
      </c>
      <c r="K205" s="786">
        <v>44562</v>
      </c>
      <c r="L205" s="399">
        <v>0</v>
      </c>
      <c r="M205" s="399">
        <v>0</v>
      </c>
      <c r="N205" s="399">
        <v>5.8999999999999997E-2</v>
      </c>
      <c r="O205" s="399">
        <v>5.8999999999999997E-2</v>
      </c>
      <c r="P205" s="399">
        <v>5.8999999999999997E-2</v>
      </c>
      <c r="Q205" s="399">
        <v>5.8999999999999997E-2</v>
      </c>
      <c r="R205" s="399"/>
      <c r="S205" s="399">
        <v>825.6</v>
      </c>
      <c r="T205" s="399">
        <v>185.74</v>
      </c>
      <c r="U205" s="399"/>
      <c r="V205" s="399">
        <v>59.669060000000002</v>
      </c>
      <c r="W205" s="399">
        <v>59.669060000000002</v>
      </c>
      <c r="X205" s="399">
        <v>37.093299999999999</v>
      </c>
      <c r="Y205" s="399">
        <v>0</v>
      </c>
      <c r="Z205" s="399">
        <v>3.6783647991985013</v>
      </c>
      <c r="AA205" s="399">
        <v>0</v>
      </c>
      <c r="AB205" s="399">
        <v>0</v>
      </c>
      <c r="AC205" s="399">
        <v>0</v>
      </c>
      <c r="AD205" s="399">
        <v>7.6895706688186758</v>
      </c>
      <c r="AE205" s="399">
        <v>34.648917174814173</v>
      </c>
      <c r="AF205" s="399">
        <v>10.958912988369553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0.56847645877124853</v>
      </c>
      <c r="AM205" s="399"/>
      <c r="AN205" s="399">
        <v>0.139881173547763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1.9853794442888133</v>
      </c>
      <c r="BH205" s="399">
        <v>0</v>
      </c>
      <c r="BI205" s="399">
        <v>0.02</v>
      </c>
      <c r="BJ205" s="399">
        <v>0.1</v>
      </c>
      <c r="BK205" s="399">
        <v>0</v>
      </c>
      <c r="BL205" s="399">
        <v>1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12.944292432658367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37.721999999999994</v>
      </c>
      <c r="CJ205" s="399">
        <v>-21.977060000000002</v>
      </c>
      <c r="CK205" s="399"/>
      <c r="CL205" s="399"/>
      <c r="CM205" s="399"/>
      <c r="CN205" s="399"/>
      <c r="CO205" s="399">
        <v>-22.575760000000002</v>
      </c>
      <c r="CP205" s="399">
        <v>0</v>
      </c>
      <c r="CQ205" s="399">
        <v>31</v>
      </c>
      <c r="CR205" s="399">
        <v>-0.973119994280502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-0.70787584611898779</v>
      </c>
      <c r="DA205" s="399">
        <v>0</v>
      </c>
      <c r="DB205" s="399">
        <v>0</v>
      </c>
      <c r="DC205" s="399">
        <v>0</v>
      </c>
      <c r="DD205" s="399">
        <v>0</v>
      </c>
      <c r="DE205" s="399">
        <v>0</v>
      </c>
      <c r="DF205" s="399">
        <v>0</v>
      </c>
      <c r="DG205" s="399">
        <v>0</v>
      </c>
      <c r="DH205" s="399">
        <v>0</v>
      </c>
      <c r="DI205" s="399">
        <v>-0.22750202634791794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-3.0477384539651431E-2</v>
      </c>
      <c r="DP205" s="399">
        <v>-7.2647372739469973E-3</v>
      </c>
      <c r="DQ205" s="399">
        <v>0</v>
      </c>
      <c r="DR205" s="399">
        <v>0</v>
      </c>
      <c r="DS205" s="399"/>
      <c r="DT205" s="399"/>
      <c r="DU205" s="399"/>
      <c r="DV205" s="399">
        <v>34.648917174814173</v>
      </c>
      <c r="DW205" s="399">
        <v>0</v>
      </c>
      <c r="DX205" s="399">
        <v>0</v>
      </c>
      <c r="DY205" s="399">
        <v>-22.575760000000002</v>
      </c>
      <c r="DZ205" s="399">
        <v>0</v>
      </c>
      <c r="EA205" s="399">
        <v>0</v>
      </c>
      <c r="EB205" s="399">
        <v>0</v>
      </c>
      <c r="EC205" s="399">
        <v>-21.602800048008369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221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205</v>
      </c>
      <c r="B206" s="399" t="s">
        <v>956</v>
      </c>
      <c r="C206" s="399" t="s">
        <v>2328</v>
      </c>
      <c r="D206" s="399" t="s">
        <v>1821</v>
      </c>
      <c r="E206" s="399" t="s">
        <v>889</v>
      </c>
      <c r="F206" s="399" t="s">
        <v>889</v>
      </c>
      <c r="G206" s="399" t="s">
        <v>1239</v>
      </c>
      <c r="H206" s="399" t="s">
        <v>1239</v>
      </c>
      <c r="I206" s="399" t="s">
        <v>1239</v>
      </c>
      <c r="J206" s="399" t="s">
        <v>2326</v>
      </c>
      <c r="K206" s="786">
        <v>44593</v>
      </c>
      <c r="L206" s="399">
        <v>0</v>
      </c>
      <c r="M206" s="399">
        <v>0</v>
      </c>
      <c r="N206" s="399">
        <v>1589.87</v>
      </c>
      <c r="O206" s="399">
        <v>1589.87</v>
      </c>
      <c r="P206" s="399">
        <v>1589.87</v>
      </c>
      <c r="Q206" s="399">
        <v>1589.87</v>
      </c>
      <c r="R206" s="399"/>
      <c r="S206" s="399">
        <v>825.6</v>
      </c>
      <c r="T206" s="399">
        <v>185.74</v>
      </c>
      <c r="U206" s="399"/>
      <c r="V206" s="399">
        <v>1607899.1258</v>
      </c>
      <c r="W206" s="399">
        <v>1607899.1258</v>
      </c>
      <c r="X206" s="399">
        <v>999551.26899999997</v>
      </c>
      <c r="Y206" s="399">
        <v>0</v>
      </c>
      <c r="Z206" s="399">
        <v>99120.709208503758</v>
      </c>
      <c r="AA206" s="399">
        <v>0</v>
      </c>
      <c r="AB206" s="399">
        <v>0</v>
      </c>
      <c r="AC206" s="399">
        <v>0</v>
      </c>
      <c r="AD206" s="399">
        <v>207210.46981753811</v>
      </c>
      <c r="AE206" s="399">
        <v>933682.60930036963</v>
      </c>
      <c r="AF206" s="399">
        <v>295309.27106473054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15318.706228926185</v>
      </c>
      <c r="AM206" s="399"/>
      <c r="AN206" s="399">
        <v>3769.370870989525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53499.918933753484</v>
      </c>
      <c r="BH206" s="399">
        <v>0</v>
      </c>
      <c r="BI206" s="399">
        <v>577.1</v>
      </c>
      <c r="BJ206" s="399">
        <v>2584.37</v>
      </c>
      <c r="BK206" s="399">
        <v>276952.49</v>
      </c>
      <c r="BL206" s="399">
        <v>8178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348809.18999848404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999551.26899999997</v>
      </c>
      <c r="CJ206" s="399">
        <v>-608347.88680000009</v>
      </c>
      <c r="CK206" s="399"/>
      <c r="CL206" s="399"/>
      <c r="CM206" s="399"/>
      <c r="CN206" s="399"/>
      <c r="CO206" s="399">
        <v>-608347.85680000007</v>
      </c>
      <c r="CP206" s="399">
        <v>0</v>
      </c>
      <c r="CQ206" s="399">
        <v>29</v>
      </c>
      <c r="CR206" s="399">
        <v>-26222.615005199099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-19075.094431681297</v>
      </c>
      <c r="DA206" s="399">
        <v>0</v>
      </c>
      <c r="DB206" s="399">
        <v>0</v>
      </c>
      <c r="DC206" s="399">
        <v>0</v>
      </c>
      <c r="DD206" s="399">
        <v>0</v>
      </c>
      <c r="DE206" s="399">
        <v>0</v>
      </c>
      <c r="DF206" s="399">
        <v>0</v>
      </c>
      <c r="DG206" s="399">
        <v>0</v>
      </c>
      <c r="DH206" s="399">
        <v>0</v>
      </c>
      <c r="DI206" s="399">
        <v>-6130.485536097709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-821.27253149246826</v>
      </c>
      <c r="DP206" s="399">
        <v>-195.76250592762926</v>
      </c>
      <c r="DQ206" s="399">
        <v>0</v>
      </c>
      <c r="DR206" s="399">
        <v>0</v>
      </c>
      <c r="DS206" s="399"/>
      <c r="DT206" s="399"/>
      <c r="DU206" s="399"/>
      <c r="DV206" s="399">
        <v>933682.60930036963</v>
      </c>
      <c r="DW206" s="399">
        <v>0</v>
      </c>
      <c r="DX206" s="399">
        <v>0</v>
      </c>
      <c r="DY206" s="399">
        <v>-608347.85680000007</v>
      </c>
      <c r="DZ206" s="399">
        <v>0</v>
      </c>
      <c r="EA206" s="399">
        <v>0</v>
      </c>
      <c r="EB206" s="399">
        <v>0</v>
      </c>
      <c r="EC206" s="399">
        <v>-582129.55444622145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221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206</v>
      </c>
      <c r="B207" s="399" t="s">
        <v>2329</v>
      </c>
      <c r="C207" s="399" t="s">
        <v>2328</v>
      </c>
      <c r="D207" s="399" t="s">
        <v>1821</v>
      </c>
      <c r="E207" s="399" t="s">
        <v>889</v>
      </c>
      <c r="F207" s="399" t="s">
        <v>889</v>
      </c>
      <c r="G207" s="399" t="s">
        <v>1239</v>
      </c>
      <c r="H207" s="399" t="s">
        <v>1239</v>
      </c>
      <c r="I207" s="399" t="s">
        <v>1239</v>
      </c>
      <c r="J207" s="399" t="s">
        <v>2326</v>
      </c>
      <c r="K207" s="786">
        <v>44593</v>
      </c>
      <c r="L207" s="399">
        <v>0</v>
      </c>
      <c r="M207" s="399">
        <v>0</v>
      </c>
      <c r="N207" s="399">
        <v>-21.033999999999999</v>
      </c>
      <c r="O207" s="399">
        <v>-21.033999999999999</v>
      </c>
      <c r="P207" s="399">
        <v>-21.033999999999999</v>
      </c>
      <c r="Q207" s="399">
        <v>-21.033999999999999</v>
      </c>
      <c r="R207" s="399"/>
      <c r="S207" s="399">
        <v>825.6</v>
      </c>
      <c r="T207" s="399">
        <v>185.74</v>
      </c>
      <c r="U207" s="399"/>
      <c r="V207" s="399">
        <v>-21272.525559999998</v>
      </c>
      <c r="W207" s="399">
        <v>-21272.525559999998</v>
      </c>
      <c r="X207" s="399">
        <v>-13224.075799999999</v>
      </c>
      <c r="Y207" s="399">
        <v>0</v>
      </c>
      <c r="Z207" s="399">
        <v>-1311.3682234973098</v>
      </c>
      <c r="AA207" s="399">
        <v>0</v>
      </c>
      <c r="AB207" s="399">
        <v>0</v>
      </c>
      <c r="AC207" s="399">
        <v>0</v>
      </c>
      <c r="AD207" s="399">
        <v>-2741.3971092869838</v>
      </c>
      <c r="AE207" s="399">
        <v>-12352.632607712563</v>
      </c>
      <c r="AF207" s="399">
        <v>-3906.9453524977148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-202.66667514905834</v>
      </c>
      <c r="AM207" s="399"/>
      <c r="AN207" s="399">
        <v>-49.868823803451647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-707.80459713848984</v>
      </c>
      <c r="BH207" s="399">
        <v>0</v>
      </c>
      <c r="BI207" s="399">
        <v>-8.9499999999999993</v>
      </c>
      <c r="BJ207" s="399">
        <v>-40.74</v>
      </c>
      <c r="BK207" s="399">
        <v>-5412.12</v>
      </c>
      <c r="BL207" s="399">
        <v>0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-4614.7499496362043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-13221.561000000002</v>
      </c>
      <c r="CJ207" s="399">
        <v>8050.9345600000015</v>
      </c>
      <c r="CK207" s="399"/>
      <c r="CL207" s="399"/>
      <c r="CM207" s="399"/>
      <c r="CN207" s="399"/>
      <c r="CO207" s="399">
        <v>8048.4497600000004</v>
      </c>
      <c r="CP207" s="399">
        <v>0</v>
      </c>
      <c r="CQ207" s="399">
        <v>29</v>
      </c>
      <c r="CR207" s="399">
        <v>346.92552474061085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252.36373808926783</v>
      </c>
      <c r="DA207" s="399">
        <v>0</v>
      </c>
      <c r="DB207" s="399">
        <v>0</v>
      </c>
      <c r="DC207" s="399">
        <v>0</v>
      </c>
      <c r="DD207" s="399">
        <v>0</v>
      </c>
      <c r="DE207" s="399">
        <v>0</v>
      </c>
      <c r="DF207" s="399">
        <v>0</v>
      </c>
      <c r="DG207" s="399">
        <v>0</v>
      </c>
      <c r="DH207" s="399">
        <v>0</v>
      </c>
      <c r="DI207" s="399">
        <v>81.106400376306965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10.865445871305582</v>
      </c>
      <c r="DP207" s="399">
        <v>2.5899404037322284</v>
      </c>
      <c r="DQ207" s="399">
        <v>0</v>
      </c>
      <c r="DR207" s="399">
        <v>0</v>
      </c>
      <c r="DS207" s="399"/>
      <c r="DT207" s="399"/>
      <c r="DU207" s="399"/>
      <c r="DV207" s="399">
        <v>-12352.632607712563</v>
      </c>
      <c r="DW207" s="399">
        <v>0</v>
      </c>
      <c r="DX207" s="399">
        <v>0</v>
      </c>
      <c r="DY207" s="399">
        <v>8048.4497599999995</v>
      </c>
      <c r="DZ207" s="399">
        <v>0</v>
      </c>
      <c r="EA207" s="399">
        <v>0</v>
      </c>
      <c r="EB207" s="399">
        <v>0</v>
      </c>
      <c r="EC207" s="399">
        <v>7701.5812916916602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221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207</v>
      </c>
      <c r="B208" s="399" t="s">
        <v>2330</v>
      </c>
      <c r="C208" s="399" t="s">
        <v>2328</v>
      </c>
      <c r="D208" s="399" t="s">
        <v>1821</v>
      </c>
      <c r="E208" s="399" t="s">
        <v>889</v>
      </c>
      <c r="F208" s="399" t="s">
        <v>889</v>
      </c>
      <c r="G208" s="399" t="s">
        <v>1239</v>
      </c>
      <c r="H208" s="399" t="s">
        <v>1239</v>
      </c>
      <c r="I208" s="399" t="s">
        <v>1239</v>
      </c>
      <c r="J208" s="399" t="s">
        <v>2326</v>
      </c>
      <c r="K208" s="786">
        <v>44593</v>
      </c>
      <c r="L208" s="399">
        <v>0</v>
      </c>
      <c r="M208" s="399">
        <v>0</v>
      </c>
      <c r="N208" s="399">
        <v>9.125</v>
      </c>
      <c r="O208" s="399">
        <v>9.125</v>
      </c>
      <c r="P208" s="399">
        <v>9.125</v>
      </c>
      <c r="Q208" s="399">
        <v>9.125</v>
      </c>
      <c r="R208" s="399"/>
      <c r="S208" s="399">
        <v>825.6</v>
      </c>
      <c r="T208" s="399">
        <v>185.74</v>
      </c>
      <c r="U208" s="399"/>
      <c r="V208" s="399">
        <v>9228.4775000000009</v>
      </c>
      <c r="W208" s="399">
        <v>9228.4775000000009</v>
      </c>
      <c r="X208" s="399">
        <v>5736.8874999999998</v>
      </c>
      <c r="Y208" s="399">
        <v>0</v>
      </c>
      <c r="Z208" s="399">
        <v>568.8996405540056</v>
      </c>
      <c r="AA208" s="399">
        <v>0</v>
      </c>
      <c r="AB208" s="399">
        <v>0</v>
      </c>
      <c r="AC208" s="399">
        <v>0</v>
      </c>
      <c r="AD208" s="399">
        <v>1189.2768195418716</v>
      </c>
      <c r="AE208" s="399">
        <v>5358.8367664437174</v>
      </c>
      <c r="AF208" s="399">
        <v>1694.9166274385116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87.921147225214298</v>
      </c>
      <c r="AM208" s="399"/>
      <c r="AN208" s="399">
        <v>21.634164552937925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307.0608038836512</v>
      </c>
      <c r="BH208" s="399">
        <v>0</v>
      </c>
      <c r="BI208" s="399">
        <v>2.57</v>
      </c>
      <c r="BJ208" s="399">
        <v>12.1</v>
      </c>
      <c r="BK208" s="399">
        <v>6162.95</v>
      </c>
      <c r="BL208" s="399">
        <v>69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2001.9774313221628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5740.0309999999999</v>
      </c>
      <c r="CJ208" s="399">
        <v>-3488.4765000000016</v>
      </c>
      <c r="CK208" s="399"/>
      <c r="CL208" s="399"/>
      <c r="CM208" s="399"/>
      <c r="CN208" s="399"/>
      <c r="CO208" s="399">
        <v>-3491.5900000000006</v>
      </c>
      <c r="CP208" s="399">
        <v>0</v>
      </c>
      <c r="CQ208" s="399">
        <v>29</v>
      </c>
      <c r="CR208" s="399">
        <v>-150.50372792897633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-109.48079823450462</v>
      </c>
      <c r="DA208" s="399">
        <v>0</v>
      </c>
      <c r="DB208" s="399">
        <v>0</v>
      </c>
      <c r="DC208" s="399">
        <v>0</v>
      </c>
      <c r="DD208" s="399">
        <v>0</v>
      </c>
      <c r="DE208" s="399">
        <v>0</v>
      </c>
      <c r="DF208" s="399">
        <v>0</v>
      </c>
      <c r="DG208" s="399">
        <v>0</v>
      </c>
      <c r="DH208" s="399">
        <v>0</v>
      </c>
      <c r="DI208" s="399">
        <v>-35.185694752961922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-4.7136632868528778</v>
      </c>
      <c r="DP208" s="399">
        <v>-1.1235716546570593</v>
      </c>
      <c r="DQ208" s="399">
        <v>0</v>
      </c>
      <c r="DR208" s="399">
        <v>0</v>
      </c>
      <c r="DS208" s="399"/>
      <c r="DT208" s="399"/>
      <c r="DU208" s="399"/>
      <c r="DV208" s="399">
        <v>5358.8367664437174</v>
      </c>
      <c r="DW208" s="399">
        <v>0</v>
      </c>
      <c r="DX208" s="399">
        <v>0</v>
      </c>
      <c r="DY208" s="399">
        <v>-3491.5900000000006</v>
      </c>
      <c r="DZ208" s="399">
        <v>0</v>
      </c>
      <c r="EA208" s="399">
        <v>0</v>
      </c>
      <c r="EB208" s="399">
        <v>0</v>
      </c>
      <c r="EC208" s="399">
        <v>-3341.1110243741755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221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208</v>
      </c>
      <c r="B209" s="399" t="s">
        <v>2330</v>
      </c>
      <c r="C209" s="399" t="s">
        <v>2328</v>
      </c>
      <c r="D209" s="399" t="s">
        <v>1821</v>
      </c>
      <c r="E209" s="399" t="s">
        <v>889</v>
      </c>
      <c r="F209" s="399" t="s">
        <v>889</v>
      </c>
      <c r="G209" s="399" t="s">
        <v>1239</v>
      </c>
      <c r="H209" s="399" t="s">
        <v>1239</v>
      </c>
      <c r="I209" s="399" t="s">
        <v>1239</v>
      </c>
      <c r="J209" s="399" t="s">
        <v>2326</v>
      </c>
      <c r="K209" s="786">
        <v>44593</v>
      </c>
      <c r="L209" s="399">
        <v>0</v>
      </c>
      <c r="M209" s="399">
        <v>0</v>
      </c>
      <c r="N209" s="399">
        <v>15.984</v>
      </c>
      <c r="O209" s="399">
        <v>15.984</v>
      </c>
      <c r="P209" s="399">
        <v>15.984</v>
      </c>
      <c r="Q209" s="399">
        <v>15.984</v>
      </c>
      <c r="R209" s="399"/>
      <c r="S209" s="399">
        <v>825.6</v>
      </c>
      <c r="T209" s="399">
        <v>185.74</v>
      </c>
      <c r="U209" s="399"/>
      <c r="V209" s="399">
        <v>16165.25856</v>
      </c>
      <c r="W209" s="399">
        <v>16165.25856</v>
      </c>
      <c r="X209" s="399">
        <v>10049.140799999999</v>
      </c>
      <c r="Y209" s="399">
        <v>0</v>
      </c>
      <c r="Z209" s="399">
        <v>996.52513475235344</v>
      </c>
      <c r="AA209" s="399">
        <v>0</v>
      </c>
      <c r="AB209" s="399">
        <v>0</v>
      </c>
      <c r="AC209" s="399">
        <v>0</v>
      </c>
      <c r="AD209" s="399">
        <v>2083.2219927186056</v>
      </c>
      <c r="AE209" s="399">
        <v>9386.9202054615216</v>
      </c>
      <c r="AF209" s="399">
        <v>2968.9366984084568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154.00894435592608</v>
      </c>
      <c r="AM209" s="399"/>
      <c r="AN209" s="399">
        <v>37.895943694702446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537.86957690698966</v>
      </c>
      <c r="BH209" s="399">
        <v>0</v>
      </c>
      <c r="BI209" s="399">
        <v>6.17</v>
      </c>
      <c r="BJ209" s="399">
        <v>25.94</v>
      </c>
      <c r="BK209" s="399">
        <v>4094.15</v>
      </c>
      <c r="BL209" s="399">
        <v>1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3506.8062753154463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10046.626</v>
      </c>
      <c r="CJ209" s="399">
        <v>-6118.6625600000007</v>
      </c>
      <c r="CK209" s="399"/>
      <c r="CL209" s="399"/>
      <c r="CM209" s="399"/>
      <c r="CN209" s="399"/>
      <c r="CO209" s="399">
        <v>-6116.117760000001</v>
      </c>
      <c r="CP209" s="399">
        <v>0</v>
      </c>
      <c r="CQ209" s="399">
        <v>29</v>
      </c>
      <c r="CR209" s="399">
        <v>-263.6330506538925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-191.77436481976133</v>
      </c>
      <c r="DA209" s="399">
        <v>0</v>
      </c>
      <c r="DB209" s="399">
        <v>0</v>
      </c>
      <c r="DC209" s="399">
        <v>0</v>
      </c>
      <c r="DD209" s="399">
        <v>0</v>
      </c>
      <c r="DE209" s="399">
        <v>0</v>
      </c>
      <c r="DF209" s="399">
        <v>0</v>
      </c>
      <c r="DG209" s="399">
        <v>0</v>
      </c>
      <c r="DH209" s="399">
        <v>0</v>
      </c>
      <c r="DI209" s="399">
        <v>-61.633769307544526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-8.2567883810473006</v>
      </c>
      <c r="DP209" s="399">
        <v>-1.9681281455384578</v>
      </c>
      <c r="DQ209" s="399">
        <v>0</v>
      </c>
      <c r="DR209" s="399">
        <v>0</v>
      </c>
      <c r="DS209" s="399"/>
      <c r="DT209" s="399"/>
      <c r="DU209" s="399"/>
      <c r="DV209" s="399">
        <v>9386.9202054615216</v>
      </c>
      <c r="DW209" s="399">
        <v>0</v>
      </c>
      <c r="DX209" s="399">
        <v>0</v>
      </c>
      <c r="DY209" s="399">
        <v>-6116.117760000001</v>
      </c>
      <c r="DZ209" s="399">
        <v>0</v>
      </c>
      <c r="EA209" s="399">
        <v>0</v>
      </c>
      <c r="EB209" s="399">
        <v>0</v>
      </c>
      <c r="EC209" s="399">
        <v>-5852.5280672434874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221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209</v>
      </c>
      <c r="B210" s="399" t="s">
        <v>956</v>
      </c>
      <c r="C210" s="399" t="s">
        <v>2328</v>
      </c>
      <c r="D210" s="399" t="s">
        <v>1821</v>
      </c>
      <c r="E210" s="399" t="s">
        <v>889</v>
      </c>
      <c r="F210" s="399" t="s">
        <v>2331</v>
      </c>
      <c r="G210" s="399" t="s">
        <v>1239</v>
      </c>
      <c r="H210" s="399" t="s">
        <v>1239</v>
      </c>
      <c r="I210" s="399" t="s">
        <v>1239</v>
      </c>
      <c r="J210" s="399" t="s">
        <v>2326</v>
      </c>
      <c r="K210" s="786">
        <v>44593</v>
      </c>
      <c r="L210" s="399">
        <v>0</v>
      </c>
      <c r="M210" s="399">
        <v>0</v>
      </c>
      <c r="N210" s="399">
        <v>5.7750000000000004</v>
      </c>
      <c r="O210" s="399">
        <v>5.7750000000000004</v>
      </c>
      <c r="P210" s="399">
        <v>5.7750000000000004</v>
      </c>
      <c r="Q210" s="399">
        <v>5.7750000000000004</v>
      </c>
      <c r="R210" s="399"/>
      <c r="S210" s="399">
        <v>753.62</v>
      </c>
      <c r="T210" s="399">
        <v>185.74</v>
      </c>
      <c r="U210" s="399"/>
      <c r="V210" s="399">
        <v>5424.8040000000001</v>
      </c>
      <c r="W210" s="399">
        <v>5424.8040000000001</v>
      </c>
      <c r="X210" s="399">
        <v>3240.29475</v>
      </c>
      <c r="Y210" s="399">
        <v>0</v>
      </c>
      <c r="Z210" s="399">
        <v>0</v>
      </c>
      <c r="AA210" s="399">
        <v>0</v>
      </c>
      <c r="AB210" s="399">
        <v>0</v>
      </c>
      <c r="AC210" s="399">
        <v>0</v>
      </c>
      <c r="AD210" s="399">
        <v>752.6656036004722</v>
      </c>
      <c r="AE210" s="399">
        <v>3391.4829946534214</v>
      </c>
      <c r="AF210" s="399">
        <v>1072.6732628446471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0</v>
      </c>
      <c r="AM210" s="399"/>
      <c r="AN210" s="399">
        <v>13.691758936242907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194.33163204691351</v>
      </c>
      <c r="BH210" s="399">
        <v>0</v>
      </c>
      <c r="BI210" s="399">
        <v>0</v>
      </c>
      <c r="BJ210" s="399">
        <v>1.92</v>
      </c>
      <c r="BK210" s="399">
        <v>154</v>
      </c>
      <c r="BL210" s="399">
        <v>9</v>
      </c>
      <c r="BM210" s="399"/>
      <c r="BN210" s="399"/>
      <c r="BO210" s="399"/>
      <c r="BP210" s="399"/>
      <c r="BQ210" s="399"/>
      <c r="BR210" s="399"/>
      <c r="BS210" s="399"/>
      <c r="BT210" s="399">
        <v>2106.2002500000003</v>
      </c>
      <c r="BU210" s="399"/>
      <c r="BV210" s="399">
        <v>1267.0048948915605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1135.0764000000001</v>
      </c>
      <c r="CJ210" s="399">
        <v>-763.65809999999965</v>
      </c>
      <c r="CK210" s="399"/>
      <c r="CL210" s="399"/>
      <c r="CM210" s="399"/>
      <c r="CN210" s="399"/>
      <c r="CO210" s="399">
        <v>-2184.5092500000001</v>
      </c>
      <c r="CP210" s="399">
        <v>0</v>
      </c>
      <c r="CQ210" s="399">
        <v>29</v>
      </c>
      <c r="CR210" s="399">
        <v>-69.998929984647475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-69.287847649782293</v>
      </c>
      <c r="DA210" s="399">
        <v>0</v>
      </c>
      <c r="DB210" s="399">
        <v>0</v>
      </c>
      <c r="DC210" s="399">
        <v>0</v>
      </c>
      <c r="DD210" s="399">
        <v>0</v>
      </c>
      <c r="DE210" s="399">
        <v>0</v>
      </c>
      <c r="DF210" s="399">
        <v>0</v>
      </c>
      <c r="DG210" s="399">
        <v>0</v>
      </c>
      <c r="DH210" s="399">
        <v>0</v>
      </c>
      <c r="DI210" s="399">
        <v>0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0</v>
      </c>
      <c r="DP210" s="399">
        <v>-0.71108233486515182</v>
      </c>
      <c r="DQ210" s="399">
        <v>0</v>
      </c>
      <c r="DR210" s="399">
        <v>0</v>
      </c>
      <c r="DS210" s="399"/>
      <c r="DT210" s="399"/>
      <c r="DU210" s="399"/>
      <c r="DV210" s="399">
        <v>3391.4829946534214</v>
      </c>
      <c r="DW210" s="399">
        <v>0</v>
      </c>
      <c r="DX210" s="399">
        <v>0</v>
      </c>
      <c r="DY210" s="399">
        <v>-2184.5092499999996</v>
      </c>
      <c r="DZ210" s="399">
        <v>0</v>
      </c>
      <c r="EA210" s="399">
        <v>0</v>
      </c>
      <c r="EB210" s="399">
        <v>0</v>
      </c>
      <c r="EC210" s="399">
        <v>-2114.511360631328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221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210</v>
      </c>
      <c r="B211" s="399" t="s">
        <v>2330</v>
      </c>
      <c r="C211" s="399" t="s">
        <v>2328</v>
      </c>
      <c r="D211" s="399" t="s">
        <v>1821</v>
      </c>
      <c r="E211" s="399" t="s">
        <v>889</v>
      </c>
      <c r="F211" s="399" t="s">
        <v>2331</v>
      </c>
      <c r="G211" s="399" t="s">
        <v>1239</v>
      </c>
      <c r="H211" s="399" t="s">
        <v>1239</v>
      </c>
      <c r="I211" s="399" t="s">
        <v>1239</v>
      </c>
      <c r="J211" s="399" t="s">
        <v>2326</v>
      </c>
      <c r="K211" s="786">
        <v>44593</v>
      </c>
      <c r="L211" s="399">
        <v>0</v>
      </c>
      <c r="M211" s="399">
        <v>0</v>
      </c>
      <c r="N211" s="399">
        <v>0.03</v>
      </c>
      <c r="O211" s="399">
        <v>1.0500000000000001E-2</v>
      </c>
      <c r="P211" s="399">
        <v>0.03</v>
      </c>
      <c r="Q211" s="399">
        <v>1.0500000000000001E-2</v>
      </c>
      <c r="R211" s="399"/>
      <c r="S211" s="399">
        <v>753.62</v>
      </c>
      <c r="T211" s="399">
        <v>185.74</v>
      </c>
      <c r="U211" s="399"/>
      <c r="V211" s="399">
        <v>28.180799999999998</v>
      </c>
      <c r="W211" s="399">
        <v>28.180799999999998</v>
      </c>
      <c r="X211" s="399">
        <v>16.832700000000003</v>
      </c>
      <c r="Y211" s="399">
        <v>0</v>
      </c>
      <c r="Z211" s="399">
        <v>0</v>
      </c>
      <c r="AA211" s="399">
        <v>0</v>
      </c>
      <c r="AB211" s="399">
        <v>0</v>
      </c>
      <c r="AC211" s="399">
        <v>0</v>
      </c>
      <c r="AD211" s="399">
        <v>3.90995118753492</v>
      </c>
      <c r="AE211" s="399">
        <v>17.618093478719071</v>
      </c>
      <c r="AF211" s="399">
        <v>5.5723286381540102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0</v>
      </c>
      <c r="AM211" s="399"/>
      <c r="AN211" s="399">
        <v>7.1126020448015095E-2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1.009514971672278</v>
      </c>
      <c r="BH211" s="399">
        <v>0</v>
      </c>
      <c r="BI211" s="399">
        <v>0</v>
      </c>
      <c r="BJ211" s="399">
        <v>0.01</v>
      </c>
      <c r="BK211" s="399">
        <v>0.8</v>
      </c>
      <c r="BL211" s="399">
        <v>0</v>
      </c>
      <c r="BM211" s="399"/>
      <c r="BN211" s="399"/>
      <c r="BO211" s="399"/>
      <c r="BP211" s="399"/>
      <c r="BQ211" s="399"/>
      <c r="BR211" s="399"/>
      <c r="BS211" s="399"/>
      <c r="BT211" s="399">
        <v>14.770709999999999</v>
      </c>
      <c r="BU211" s="399"/>
      <c r="BV211" s="399">
        <v>6.5818436098262882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1.9638</v>
      </c>
      <c r="CJ211" s="399">
        <v>-1.5183899999999997</v>
      </c>
      <c r="CK211" s="399"/>
      <c r="CL211" s="399"/>
      <c r="CM211" s="399"/>
      <c r="CN211" s="399"/>
      <c r="CO211" s="399">
        <v>-11.348099999999999</v>
      </c>
      <c r="CP211" s="399">
        <v>0</v>
      </c>
      <c r="CQ211" s="399">
        <v>29</v>
      </c>
      <c r="CR211" s="399">
        <v>-0.36363080511505075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-0.35993687090796023</v>
      </c>
      <c r="DA211" s="399">
        <v>0</v>
      </c>
      <c r="DB211" s="399">
        <v>0</v>
      </c>
      <c r="DC211" s="399">
        <v>0</v>
      </c>
      <c r="DD211" s="399">
        <v>0</v>
      </c>
      <c r="DE211" s="399">
        <v>0</v>
      </c>
      <c r="DF211" s="399">
        <v>0</v>
      </c>
      <c r="DG211" s="399">
        <v>0</v>
      </c>
      <c r="DH211" s="399">
        <v>0</v>
      </c>
      <c r="DI211" s="399">
        <v>0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0</v>
      </c>
      <c r="DP211" s="399">
        <v>-3.6939342070917008E-3</v>
      </c>
      <c r="DQ211" s="399">
        <v>0</v>
      </c>
      <c r="DR211" s="399">
        <v>0</v>
      </c>
      <c r="DS211" s="399"/>
      <c r="DT211" s="399"/>
      <c r="DU211" s="399"/>
      <c r="DV211" s="399">
        <v>17.618093478719071</v>
      </c>
      <c r="DW211" s="399">
        <v>0</v>
      </c>
      <c r="DX211" s="399">
        <v>0</v>
      </c>
      <c r="DY211" s="399">
        <v>-11.348099999999999</v>
      </c>
      <c r="DZ211" s="399">
        <v>0</v>
      </c>
      <c r="EA211" s="399">
        <v>0</v>
      </c>
      <c r="EB211" s="399">
        <v>0</v>
      </c>
      <c r="EC211" s="399">
        <v>-10.984474600682223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221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211</v>
      </c>
      <c r="B212" s="399" t="s">
        <v>956</v>
      </c>
      <c r="C212" s="399" t="s">
        <v>2328</v>
      </c>
      <c r="D212" s="399" t="s">
        <v>1821</v>
      </c>
      <c r="E212" s="399" t="s">
        <v>889</v>
      </c>
      <c r="F212" s="399" t="s">
        <v>2332</v>
      </c>
      <c r="G212" s="399" t="s">
        <v>1239</v>
      </c>
      <c r="H212" s="399" t="s">
        <v>1239</v>
      </c>
      <c r="I212" s="399" t="s">
        <v>1239</v>
      </c>
      <c r="J212" s="399" t="s">
        <v>2326</v>
      </c>
      <c r="K212" s="786">
        <v>44593</v>
      </c>
      <c r="L212" s="399">
        <v>0</v>
      </c>
      <c r="M212" s="399">
        <v>0</v>
      </c>
      <c r="N212" s="399">
        <v>12.778</v>
      </c>
      <c r="O212" s="399">
        <v>12.778</v>
      </c>
      <c r="P212" s="399">
        <v>12.778</v>
      </c>
      <c r="Q212" s="399">
        <v>12.778</v>
      </c>
      <c r="R212" s="399"/>
      <c r="S212" s="399">
        <v>753.62</v>
      </c>
      <c r="T212" s="399">
        <v>185.74</v>
      </c>
      <c r="U212" s="399"/>
      <c r="V212" s="399">
        <v>12003.142080000001</v>
      </c>
      <c r="W212" s="399">
        <v>12003.142080000001</v>
      </c>
      <c r="X212" s="399">
        <v>7169.6080200000006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1665.3785424773737</v>
      </c>
      <c r="AE212" s="399">
        <v>7504.1332823690764</v>
      </c>
      <c r="AF212" s="399">
        <v>2373.4405112777317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30.294942976157898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429.98607693427897</v>
      </c>
      <c r="BH212" s="399">
        <v>0</v>
      </c>
      <c r="BI212" s="399">
        <v>1.81</v>
      </c>
      <c r="BJ212" s="399">
        <v>9.17</v>
      </c>
      <c r="BK212" s="399">
        <v>587.75</v>
      </c>
      <c r="BL212" s="399">
        <v>23</v>
      </c>
      <c r="BM212" s="399"/>
      <c r="BN212" s="399"/>
      <c r="BO212" s="399"/>
      <c r="BP212" s="399"/>
      <c r="BQ212" s="399"/>
      <c r="BR212" s="399"/>
      <c r="BS212" s="399"/>
      <c r="BT212" s="399">
        <v>2867.7665400000005</v>
      </c>
      <c r="BU212" s="399"/>
      <c r="BV212" s="399">
        <v>2803.4265882120108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4302.5147999999999</v>
      </c>
      <c r="CJ212" s="399">
        <v>-2899.4515600000013</v>
      </c>
      <c r="CK212" s="399"/>
      <c r="CL212" s="399"/>
      <c r="CM212" s="399"/>
      <c r="CN212" s="399"/>
      <c r="CO212" s="399">
        <v>-4833.53406</v>
      </c>
      <c r="CP212" s="399">
        <v>0</v>
      </c>
      <c r="CQ212" s="399">
        <v>29</v>
      </c>
      <c r="CR212" s="399">
        <v>-154.88248092533831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-153.30911121539702</v>
      </c>
      <c r="DA212" s="399">
        <v>0</v>
      </c>
      <c r="DB212" s="399">
        <v>0</v>
      </c>
      <c r="DC212" s="399">
        <v>0</v>
      </c>
      <c r="DD212" s="399">
        <v>0</v>
      </c>
      <c r="DE212" s="399">
        <v>0</v>
      </c>
      <c r="DF212" s="399">
        <v>0</v>
      </c>
      <c r="DG212" s="399">
        <v>0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0</v>
      </c>
      <c r="DP212" s="399">
        <v>-1.573369709940593</v>
      </c>
      <c r="DQ212" s="399">
        <v>0</v>
      </c>
      <c r="DR212" s="399">
        <v>0</v>
      </c>
      <c r="DS212" s="399"/>
      <c r="DT212" s="399"/>
      <c r="DU212" s="399"/>
      <c r="DV212" s="399">
        <v>7504.1332823690764</v>
      </c>
      <c r="DW212" s="399">
        <v>0</v>
      </c>
      <c r="DX212" s="399">
        <v>0</v>
      </c>
      <c r="DY212" s="399">
        <v>-4833.5340600000009</v>
      </c>
      <c r="DZ212" s="399">
        <v>0</v>
      </c>
      <c r="EA212" s="399">
        <v>0</v>
      </c>
      <c r="EB212" s="399">
        <v>0</v>
      </c>
      <c r="EC212" s="399">
        <v>-4678.653881583914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221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212</v>
      </c>
      <c r="B213" s="399" t="s">
        <v>2330</v>
      </c>
      <c r="C213" s="399" t="s">
        <v>2328</v>
      </c>
      <c r="D213" s="399" t="s">
        <v>1821</v>
      </c>
      <c r="E213" s="399" t="s">
        <v>889</v>
      </c>
      <c r="F213" s="399" t="s">
        <v>2332</v>
      </c>
      <c r="G213" s="399" t="s">
        <v>1239</v>
      </c>
      <c r="H213" s="399" t="s">
        <v>1239</v>
      </c>
      <c r="I213" s="399" t="s">
        <v>1239</v>
      </c>
      <c r="J213" s="399" t="s">
        <v>2326</v>
      </c>
      <c r="K213" s="786">
        <v>44593</v>
      </c>
      <c r="L213" s="399">
        <v>0</v>
      </c>
      <c r="M213" s="399">
        <v>0</v>
      </c>
      <c r="N213" s="399">
        <v>0</v>
      </c>
      <c r="O213" s="399">
        <v>0</v>
      </c>
      <c r="P213" s="399">
        <v>0</v>
      </c>
      <c r="Q213" s="399">
        <v>0</v>
      </c>
      <c r="R213" s="399"/>
      <c r="S213" s="399"/>
      <c r="T213" s="399"/>
      <c r="U213" s="399"/>
      <c r="V213" s="399"/>
      <c r="W213" s="399"/>
      <c r="X213" s="399"/>
      <c r="Y213" s="399"/>
      <c r="Z213" s="399"/>
      <c r="AA213" s="399">
        <v>0</v>
      </c>
      <c r="AB213" s="399"/>
      <c r="AC213" s="399"/>
      <c r="AD213" s="399"/>
      <c r="AE213" s="399"/>
      <c r="AF213" s="399"/>
      <c r="AG213" s="399"/>
      <c r="AH213" s="399"/>
      <c r="AI213" s="399"/>
      <c r="AJ213" s="399"/>
      <c r="AK213" s="399"/>
      <c r="AL213" s="399"/>
      <c r="AM213" s="399"/>
      <c r="AN213" s="399"/>
      <c r="AO213" s="399"/>
      <c r="AP213" s="399"/>
      <c r="AQ213" s="399"/>
      <c r="AR213" s="399"/>
      <c r="AS213" s="399"/>
      <c r="AT213" s="399"/>
      <c r="AU213" s="399"/>
      <c r="AV213" s="399"/>
      <c r="AW213" s="399"/>
      <c r="AX213" s="399"/>
      <c r="AY213" s="399"/>
      <c r="AZ213" s="399">
        <v>0</v>
      </c>
      <c r="BA213" s="399"/>
      <c r="BB213" s="399"/>
      <c r="BC213" s="399"/>
      <c r="BD213" s="399"/>
      <c r="BE213" s="399"/>
      <c r="BF213" s="399"/>
      <c r="BG213" s="399"/>
      <c r="BH213" s="399"/>
      <c r="BI213" s="399">
        <v>0</v>
      </c>
      <c r="BJ213" s="399">
        <v>0</v>
      </c>
      <c r="BK213" s="399">
        <v>2.64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/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/>
      <c r="CJ213" s="399">
        <v>-0.03</v>
      </c>
      <c r="CK213" s="399"/>
      <c r="CL213" s="399"/>
      <c r="CM213" s="399"/>
      <c r="CN213" s="399"/>
      <c r="CO213" s="399">
        <v>0</v>
      </c>
      <c r="CP213" s="399">
        <v>0</v>
      </c>
      <c r="CQ213" s="399">
        <v>29</v>
      </c>
      <c r="CR213" s="399"/>
      <c r="CS213" s="399"/>
      <c r="CT213" s="399"/>
      <c r="CU213" s="399"/>
      <c r="CV213" s="399"/>
      <c r="CW213" s="399"/>
      <c r="CX213" s="399"/>
      <c r="CY213" s="399"/>
      <c r="CZ213" s="399"/>
      <c r="DA213" s="399"/>
      <c r="DB213" s="399"/>
      <c r="DC213" s="399"/>
      <c r="DD213" s="399"/>
      <c r="DE213" s="399"/>
      <c r="DF213" s="399"/>
      <c r="DG213" s="399"/>
      <c r="DH213" s="399"/>
      <c r="DI213" s="399"/>
      <c r="DJ213" s="399"/>
      <c r="DK213" s="399">
        <v>0</v>
      </c>
      <c r="DL213" s="399"/>
      <c r="DM213" s="399"/>
      <c r="DN213" s="399"/>
      <c r="DO213" s="399"/>
      <c r="DP213" s="399"/>
      <c r="DQ213" s="399"/>
      <c r="DR213" s="399"/>
      <c r="DS213" s="399"/>
      <c r="DT213" s="399"/>
      <c r="DU213" s="399"/>
      <c r="DV213" s="399"/>
      <c r="DW213" s="399"/>
      <c r="DX213" s="399"/>
      <c r="DY213" s="399"/>
      <c r="DZ213" s="399"/>
      <c r="EA213" s="399"/>
      <c r="EB213" s="399"/>
      <c r="EC213" s="399"/>
      <c r="ED213" s="399"/>
      <c r="EE213" s="399"/>
      <c r="EF213" s="399"/>
      <c r="EG213" s="399"/>
      <c r="EH213" s="399"/>
      <c r="EI213" s="399"/>
      <c r="EJ213" s="399"/>
      <c r="EK213" s="399"/>
      <c r="EL213" s="399"/>
      <c r="EM213" s="399"/>
      <c r="EN213" s="399"/>
      <c r="EO213" s="399"/>
      <c r="EP213" s="399"/>
      <c r="EQ213" s="399"/>
      <c r="ER213" s="399"/>
      <c r="ES213" s="399"/>
      <c r="ET213" s="399"/>
      <c r="EU213" s="399"/>
      <c r="EV213" s="399">
        <v>221</v>
      </c>
      <c r="EW213" s="399"/>
      <c r="EX213" s="399"/>
      <c r="EY213" s="399"/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213</v>
      </c>
      <c r="B214" s="399" t="s">
        <v>956</v>
      </c>
      <c r="C214" s="399" t="s">
        <v>2328</v>
      </c>
      <c r="D214" s="399" t="s">
        <v>1821</v>
      </c>
      <c r="E214" s="399" t="s">
        <v>889</v>
      </c>
      <c r="F214" s="399" t="s">
        <v>2333</v>
      </c>
      <c r="G214" s="399" t="s">
        <v>1239</v>
      </c>
      <c r="H214" s="399" t="s">
        <v>1239</v>
      </c>
      <c r="I214" s="399" t="s">
        <v>1239</v>
      </c>
      <c r="J214" s="399" t="s">
        <v>2326</v>
      </c>
      <c r="K214" s="786">
        <v>44593</v>
      </c>
      <c r="L214" s="399">
        <v>0</v>
      </c>
      <c r="M214" s="399">
        <v>0</v>
      </c>
      <c r="N214" s="399">
        <v>14.574</v>
      </c>
      <c r="O214" s="399">
        <v>14.574</v>
      </c>
      <c r="P214" s="399">
        <v>14.574</v>
      </c>
      <c r="Q214" s="399">
        <v>14.574</v>
      </c>
      <c r="R214" s="399"/>
      <c r="S214" s="399">
        <v>753.62</v>
      </c>
      <c r="T214" s="399">
        <v>185.74</v>
      </c>
      <c r="U214" s="399"/>
      <c r="V214" s="399">
        <v>13690.232639999998</v>
      </c>
      <c r="W214" s="399">
        <v>13690.232639999998</v>
      </c>
      <c r="X214" s="399">
        <v>8177.3256600000004</v>
      </c>
      <c r="Y214" s="399">
        <v>0</v>
      </c>
      <c r="Z214" s="399">
        <v>0</v>
      </c>
      <c r="AA214" s="399">
        <v>0</v>
      </c>
      <c r="AB214" s="399">
        <v>0</v>
      </c>
      <c r="AC214" s="399">
        <v>0</v>
      </c>
      <c r="AD214" s="399">
        <v>1899.4542869044642</v>
      </c>
      <c r="AE214" s="399">
        <v>8558.8698119617238</v>
      </c>
      <c r="AF214" s="399">
        <v>2707.0372524152181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0</v>
      </c>
      <c r="AM214" s="399"/>
      <c r="AN214" s="399">
        <v>34.553020733645731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490.42237323839265</v>
      </c>
      <c r="BH214" s="399">
        <v>0</v>
      </c>
      <c r="BI214" s="399">
        <v>3.59</v>
      </c>
      <c r="BJ214" s="399">
        <v>15.92</v>
      </c>
      <c r="BK214" s="399">
        <v>1720.13</v>
      </c>
      <c r="BL214" s="399">
        <v>84</v>
      </c>
      <c r="BM214" s="399"/>
      <c r="BN214" s="399"/>
      <c r="BO214" s="399"/>
      <c r="BP214" s="399"/>
      <c r="BQ214" s="399"/>
      <c r="BR214" s="399"/>
      <c r="BS214" s="399"/>
      <c r="BT214" s="399">
        <v>817.60140000000069</v>
      </c>
      <c r="BU214" s="399"/>
      <c r="BV214" s="399">
        <v>3197.4596256536106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7357.7042999999994</v>
      </c>
      <c r="CJ214" s="399">
        <v>-4963.6225200000008</v>
      </c>
      <c r="CK214" s="399"/>
      <c r="CL214" s="399"/>
      <c r="CM214" s="399"/>
      <c r="CN214" s="399"/>
      <c r="CO214" s="399">
        <v>-5512.9069799999997</v>
      </c>
      <c r="CP214" s="399">
        <v>0</v>
      </c>
      <c r="CQ214" s="399">
        <v>29</v>
      </c>
      <c r="CR214" s="399">
        <v>-176.65184512489304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-174.85733188708696</v>
      </c>
      <c r="DA214" s="399">
        <v>0</v>
      </c>
      <c r="DB214" s="399">
        <v>0</v>
      </c>
      <c r="DC214" s="399">
        <v>0</v>
      </c>
      <c r="DD214" s="399">
        <v>0</v>
      </c>
      <c r="DE214" s="399">
        <v>0</v>
      </c>
      <c r="DF214" s="399">
        <v>0</v>
      </c>
      <c r="DG214" s="399">
        <v>0</v>
      </c>
      <c r="DH214" s="399">
        <v>0</v>
      </c>
      <c r="DI214" s="399">
        <v>0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0</v>
      </c>
      <c r="DP214" s="399">
        <v>-1.7945132378051483</v>
      </c>
      <c r="DQ214" s="399">
        <v>0</v>
      </c>
      <c r="DR214" s="399">
        <v>0</v>
      </c>
      <c r="DS214" s="399"/>
      <c r="DT214" s="399"/>
      <c r="DU214" s="399"/>
      <c r="DV214" s="399">
        <v>8558.8698119617238</v>
      </c>
      <c r="DW214" s="399">
        <v>0</v>
      </c>
      <c r="DX214" s="399">
        <v>0</v>
      </c>
      <c r="DY214" s="399">
        <v>-5512.9069799999988</v>
      </c>
      <c r="DZ214" s="399">
        <v>0</v>
      </c>
      <c r="EA214" s="399">
        <v>0</v>
      </c>
      <c r="EB214" s="399">
        <v>0</v>
      </c>
      <c r="EC214" s="399">
        <v>-5336.2577610114222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221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214</v>
      </c>
      <c r="B215" s="399" t="s">
        <v>2330</v>
      </c>
      <c r="C215" s="399" t="s">
        <v>2328</v>
      </c>
      <c r="D215" s="399" t="s">
        <v>1821</v>
      </c>
      <c r="E215" s="399" t="s">
        <v>889</v>
      </c>
      <c r="F215" s="399" t="s">
        <v>2333</v>
      </c>
      <c r="G215" s="399" t="s">
        <v>1239</v>
      </c>
      <c r="H215" s="399" t="s">
        <v>1239</v>
      </c>
      <c r="I215" s="399" t="s">
        <v>1239</v>
      </c>
      <c r="J215" s="399" t="s">
        <v>2326</v>
      </c>
      <c r="K215" s="786">
        <v>44593</v>
      </c>
      <c r="L215" s="399">
        <v>0</v>
      </c>
      <c r="M215" s="399">
        <v>0</v>
      </c>
      <c r="N215" s="399">
        <v>0</v>
      </c>
      <c r="O215" s="399">
        <v>0</v>
      </c>
      <c r="P215" s="399">
        <v>0</v>
      </c>
      <c r="Q215" s="399">
        <v>0</v>
      </c>
      <c r="R215" s="399"/>
      <c r="S215" s="399"/>
      <c r="T215" s="399"/>
      <c r="U215" s="399"/>
      <c r="V215" s="399"/>
      <c r="W215" s="399"/>
      <c r="X215" s="399"/>
      <c r="Y215" s="399"/>
      <c r="Z215" s="399"/>
      <c r="AA215" s="399">
        <v>0</v>
      </c>
      <c r="AB215" s="399"/>
      <c r="AC215" s="399"/>
      <c r="AD215" s="399"/>
      <c r="AE215" s="399"/>
      <c r="AF215" s="399"/>
      <c r="AG215" s="399"/>
      <c r="AH215" s="399"/>
      <c r="AI215" s="399"/>
      <c r="AJ215" s="399"/>
      <c r="AK215" s="399"/>
      <c r="AL215" s="399"/>
      <c r="AM215" s="399"/>
      <c r="AN215" s="399"/>
      <c r="AO215" s="399"/>
      <c r="AP215" s="399"/>
      <c r="AQ215" s="399"/>
      <c r="AR215" s="399"/>
      <c r="AS215" s="399"/>
      <c r="AT215" s="399"/>
      <c r="AU215" s="399"/>
      <c r="AV215" s="399"/>
      <c r="AW215" s="399"/>
      <c r="AX215" s="399"/>
      <c r="AY215" s="399"/>
      <c r="AZ215" s="399">
        <v>0</v>
      </c>
      <c r="BA215" s="399"/>
      <c r="BB215" s="399"/>
      <c r="BC215" s="399"/>
      <c r="BD215" s="399"/>
      <c r="BE215" s="399"/>
      <c r="BF215" s="399"/>
      <c r="BG215" s="399"/>
      <c r="BH215" s="399"/>
      <c r="BI215" s="399">
        <v>0</v>
      </c>
      <c r="BJ215" s="399">
        <v>0</v>
      </c>
      <c r="BK215" s="399">
        <v>15.22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/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/>
      <c r="CJ215" s="399">
        <v>-0.03</v>
      </c>
      <c r="CK215" s="399"/>
      <c r="CL215" s="399"/>
      <c r="CM215" s="399"/>
      <c r="CN215" s="399"/>
      <c r="CO215" s="399">
        <v>0</v>
      </c>
      <c r="CP215" s="399">
        <v>0</v>
      </c>
      <c r="CQ215" s="399">
        <v>29</v>
      </c>
      <c r="CR215" s="399"/>
      <c r="CS215" s="399"/>
      <c r="CT215" s="399"/>
      <c r="CU215" s="399"/>
      <c r="CV215" s="399"/>
      <c r="CW215" s="399"/>
      <c r="CX215" s="399"/>
      <c r="CY215" s="399"/>
      <c r="CZ215" s="399"/>
      <c r="DA215" s="399"/>
      <c r="DB215" s="399"/>
      <c r="DC215" s="399"/>
      <c r="DD215" s="399"/>
      <c r="DE215" s="399"/>
      <c r="DF215" s="399"/>
      <c r="DG215" s="399"/>
      <c r="DH215" s="399"/>
      <c r="DI215" s="399"/>
      <c r="DJ215" s="399"/>
      <c r="DK215" s="399">
        <v>0</v>
      </c>
      <c r="DL215" s="399"/>
      <c r="DM215" s="399"/>
      <c r="DN215" s="399"/>
      <c r="DO215" s="399"/>
      <c r="DP215" s="399"/>
      <c r="DQ215" s="399"/>
      <c r="DR215" s="399"/>
      <c r="DS215" s="399"/>
      <c r="DT215" s="399"/>
      <c r="DU215" s="399"/>
      <c r="DV215" s="399"/>
      <c r="DW215" s="399"/>
      <c r="DX215" s="399"/>
      <c r="DY215" s="399"/>
      <c r="DZ215" s="399"/>
      <c r="EA215" s="399"/>
      <c r="EB215" s="399"/>
      <c r="EC215" s="399"/>
      <c r="ED215" s="399"/>
      <c r="EE215" s="399"/>
      <c r="EF215" s="399"/>
      <c r="EG215" s="399"/>
      <c r="EH215" s="399"/>
      <c r="EI215" s="399"/>
      <c r="EJ215" s="399"/>
      <c r="EK215" s="399"/>
      <c r="EL215" s="399"/>
      <c r="EM215" s="399"/>
      <c r="EN215" s="399"/>
      <c r="EO215" s="399"/>
      <c r="EP215" s="399"/>
      <c r="EQ215" s="399"/>
      <c r="ER215" s="399"/>
      <c r="ES215" s="399"/>
      <c r="ET215" s="399"/>
      <c r="EU215" s="399"/>
      <c r="EV215" s="399">
        <v>221</v>
      </c>
      <c r="EW215" s="399"/>
      <c r="EX215" s="399"/>
      <c r="EY215" s="399"/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215</v>
      </c>
      <c r="B216" s="399" t="s">
        <v>956</v>
      </c>
      <c r="C216" s="399" t="s">
        <v>2328</v>
      </c>
      <c r="D216" s="399" t="s">
        <v>1821</v>
      </c>
      <c r="E216" s="399" t="s">
        <v>889</v>
      </c>
      <c r="F216" s="399" t="s">
        <v>2334</v>
      </c>
      <c r="G216" s="399" t="s">
        <v>1239</v>
      </c>
      <c r="H216" s="399" t="s">
        <v>1239</v>
      </c>
      <c r="I216" s="399" t="s">
        <v>1239</v>
      </c>
      <c r="J216" s="399" t="s">
        <v>2326</v>
      </c>
      <c r="K216" s="786">
        <v>44593</v>
      </c>
      <c r="L216" s="399">
        <v>0</v>
      </c>
      <c r="M216" s="399">
        <v>0</v>
      </c>
      <c r="N216" s="399">
        <v>7.7409999999999997</v>
      </c>
      <c r="O216" s="399">
        <v>7.7409999999999997</v>
      </c>
      <c r="P216" s="399">
        <v>7.7409999999999997</v>
      </c>
      <c r="Q216" s="399">
        <v>7.7409999999999997</v>
      </c>
      <c r="R216" s="399"/>
      <c r="S216" s="399">
        <v>753.62</v>
      </c>
      <c r="T216" s="399">
        <v>185.74</v>
      </c>
      <c r="U216" s="399"/>
      <c r="V216" s="399">
        <v>7271.585759999999</v>
      </c>
      <c r="W216" s="399">
        <v>7271.585759999999</v>
      </c>
      <c r="X216" s="399">
        <v>4343.3976899999998</v>
      </c>
      <c r="Y216" s="399">
        <v>0</v>
      </c>
      <c r="Z216" s="399">
        <v>0</v>
      </c>
      <c r="AA216" s="399">
        <v>0</v>
      </c>
      <c r="AB216" s="399">
        <v>0</v>
      </c>
      <c r="AC216" s="399">
        <v>0</v>
      </c>
      <c r="AD216" s="399">
        <v>1008.8977380902605</v>
      </c>
      <c r="AE216" s="399">
        <v>4546.0553872921437</v>
      </c>
      <c r="AF216" s="399">
        <v>1437.846532931673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0</v>
      </c>
      <c r="AM216" s="399"/>
      <c r="AN216" s="399">
        <v>18.352884142936162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260.48851319050345</v>
      </c>
      <c r="BH216" s="399">
        <v>0</v>
      </c>
      <c r="BI216" s="399">
        <v>2.2000000000000002</v>
      </c>
      <c r="BJ216" s="399">
        <v>9.0299999999999994</v>
      </c>
      <c r="BK216" s="399">
        <v>1451.11</v>
      </c>
      <c r="BL216" s="399">
        <v>84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1698.3350461221764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4342.8366000000005</v>
      </c>
      <c r="CJ216" s="399">
        <v>-2928.7791599999991</v>
      </c>
      <c r="CK216" s="399"/>
      <c r="CL216" s="399"/>
      <c r="CM216" s="399"/>
      <c r="CN216" s="399"/>
      <c r="CO216" s="399">
        <v>-2928.1880699999997</v>
      </c>
      <c r="CP216" s="399">
        <v>0</v>
      </c>
      <c r="CQ216" s="399">
        <v>29</v>
      </c>
      <c r="CR216" s="399">
        <v>-93.828868746520129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-92.8757105899507</v>
      </c>
      <c r="DA216" s="399">
        <v>0</v>
      </c>
      <c r="DB216" s="399">
        <v>0</v>
      </c>
      <c r="DC216" s="399">
        <v>0</v>
      </c>
      <c r="DD216" s="399">
        <v>0</v>
      </c>
      <c r="DE216" s="399">
        <v>0</v>
      </c>
      <c r="DF216" s="399">
        <v>0</v>
      </c>
      <c r="DG216" s="399">
        <v>0</v>
      </c>
      <c r="DH216" s="399">
        <v>0</v>
      </c>
      <c r="DI216" s="399">
        <v>0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0</v>
      </c>
      <c r="DP216" s="399">
        <v>-0.953158156569895</v>
      </c>
      <c r="DQ216" s="399">
        <v>0</v>
      </c>
      <c r="DR216" s="399">
        <v>0</v>
      </c>
      <c r="DS216" s="399"/>
      <c r="DT216" s="399"/>
      <c r="DU216" s="399"/>
      <c r="DV216" s="399">
        <v>4546.0553872921437</v>
      </c>
      <c r="DW216" s="399">
        <v>0</v>
      </c>
      <c r="DX216" s="399">
        <v>0</v>
      </c>
      <c r="DY216" s="399">
        <v>-2928.1880699999992</v>
      </c>
      <c r="DZ216" s="399">
        <v>0</v>
      </c>
      <c r="EA216" s="399">
        <v>0</v>
      </c>
      <c r="EB216" s="399">
        <v>0</v>
      </c>
      <c r="EC216" s="399">
        <v>-2834.3605961293688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221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216</v>
      </c>
      <c r="B217" s="399" t="s">
        <v>2330</v>
      </c>
      <c r="C217" s="399" t="s">
        <v>2328</v>
      </c>
      <c r="D217" s="399" t="s">
        <v>1821</v>
      </c>
      <c r="E217" s="399" t="s">
        <v>889</v>
      </c>
      <c r="F217" s="399" t="s">
        <v>2334</v>
      </c>
      <c r="G217" s="399" t="s">
        <v>1239</v>
      </c>
      <c r="H217" s="399" t="s">
        <v>1239</v>
      </c>
      <c r="I217" s="399" t="s">
        <v>1239</v>
      </c>
      <c r="J217" s="399" t="s">
        <v>2326</v>
      </c>
      <c r="K217" s="786">
        <v>44593</v>
      </c>
      <c r="L217" s="399">
        <v>0</v>
      </c>
      <c r="M217" s="399">
        <v>0</v>
      </c>
      <c r="N217" s="399">
        <v>0</v>
      </c>
      <c r="O217" s="399">
        <v>0</v>
      </c>
      <c r="P217" s="399">
        <v>0</v>
      </c>
      <c r="Q217" s="399">
        <v>0</v>
      </c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>
        <v>0</v>
      </c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>
        <v>0</v>
      </c>
      <c r="BA217" s="399"/>
      <c r="BB217" s="399"/>
      <c r="BC217" s="399"/>
      <c r="BD217" s="399"/>
      <c r="BE217" s="399"/>
      <c r="BF217" s="399"/>
      <c r="BG217" s="399"/>
      <c r="BH217" s="399"/>
      <c r="BI217" s="399">
        <v>0</v>
      </c>
      <c r="BJ217" s="399">
        <v>0</v>
      </c>
      <c r="BK217" s="399">
        <v>19.260000000000002</v>
      </c>
      <c r="BL217" s="399">
        <v>1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/>
      <c r="CJ217" s="399">
        <v>-0.03</v>
      </c>
      <c r="CK217" s="399"/>
      <c r="CL217" s="399"/>
      <c r="CM217" s="399"/>
      <c r="CN217" s="399"/>
      <c r="CO217" s="399">
        <v>0</v>
      </c>
      <c r="CP217" s="399">
        <v>0</v>
      </c>
      <c r="CQ217" s="399">
        <v>29</v>
      </c>
      <c r="CR217" s="399"/>
      <c r="CS217" s="399"/>
      <c r="CT217" s="399"/>
      <c r="CU217" s="399"/>
      <c r="CV217" s="399"/>
      <c r="CW217" s="399"/>
      <c r="CX217" s="399"/>
      <c r="CY217" s="399"/>
      <c r="CZ217" s="399"/>
      <c r="DA217" s="399"/>
      <c r="DB217" s="399"/>
      <c r="DC217" s="399"/>
      <c r="DD217" s="399"/>
      <c r="DE217" s="399"/>
      <c r="DF217" s="399"/>
      <c r="DG217" s="399"/>
      <c r="DH217" s="399"/>
      <c r="DI217" s="399"/>
      <c r="DJ217" s="399"/>
      <c r="DK217" s="399">
        <v>0</v>
      </c>
      <c r="DL217" s="399"/>
      <c r="DM217" s="399"/>
      <c r="DN217" s="399"/>
      <c r="DO217" s="399"/>
      <c r="DP217" s="399"/>
      <c r="DQ217" s="399"/>
      <c r="DR217" s="399"/>
      <c r="DS217" s="399"/>
      <c r="DT217" s="399"/>
      <c r="DU217" s="399"/>
      <c r="DV217" s="399"/>
      <c r="DW217" s="399"/>
      <c r="DX217" s="399"/>
      <c r="DY217" s="399"/>
      <c r="DZ217" s="399"/>
      <c r="EA217" s="399"/>
      <c r="EB217" s="399"/>
      <c r="EC217" s="399"/>
      <c r="ED217" s="399"/>
      <c r="EE217" s="399"/>
      <c r="EF217" s="399"/>
      <c r="EG217" s="399"/>
      <c r="EH217" s="399"/>
      <c r="EI217" s="399"/>
      <c r="EJ217" s="399"/>
      <c r="EK217" s="399"/>
      <c r="EL217" s="399"/>
      <c r="EM217" s="399"/>
      <c r="EN217" s="399"/>
      <c r="EO217" s="399"/>
      <c r="EP217" s="399"/>
      <c r="EQ217" s="399"/>
      <c r="ER217" s="399"/>
      <c r="ES217" s="399"/>
      <c r="ET217" s="399"/>
      <c r="EU217" s="399"/>
      <c r="EV217" s="399">
        <v>221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217</v>
      </c>
      <c r="B218" s="399" t="s">
        <v>956</v>
      </c>
      <c r="C218" s="399" t="s">
        <v>2335</v>
      </c>
      <c r="D218" s="399" t="s">
        <v>1821</v>
      </c>
      <c r="E218" s="399" t="s">
        <v>889</v>
      </c>
      <c r="F218" s="399" t="s">
        <v>889</v>
      </c>
      <c r="G218" s="399" t="s">
        <v>1239</v>
      </c>
      <c r="H218" s="399" t="s">
        <v>1239</v>
      </c>
      <c r="I218" s="399" t="s">
        <v>893</v>
      </c>
      <c r="J218" s="399" t="s">
        <v>2326</v>
      </c>
      <c r="K218" s="786">
        <v>44593</v>
      </c>
      <c r="L218" s="399">
        <v>0</v>
      </c>
      <c r="M218" s="399">
        <v>0</v>
      </c>
      <c r="N218" s="399">
        <v>3.4000000000000002E-2</v>
      </c>
      <c r="O218" s="399">
        <v>3.4000000000000002E-2</v>
      </c>
      <c r="P218" s="399">
        <v>3.4000000000000002E-2</v>
      </c>
      <c r="Q218" s="399">
        <v>3.4000000000000002E-2</v>
      </c>
      <c r="R218" s="399"/>
      <c r="S218" s="399">
        <v>2045.69</v>
      </c>
      <c r="T218" s="399">
        <v>185.74</v>
      </c>
      <c r="U218" s="399"/>
      <c r="V218" s="399">
        <v>75.868620000000007</v>
      </c>
      <c r="W218" s="399">
        <v>75.868620000000007</v>
      </c>
      <c r="X218" s="399">
        <v>41.001280000000001</v>
      </c>
      <c r="Y218" s="399">
        <v>0</v>
      </c>
      <c r="Z218" s="399">
        <v>2.1197356469957467</v>
      </c>
      <c r="AA218" s="399">
        <v>0</v>
      </c>
      <c r="AB218" s="399">
        <v>0</v>
      </c>
      <c r="AC218" s="399">
        <v>0</v>
      </c>
      <c r="AD218" s="399">
        <v>11.969923893342303</v>
      </c>
      <c r="AE218" s="399">
        <v>53.911349225758102</v>
      </c>
      <c r="AF218" s="399">
        <v>6.3153057899078791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0.32759660335970259</v>
      </c>
      <c r="AM218" s="399"/>
      <c r="AN218" s="399">
        <v>8.0609489841083778E-2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1.1441169678952485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7.4594227578031278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36.177599999999998</v>
      </c>
      <c r="CJ218" s="399">
        <v>-39.721020000000024</v>
      </c>
      <c r="CK218" s="399"/>
      <c r="CL218" s="399"/>
      <c r="CM218" s="399"/>
      <c r="CN218" s="399"/>
      <c r="CO218" s="399">
        <v>-34.867340000000013</v>
      </c>
      <c r="CP218" s="399">
        <v>0</v>
      </c>
      <c r="CQ218" s="399">
        <v>29</v>
      </c>
      <c r="CR218" s="399">
        <v>-1.2547632346767799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-1.1019106747192957</v>
      </c>
      <c r="DA218" s="399">
        <v>0</v>
      </c>
      <c r="DB218" s="399">
        <v>0</v>
      </c>
      <c r="DC218" s="399">
        <v>0</v>
      </c>
      <c r="DD218" s="399">
        <v>0</v>
      </c>
      <c r="DE218" s="399">
        <v>0</v>
      </c>
      <c r="DF218" s="399">
        <v>0</v>
      </c>
      <c r="DG218" s="399">
        <v>0</v>
      </c>
      <c r="DH218" s="399">
        <v>0</v>
      </c>
      <c r="DI218" s="399">
        <v>-0.13110286264117299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-1.7563238548273741E-2</v>
      </c>
      <c r="DP218" s="399">
        <v>-4.1864587680372628E-3</v>
      </c>
      <c r="DQ218" s="399">
        <v>0</v>
      </c>
      <c r="DR218" s="399">
        <v>0</v>
      </c>
      <c r="DS218" s="399"/>
      <c r="DT218" s="399"/>
      <c r="DU218" s="399"/>
      <c r="DV218" s="399">
        <v>53.911349225758102</v>
      </c>
      <c r="DW218" s="399">
        <v>0</v>
      </c>
      <c r="DX218" s="399">
        <v>0</v>
      </c>
      <c r="DY218" s="399">
        <v>-34.867339999999999</v>
      </c>
      <c r="DZ218" s="399">
        <v>0</v>
      </c>
      <c r="EA218" s="399">
        <v>0</v>
      </c>
      <c r="EB218" s="399">
        <v>0</v>
      </c>
      <c r="EC218" s="399">
        <v>-33.612481791753062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221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218</v>
      </c>
      <c r="B219" s="399" t="s">
        <v>956</v>
      </c>
      <c r="C219" s="399" t="s">
        <v>2335</v>
      </c>
      <c r="D219" s="399" t="s">
        <v>1821</v>
      </c>
      <c r="E219" s="399" t="s">
        <v>889</v>
      </c>
      <c r="F219" s="399" t="s">
        <v>889</v>
      </c>
      <c r="G219" s="399" t="s">
        <v>1239</v>
      </c>
      <c r="H219" s="399" t="s">
        <v>1239</v>
      </c>
      <c r="I219" s="399" t="s">
        <v>2323</v>
      </c>
      <c r="J219" s="399" t="s">
        <v>2326</v>
      </c>
      <c r="K219" s="786">
        <v>44593</v>
      </c>
      <c r="L219" s="399">
        <v>0</v>
      </c>
      <c r="M219" s="399">
        <v>0</v>
      </c>
      <c r="N219" s="399">
        <v>0.75900000000000001</v>
      </c>
      <c r="O219" s="399">
        <v>0.75900000000000001</v>
      </c>
      <c r="P219" s="399">
        <v>0.75900000000000001</v>
      </c>
      <c r="Q219" s="399">
        <v>0.75900000000000001</v>
      </c>
      <c r="R219" s="399"/>
      <c r="S219" s="399">
        <v>495.6</v>
      </c>
      <c r="T219" s="399">
        <v>185.74</v>
      </c>
      <c r="U219" s="399"/>
      <c r="V219" s="399">
        <v>517.13706000000002</v>
      </c>
      <c r="W219" s="399">
        <v>517.13706000000002</v>
      </c>
      <c r="X219" s="399">
        <v>358.73375999999996</v>
      </c>
      <c r="Y219" s="399">
        <v>0</v>
      </c>
      <c r="Z219" s="399">
        <v>47.319981060875641</v>
      </c>
      <c r="AA219" s="399">
        <v>0</v>
      </c>
      <c r="AB219" s="399">
        <v>0</v>
      </c>
      <c r="AC219" s="399">
        <v>0</v>
      </c>
      <c r="AD219" s="399">
        <v>53.491065644171577</v>
      </c>
      <c r="AE219" s="399">
        <v>240.69813028274157</v>
      </c>
      <c r="AF219" s="399">
        <v>140.97991454529645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7.3131124102945373</v>
      </c>
      <c r="AM219" s="399"/>
      <c r="AN219" s="399">
        <v>1.799488317334782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25.540728783308634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166.52064332860508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359.20640000000003</v>
      </c>
      <c r="CJ219" s="399">
        <v>-157.96065999999996</v>
      </c>
      <c r="CK219" s="399"/>
      <c r="CL219" s="399"/>
      <c r="CM219" s="399"/>
      <c r="CN219" s="399"/>
      <c r="CO219" s="399">
        <v>-158.40330000000003</v>
      </c>
      <c r="CP219" s="399">
        <v>0</v>
      </c>
      <c r="CQ219" s="399">
        <v>29</v>
      </c>
      <c r="CR219" s="399">
        <v>-8.3364150506494639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-4.9242064327749944</v>
      </c>
      <c r="DA219" s="399">
        <v>0</v>
      </c>
      <c r="DB219" s="399">
        <v>0</v>
      </c>
      <c r="DC219" s="399">
        <v>0</v>
      </c>
      <c r="DD219" s="399">
        <v>0</v>
      </c>
      <c r="DE219" s="399">
        <v>0</v>
      </c>
      <c r="DF219" s="399">
        <v>0</v>
      </c>
      <c r="DG219" s="399">
        <v>0</v>
      </c>
      <c r="DH219" s="399">
        <v>0</v>
      </c>
      <c r="DI219" s="399">
        <v>-2.9266786101367757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-0.39207347229822886</v>
      </c>
      <c r="DP219" s="399">
        <v>-9.3456535439420119E-2</v>
      </c>
      <c r="DQ219" s="399">
        <v>0</v>
      </c>
      <c r="DR219" s="399">
        <v>0</v>
      </c>
      <c r="DS219" s="399"/>
      <c r="DT219" s="399"/>
      <c r="DU219" s="399"/>
      <c r="DV219" s="399">
        <v>240.69813028274157</v>
      </c>
      <c r="DW219" s="399">
        <v>0</v>
      </c>
      <c r="DX219" s="399">
        <v>0</v>
      </c>
      <c r="DY219" s="399">
        <v>-158.40330000000006</v>
      </c>
      <c r="DZ219" s="399">
        <v>0</v>
      </c>
      <c r="EA219" s="399">
        <v>0</v>
      </c>
      <c r="EB219" s="399">
        <v>0</v>
      </c>
      <c r="EC219" s="399">
        <v>-150.06972813012368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221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219</v>
      </c>
      <c r="B220" s="399" t="s">
        <v>956</v>
      </c>
      <c r="C220" s="399" t="s">
        <v>2335</v>
      </c>
      <c r="D220" s="399" t="s">
        <v>1821</v>
      </c>
      <c r="E220" s="399" t="s">
        <v>889</v>
      </c>
      <c r="F220" s="399" t="s">
        <v>889</v>
      </c>
      <c r="G220" s="399" t="s">
        <v>1239</v>
      </c>
      <c r="H220" s="399" t="s">
        <v>1239</v>
      </c>
      <c r="I220" s="399" t="s">
        <v>1239</v>
      </c>
      <c r="J220" s="399" t="s">
        <v>2326</v>
      </c>
      <c r="K220" s="786">
        <v>44593</v>
      </c>
      <c r="L220" s="399">
        <v>0</v>
      </c>
      <c r="M220" s="399">
        <v>0</v>
      </c>
      <c r="N220" s="399">
        <v>0</v>
      </c>
      <c r="O220" s="399">
        <v>0</v>
      </c>
      <c r="P220" s="399">
        <v>0</v>
      </c>
      <c r="Q220" s="399">
        <v>0</v>
      </c>
      <c r="R220" s="399"/>
      <c r="S220" s="399"/>
      <c r="T220" s="399"/>
      <c r="U220" s="399"/>
      <c r="V220" s="399"/>
      <c r="W220" s="399"/>
      <c r="X220" s="399"/>
      <c r="Y220" s="399"/>
      <c r="Z220" s="399"/>
      <c r="AA220" s="399">
        <v>0</v>
      </c>
      <c r="AB220" s="399"/>
      <c r="AC220" s="399"/>
      <c r="AD220" s="399"/>
      <c r="AE220" s="399"/>
      <c r="AF220" s="399"/>
      <c r="AG220" s="399"/>
      <c r="AH220" s="399"/>
      <c r="AI220" s="399"/>
      <c r="AJ220" s="399"/>
      <c r="AK220" s="399"/>
      <c r="AL220" s="399"/>
      <c r="AM220" s="399"/>
      <c r="AN220" s="399"/>
      <c r="AO220" s="399"/>
      <c r="AP220" s="399"/>
      <c r="AQ220" s="399"/>
      <c r="AR220" s="399"/>
      <c r="AS220" s="399"/>
      <c r="AT220" s="399"/>
      <c r="AU220" s="399"/>
      <c r="AV220" s="399"/>
      <c r="AW220" s="399"/>
      <c r="AX220" s="399"/>
      <c r="AY220" s="399"/>
      <c r="AZ220" s="399">
        <v>0</v>
      </c>
      <c r="BA220" s="399"/>
      <c r="BB220" s="399"/>
      <c r="BC220" s="399"/>
      <c r="BD220" s="399"/>
      <c r="BE220" s="399"/>
      <c r="BF220" s="399"/>
      <c r="BG220" s="399"/>
      <c r="BH220" s="399"/>
      <c r="BI220" s="399">
        <v>0.25</v>
      </c>
      <c r="BJ220" s="399">
        <v>1.1100000000000001</v>
      </c>
      <c r="BK220" s="399">
        <v>133.18</v>
      </c>
      <c r="BL220" s="399">
        <v>2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/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/>
      <c r="CJ220" s="399">
        <v>-0.03</v>
      </c>
      <c r="CK220" s="399"/>
      <c r="CL220" s="399"/>
      <c r="CM220" s="399"/>
      <c r="CN220" s="399"/>
      <c r="CO220" s="399">
        <v>0</v>
      </c>
      <c r="CP220" s="399">
        <v>0</v>
      </c>
      <c r="CQ220" s="399">
        <v>29</v>
      </c>
      <c r="CR220" s="399"/>
      <c r="CS220" s="399"/>
      <c r="CT220" s="399"/>
      <c r="CU220" s="399"/>
      <c r="CV220" s="399"/>
      <c r="CW220" s="399"/>
      <c r="CX220" s="399"/>
      <c r="CY220" s="399"/>
      <c r="CZ220" s="399"/>
      <c r="DA220" s="399"/>
      <c r="DB220" s="399"/>
      <c r="DC220" s="399"/>
      <c r="DD220" s="399"/>
      <c r="DE220" s="399"/>
      <c r="DF220" s="399"/>
      <c r="DG220" s="399"/>
      <c r="DH220" s="399"/>
      <c r="DI220" s="399"/>
      <c r="DJ220" s="399"/>
      <c r="DK220" s="399">
        <v>0</v>
      </c>
      <c r="DL220" s="399"/>
      <c r="DM220" s="399"/>
      <c r="DN220" s="399"/>
      <c r="DO220" s="399"/>
      <c r="DP220" s="399"/>
      <c r="DQ220" s="399"/>
      <c r="DR220" s="399"/>
      <c r="DS220" s="399"/>
      <c r="DT220" s="399"/>
      <c r="DU220" s="399"/>
      <c r="DV220" s="399"/>
      <c r="DW220" s="399"/>
      <c r="DX220" s="399"/>
      <c r="DY220" s="399"/>
      <c r="DZ220" s="399"/>
      <c r="EA220" s="399"/>
      <c r="EB220" s="399"/>
      <c r="EC220" s="399"/>
      <c r="ED220" s="399"/>
      <c r="EE220" s="399"/>
      <c r="EF220" s="399"/>
      <c r="EG220" s="399"/>
      <c r="EH220" s="399"/>
      <c r="EI220" s="399"/>
      <c r="EJ220" s="399"/>
      <c r="EK220" s="399"/>
      <c r="EL220" s="399"/>
      <c r="EM220" s="399"/>
      <c r="EN220" s="399"/>
      <c r="EO220" s="399"/>
      <c r="EP220" s="399"/>
      <c r="EQ220" s="399"/>
      <c r="ER220" s="399"/>
      <c r="ES220" s="399"/>
      <c r="ET220" s="399"/>
      <c r="EU220" s="399"/>
      <c r="EV220" s="399">
        <v>221</v>
      </c>
      <c r="EW220" s="399"/>
      <c r="EX220" s="399"/>
      <c r="EY220" s="399"/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220</v>
      </c>
      <c r="B221" s="399" t="s">
        <v>956</v>
      </c>
      <c r="C221" s="399" t="s">
        <v>2335</v>
      </c>
      <c r="D221" s="399" t="s">
        <v>1821</v>
      </c>
      <c r="E221" s="399" t="s">
        <v>889</v>
      </c>
      <c r="F221" s="399" t="s">
        <v>889</v>
      </c>
      <c r="G221" s="399" t="s">
        <v>1239</v>
      </c>
      <c r="H221" s="399" t="s">
        <v>1239</v>
      </c>
      <c r="I221" s="399" t="s">
        <v>2336</v>
      </c>
      <c r="J221" s="399" t="s">
        <v>2326</v>
      </c>
      <c r="K221" s="786">
        <v>44593</v>
      </c>
      <c r="L221" s="399">
        <v>0</v>
      </c>
      <c r="M221" s="399">
        <v>0</v>
      </c>
      <c r="N221" s="399">
        <v>1.2999999999999999E-2</v>
      </c>
      <c r="O221" s="399">
        <v>1.2999999999999999E-2</v>
      </c>
      <c r="P221" s="399">
        <v>1.2999999999999999E-2</v>
      </c>
      <c r="Q221" s="399">
        <v>1.2999999999999999E-2</v>
      </c>
      <c r="R221" s="399"/>
      <c r="S221" s="399">
        <v>1270.6099999999999</v>
      </c>
      <c r="T221" s="399">
        <v>185.74</v>
      </c>
      <c r="U221" s="399"/>
      <c r="V221" s="399">
        <v>18.932549999999996</v>
      </c>
      <c r="W221" s="399">
        <v>18.932549999999996</v>
      </c>
      <c r="X221" s="399">
        <v>10.910250000000001</v>
      </c>
      <c r="Y221" s="399">
        <v>0</v>
      </c>
      <c r="Z221" s="399">
        <v>0.81048715914543257</v>
      </c>
      <c r="AA221" s="399">
        <v>0</v>
      </c>
      <c r="AB221" s="399">
        <v>0</v>
      </c>
      <c r="AC221" s="399">
        <v>0</v>
      </c>
      <c r="AD221" s="399">
        <v>2.7460416239901972</v>
      </c>
      <c r="AE221" s="399">
        <v>12.367904194397127</v>
      </c>
      <c r="AF221" s="399">
        <v>2.4146757432000712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0.12525752481400393</v>
      </c>
      <c r="AM221" s="399"/>
      <c r="AN221" s="399">
        <v>3.0821275527473206E-2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0.43745648772465379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2.8521322309247248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8.3925000000000001</v>
      </c>
      <c r="CJ221" s="399">
        <v>-10.57005</v>
      </c>
      <c r="CK221" s="399"/>
      <c r="CL221" s="399"/>
      <c r="CM221" s="399"/>
      <c r="CN221" s="399"/>
      <c r="CO221" s="399">
        <v>-8.0222999999999978</v>
      </c>
      <c r="CP221" s="399">
        <v>0</v>
      </c>
      <c r="CQ221" s="399">
        <v>29</v>
      </c>
      <c r="CR221" s="399">
        <v>-0.31123492225699145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-0.25279129639089337</v>
      </c>
      <c r="DA221" s="399">
        <v>0</v>
      </c>
      <c r="DB221" s="399">
        <v>0</v>
      </c>
      <c r="DC221" s="399">
        <v>0</v>
      </c>
      <c r="DD221" s="399">
        <v>0</v>
      </c>
      <c r="DE221" s="399">
        <v>0</v>
      </c>
      <c r="DF221" s="399">
        <v>0</v>
      </c>
      <c r="DG221" s="399">
        <v>0</v>
      </c>
      <c r="DH221" s="399">
        <v>0</v>
      </c>
      <c r="DI221" s="399">
        <v>-5.0127565127507379E-2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-6.7153559155164327E-3</v>
      </c>
      <c r="DP221" s="399">
        <v>-1.6007048230730694E-3</v>
      </c>
      <c r="DQ221" s="399">
        <v>0</v>
      </c>
      <c r="DR221" s="399">
        <v>0</v>
      </c>
      <c r="DS221" s="399"/>
      <c r="DT221" s="399"/>
      <c r="DU221" s="399"/>
      <c r="DV221" s="399">
        <v>12.367904194397127</v>
      </c>
      <c r="DW221" s="399">
        <v>0</v>
      </c>
      <c r="DX221" s="399">
        <v>0</v>
      </c>
      <c r="DY221" s="399">
        <v>-8.022299999999996</v>
      </c>
      <c r="DZ221" s="399">
        <v>0</v>
      </c>
      <c r="EA221" s="399">
        <v>0</v>
      </c>
      <c r="EB221" s="399">
        <v>0</v>
      </c>
      <c r="EC221" s="399">
        <v>-7.7111027734712394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221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221</v>
      </c>
      <c r="B222" s="399" t="s">
        <v>956</v>
      </c>
      <c r="C222" s="399" t="s">
        <v>2328</v>
      </c>
      <c r="D222" s="399" t="s">
        <v>1824</v>
      </c>
      <c r="E222" s="399" t="s">
        <v>890</v>
      </c>
      <c r="F222" s="399" t="s">
        <v>1239</v>
      </c>
      <c r="G222" s="399" t="s">
        <v>1239</v>
      </c>
      <c r="H222" s="399" t="s">
        <v>1239</v>
      </c>
      <c r="I222" s="399" t="s">
        <v>1239</v>
      </c>
      <c r="J222" s="399" t="s">
        <v>2326</v>
      </c>
      <c r="K222" s="786">
        <v>44593</v>
      </c>
      <c r="L222" s="399">
        <v>0</v>
      </c>
      <c r="M222" s="399">
        <v>0</v>
      </c>
      <c r="N222" s="399">
        <v>38.561999999999998</v>
      </c>
      <c r="O222" s="399">
        <v>38.561999999999998</v>
      </c>
      <c r="P222" s="399">
        <v>38.561999999999998</v>
      </c>
      <c r="Q222" s="399">
        <v>38.561999999999998</v>
      </c>
      <c r="R222" s="399"/>
      <c r="S222" s="399">
        <v>825.6</v>
      </c>
      <c r="T222" s="399">
        <v>185.74</v>
      </c>
      <c r="U222" s="399"/>
      <c r="V222" s="399">
        <v>38999.293079999996</v>
      </c>
      <c r="W222" s="399">
        <v>38999.293079999996</v>
      </c>
      <c r="X222" s="399">
        <v>24243.929399999997</v>
      </c>
      <c r="Y222" s="399">
        <v>0</v>
      </c>
      <c r="Z222" s="399">
        <v>2404.1542946897052</v>
      </c>
      <c r="AA222" s="399">
        <v>0</v>
      </c>
      <c r="AB222" s="399">
        <v>0</v>
      </c>
      <c r="AC222" s="399">
        <v>0</v>
      </c>
      <c r="AD222" s="399">
        <v>5025.8512564573857</v>
      </c>
      <c r="AE222" s="399">
        <v>22646.297357545493</v>
      </c>
      <c r="AF222" s="399">
        <v>7162.6712314831648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371.55235937520149</v>
      </c>
      <c r="AM222" s="399"/>
      <c r="AN222" s="399">
        <v>91.4253866838786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1297.630544587546</v>
      </c>
      <c r="BH222" s="399">
        <v>0</v>
      </c>
      <c r="BI222" s="399">
        <v>14.61</v>
      </c>
      <c r="BJ222" s="399">
        <v>62.72</v>
      </c>
      <c r="BK222" s="399">
        <v>9931.99</v>
      </c>
      <c r="BL222" s="399">
        <v>46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8460.3017760707116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24242.671999999999</v>
      </c>
      <c r="CJ222" s="399">
        <v>-14756.651079999996</v>
      </c>
      <c r="CK222" s="399"/>
      <c r="CL222" s="399"/>
      <c r="CM222" s="399"/>
      <c r="CN222" s="399"/>
      <c r="CO222" s="399">
        <v>-14755.36368</v>
      </c>
      <c r="CP222" s="399">
        <v>0</v>
      </c>
      <c r="CQ222" s="399">
        <v>29</v>
      </c>
      <c r="CR222" s="399">
        <v>-636.02463083805014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-462.66285386509117</v>
      </c>
      <c r="DA222" s="399">
        <v>0</v>
      </c>
      <c r="DB222" s="399">
        <v>0</v>
      </c>
      <c r="DC222" s="399">
        <v>0</v>
      </c>
      <c r="DD222" s="399">
        <v>0</v>
      </c>
      <c r="DE222" s="399">
        <v>0</v>
      </c>
      <c r="DF222" s="399">
        <v>0</v>
      </c>
      <c r="DG222" s="399">
        <v>0</v>
      </c>
      <c r="DH222" s="399">
        <v>0</v>
      </c>
      <c r="DI222" s="399">
        <v>-148.69378203438009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-19.919811908780332</v>
      </c>
      <c r="DP222" s="399">
        <v>-4.7481830297956691</v>
      </c>
      <c r="DQ222" s="399">
        <v>0</v>
      </c>
      <c r="DR222" s="399">
        <v>0</v>
      </c>
      <c r="DS222" s="399"/>
      <c r="DT222" s="399"/>
      <c r="DU222" s="399"/>
      <c r="DV222" s="399">
        <v>22646.297357545493</v>
      </c>
      <c r="DW222" s="399">
        <v>0</v>
      </c>
      <c r="DX222" s="399">
        <v>0</v>
      </c>
      <c r="DY222" s="399">
        <v>-14755.363680000002</v>
      </c>
      <c r="DZ222" s="399">
        <v>0</v>
      </c>
      <c r="EA222" s="399">
        <v>0</v>
      </c>
      <c r="EB222" s="399">
        <v>0</v>
      </c>
      <c r="EC222" s="399">
        <v>-14119.443651716927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221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222</v>
      </c>
      <c r="B223" s="399" t="s">
        <v>2330</v>
      </c>
      <c r="C223" s="399" t="s">
        <v>2328</v>
      </c>
      <c r="D223" s="399" t="s">
        <v>1824</v>
      </c>
      <c r="E223" s="399" t="s">
        <v>890</v>
      </c>
      <c r="F223" s="399" t="s">
        <v>1239</v>
      </c>
      <c r="G223" s="399" t="s">
        <v>1239</v>
      </c>
      <c r="H223" s="399" t="s">
        <v>1239</v>
      </c>
      <c r="I223" s="399" t="s">
        <v>1239</v>
      </c>
      <c r="J223" s="399" t="s">
        <v>2326</v>
      </c>
      <c r="K223" s="786">
        <v>44593</v>
      </c>
      <c r="L223" s="399">
        <v>0</v>
      </c>
      <c r="M223" s="399">
        <v>0</v>
      </c>
      <c r="N223" s="399">
        <v>0.3</v>
      </c>
      <c r="O223" s="399">
        <v>0.3</v>
      </c>
      <c r="P223" s="399">
        <v>0.3</v>
      </c>
      <c r="Q223" s="399">
        <v>0.3</v>
      </c>
      <c r="R223" s="399"/>
      <c r="S223" s="399">
        <v>825.6</v>
      </c>
      <c r="T223" s="399">
        <v>185.74</v>
      </c>
      <c r="U223" s="399"/>
      <c r="V223" s="399">
        <v>303.40199999999999</v>
      </c>
      <c r="W223" s="399">
        <v>303.40199999999999</v>
      </c>
      <c r="X223" s="399">
        <v>188.60999999999999</v>
      </c>
      <c r="Y223" s="399">
        <v>0</v>
      </c>
      <c r="Z223" s="399">
        <v>18.703549826433058</v>
      </c>
      <c r="AA223" s="399">
        <v>0</v>
      </c>
      <c r="AB223" s="399">
        <v>0</v>
      </c>
      <c r="AC223" s="399">
        <v>0</v>
      </c>
      <c r="AD223" s="399">
        <v>39.099511875349201</v>
      </c>
      <c r="AE223" s="399">
        <v>176.18093478719069</v>
      </c>
      <c r="AF223" s="399">
        <v>55.723286381540099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2.8905582649385519</v>
      </c>
      <c r="AM223" s="399"/>
      <c r="AN223" s="399">
        <v>0.71126020448015093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10.09514971672278</v>
      </c>
      <c r="BH223" s="399">
        <v>0</v>
      </c>
      <c r="BI223" s="399">
        <v>0.01</v>
      </c>
      <c r="BJ223" s="399">
        <v>0.14000000000000001</v>
      </c>
      <c r="BK223" s="399">
        <v>1488.74</v>
      </c>
      <c r="BL223" s="399">
        <v>3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65.818436098262879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188.60999999999999</v>
      </c>
      <c r="CJ223" s="399">
        <v>-114.82199999999997</v>
      </c>
      <c r="CK223" s="399"/>
      <c r="CL223" s="399"/>
      <c r="CM223" s="399"/>
      <c r="CN223" s="399"/>
      <c r="CO223" s="399">
        <v>-114.79200000000002</v>
      </c>
      <c r="CP223" s="399">
        <v>0</v>
      </c>
      <c r="CQ223" s="399">
        <v>29</v>
      </c>
      <c r="CR223" s="399">
        <v>-4.948067767528002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-3.5993687090795987</v>
      </c>
      <c r="DA223" s="399">
        <v>0</v>
      </c>
      <c r="DB223" s="399">
        <v>0</v>
      </c>
      <c r="DC223" s="399">
        <v>0</v>
      </c>
      <c r="DD223" s="399">
        <v>0</v>
      </c>
      <c r="DE223" s="399">
        <v>0</v>
      </c>
      <c r="DF223" s="399">
        <v>0</v>
      </c>
      <c r="DG223" s="399">
        <v>0</v>
      </c>
      <c r="DH223" s="399">
        <v>0</v>
      </c>
      <c r="DI223" s="399">
        <v>-1.1567899644809394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-0.15496975189653295</v>
      </c>
      <c r="DP223" s="399">
        <v>-3.6939342070916981E-2</v>
      </c>
      <c r="DQ223" s="399">
        <v>0</v>
      </c>
      <c r="DR223" s="399">
        <v>0</v>
      </c>
      <c r="DS223" s="399"/>
      <c r="DT223" s="399"/>
      <c r="DU223" s="399"/>
      <c r="DV223" s="399">
        <v>176.18093478719069</v>
      </c>
      <c r="DW223" s="399">
        <v>0</v>
      </c>
      <c r="DX223" s="399">
        <v>0</v>
      </c>
      <c r="DY223" s="399">
        <v>-114.79200000000003</v>
      </c>
      <c r="DZ223" s="399">
        <v>0</v>
      </c>
      <c r="EA223" s="399">
        <v>0</v>
      </c>
      <c r="EB223" s="399">
        <v>0</v>
      </c>
      <c r="EC223" s="399">
        <v>-109.84474600682219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221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223</v>
      </c>
      <c r="B224" s="399" t="s">
        <v>956</v>
      </c>
      <c r="C224" s="399" t="s">
        <v>2325</v>
      </c>
      <c r="D224" s="399" t="s">
        <v>533</v>
      </c>
      <c r="E224" s="399" t="s">
        <v>890</v>
      </c>
      <c r="F224" s="399" t="s">
        <v>1239</v>
      </c>
      <c r="G224" s="399" t="s">
        <v>1239</v>
      </c>
      <c r="H224" s="399" t="s">
        <v>1239</v>
      </c>
      <c r="I224" s="399" t="s">
        <v>893</v>
      </c>
      <c r="J224" s="399" t="s">
        <v>2326</v>
      </c>
      <c r="K224" s="786">
        <v>44593</v>
      </c>
      <c r="L224" s="399">
        <v>0</v>
      </c>
      <c r="M224" s="399">
        <v>0</v>
      </c>
      <c r="N224" s="399">
        <v>0.86</v>
      </c>
      <c r="O224" s="399">
        <v>0.86</v>
      </c>
      <c r="P224" s="399">
        <v>0.86</v>
      </c>
      <c r="Q224" s="399">
        <v>0.86</v>
      </c>
      <c r="R224" s="399"/>
      <c r="S224" s="399">
        <v>4433.21</v>
      </c>
      <c r="T224" s="399">
        <v>185.74</v>
      </c>
      <c r="U224" s="399"/>
      <c r="V224" s="399">
        <v>3972.2969999999996</v>
      </c>
      <c r="W224" s="399">
        <v>3972.2969999999996</v>
      </c>
      <c r="X224" s="399">
        <v>2073.1332000000002</v>
      </c>
      <c r="Y224" s="399">
        <v>0</v>
      </c>
      <c r="Z224" s="399">
        <v>46.646653267123988</v>
      </c>
      <c r="AA224" s="399">
        <v>0</v>
      </c>
      <c r="AB224" s="399">
        <v>0</v>
      </c>
      <c r="AC224" s="399">
        <v>0</v>
      </c>
      <c r="AD224" s="399">
        <v>826.99575843796561</v>
      </c>
      <c r="AE224" s="399">
        <v>2918.5678585363962</v>
      </c>
      <c r="AF224" s="399">
        <v>159.74008762708164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8.2862670261571836</v>
      </c>
      <c r="AM224" s="399"/>
      <c r="AN224" s="399">
        <v>0.8908580242656936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11.173269465824285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170.91335709290593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2073.1332000000002</v>
      </c>
      <c r="CJ224" s="399">
        <v>-1899.1938</v>
      </c>
      <c r="CK224" s="399"/>
      <c r="CL224" s="399"/>
      <c r="CM224" s="399"/>
      <c r="CN224" s="399"/>
      <c r="CO224" s="399">
        <v>-1899.1637999999998</v>
      </c>
      <c r="CP224" s="399">
        <v>0</v>
      </c>
      <c r="CQ224" s="399">
        <v>29</v>
      </c>
      <c r="CR224" s="399">
        <v>-79.505977651450507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-76.130430092143456</v>
      </c>
      <c r="DA224" s="399">
        <v>0</v>
      </c>
      <c r="DB224" s="399">
        <v>0</v>
      </c>
      <c r="DC224" s="399">
        <v>0</v>
      </c>
      <c r="DD224" s="399">
        <v>0</v>
      </c>
      <c r="DE224" s="399">
        <v>0</v>
      </c>
      <c r="DF224" s="399">
        <v>0</v>
      </c>
      <c r="DG224" s="399">
        <v>0</v>
      </c>
      <c r="DH224" s="399">
        <v>0</v>
      </c>
      <c r="DI224" s="399">
        <v>-2.8850341714154411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-0.44424662210339516</v>
      </c>
      <c r="DP224" s="399">
        <v>-4.6266765787947195E-2</v>
      </c>
      <c r="DQ224" s="399">
        <v>0</v>
      </c>
      <c r="DR224" s="399">
        <v>0</v>
      </c>
      <c r="DS224" s="399"/>
      <c r="DT224" s="399"/>
      <c r="DU224" s="399"/>
      <c r="DV224" s="399">
        <v>2918.5678585363962</v>
      </c>
      <c r="DW224" s="399">
        <v>0</v>
      </c>
      <c r="DX224" s="399">
        <v>0</v>
      </c>
      <c r="DY224" s="399">
        <v>-1899.1637999999998</v>
      </c>
      <c r="DZ224" s="399">
        <v>0</v>
      </c>
      <c r="EA224" s="399">
        <v>0</v>
      </c>
      <c r="EB224" s="399">
        <v>0</v>
      </c>
      <c r="EC224" s="399">
        <v>-1819.6596896925619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221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224</v>
      </c>
      <c r="B225" s="399" t="s">
        <v>956</v>
      </c>
      <c r="C225" s="399" t="s">
        <v>2325</v>
      </c>
      <c r="D225" s="399" t="s">
        <v>533</v>
      </c>
      <c r="E225" s="399" t="s">
        <v>890</v>
      </c>
      <c r="F225" s="399" t="s">
        <v>1239</v>
      </c>
      <c r="G225" s="399" t="s">
        <v>1239</v>
      </c>
      <c r="H225" s="399" t="s">
        <v>1239</v>
      </c>
      <c r="I225" s="399" t="s">
        <v>2323</v>
      </c>
      <c r="J225" s="399" t="s">
        <v>2326</v>
      </c>
      <c r="K225" s="786">
        <v>44593</v>
      </c>
      <c r="L225" s="399">
        <v>0</v>
      </c>
      <c r="M225" s="399">
        <v>0</v>
      </c>
      <c r="N225" s="399">
        <v>40.412999999999997</v>
      </c>
      <c r="O225" s="399">
        <v>40.412999999999997</v>
      </c>
      <c r="P225" s="399">
        <v>40.412999999999997</v>
      </c>
      <c r="Q225" s="399">
        <v>40.412999999999997</v>
      </c>
      <c r="R225" s="399"/>
      <c r="S225" s="399">
        <v>77.900000000000006</v>
      </c>
      <c r="T225" s="399">
        <v>185.74</v>
      </c>
      <c r="U225" s="399"/>
      <c r="V225" s="399">
        <v>10654.483319999999</v>
      </c>
      <c r="W225" s="399">
        <v>10654.483319999999</v>
      </c>
      <c r="X225" s="399">
        <v>10496.06436</v>
      </c>
      <c r="Y225" s="399">
        <v>0</v>
      </c>
      <c r="Z225" s="399">
        <v>2192.0130214933506</v>
      </c>
      <c r="AA225" s="399">
        <v>0</v>
      </c>
      <c r="AB225" s="399">
        <v>0</v>
      </c>
      <c r="AC225" s="399">
        <v>0</v>
      </c>
      <c r="AD225" s="399">
        <v>0</v>
      </c>
      <c r="AE225" s="399">
        <v>0</v>
      </c>
      <c r="AF225" s="399">
        <v>7506.4839084572668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389.38710386987236</v>
      </c>
      <c r="AM225" s="399"/>
      <c r="AN225" s="399">
        <v>41.863075970522644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525.05271967715908</v>
      </c>
      <c r="BH225" s="399">
        <v>0</v>
      </c>
      <c r="BI225" s="399">
        <v>0</v>
      </c>
      <c r="BJ225" s="399">
        <v>0</v>
      </c>
      <c r="BK225" s="399">
        <v>0</v>
      </c>
      <c r="BL225" s="399">
        <v>0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8031.5366281344259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10495.285199999998</v>
      </c>
      <c r="CJ225" s="399">
        <v>-159.22812000000158</v>
      </c>
      <c r="CK225" s="399"/>
      <c r="CL225" s="399"/>
      <c r="CM225" s="399"/>
      <c r="CN225" s="399"/>
      <c r="CO225" s="399">
        <v>-158.41896000000006</v>
      </c>
      <c r="CP225" s="399">
        <v>0</v>
      </c>
      <c r="CQ225" s="399">
        <v>29</v>
      </c>
      <c r="CR225" s="399">
        <v>-158.62325990031059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0</v>
      </c>
      <c r="DA225" s="399">
        <v>0</v>
      </c>
      <c r="DB225" s="399">
        <v>0</v>
      </c>
      <c r="DC225" s="399">
        <v>0</v>
      </c>
      <c r="DD225" s="399">
        <v>0</v>
      </c>
      <c r="DE225" s="399">
        <v>0</v>
      </c>
      <c r="DF225" s="399">
        <v>0</v>
      </c>
      <c r="DG225" s="399">
        <v>0</v>
      </c>
      <c r="DH225" s="399">
        <v>0</v>
      </c>
      <c r="DI225" s="399">
        <v>-135.57312322024654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-20.875975277981979</v>
      </c>
      <c r="DP225" s="399">
        <v>-2.1741614020794344</v>
      </c>
      <c r="DQ225" s="399">
        <v>0</v>
      </c>
      <c r="DR225" s="399">
        <v>0</v>
      </c>
      <c r="DS225" s="399"/>
      <c r="DT225" s="399"/>
      <c r="DU225" s="399"/>
      <c r="DV225" s="399">
        <v>0</v>
      </c>
      <c r="DW225" s="399">
        <v>0</v>
      </c>
      <c r="DX225" s="399">
        <v>0</v>
      </c>
      <c r="DY225" s="399">
        <v>-158.41895999999997</v>
      </c>
      <c r="DZ225" s="399">
        <v>0</v>
      </c>
      <c r="EA225" s="399">
        <v>0</v>
      </c>
      <c r="EB225" s="399">
        <v>0</v>
      </c>
      <c r="EC225" s="399">
        <v>0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221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225</v>
      </c>
      <c r="B226" s="399" t="s">
        <v>956</v>
      </c>
      <c r="C226" s="399" t="s">
        <v>2325</v>
      </c>
      <c r="D226" s="399" t="s">
        <v>533</v>
      </c>
      <c r="E226" s="399" t="s">
        <v>890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2326</v>
      </c>
      <c r="K226" s="786">
        <v>44593</v>
      </c>
      <c r="L226" s="399">
        <v>331</v>
      </c>
      <c r="M226" s="399">
        <v>331</v>
      </c>
      <c r="N226" s="399">
        <v>0</v>
      </c>
      <c r="O226" s="399">
        <v>0</v>
      </c>
      <c r="P226" s="399">
        <v>0</v>
      </c>
      <c r="Q226" s="399">
        <v>0</v>
      </c>
      <c r="R226" s="399">
        <v>55.59</v>
      </c>
      <c r="S226" s="399"/>
      <c r="T226" s="399"/>
      <c r="U226" s="399">
        <v>18400.29</v>
      </c>
      <c r="V226" s="399"/>
      <c r="W226" s="399">
        <v>18400.29</v>
      </c>
      <c r="X226" s="399">
        <v>9767.8100000000013</v>
      </c>
      <c r="Y226" s="399">
        <v>0</v>
      </c>
      <c r="Z226" s="399">
        <v>0</v>
      </c>
      <c r="AA226" s="399">
        <v>0</v>
      </c>
      <c r="AB226" s="399">
        <v>0</v>
      </c>
      <c r="AC226" s="399">
        <v>0</v>
      </c>
      <c r="AD226" s="399">
        <v>5347.1960439937893</v>
      </c>
      <c r="AE226" s="399">
        <v>13051.569358202585</v>
      </c>
      <c r="AF226" s="399"/>
      <c r="AG226" s="399"/>
      <c r="AH226" s="399"/>
      <c r="AI226" s="399">
        <v>0</v>
      </c>
      <c r="AJ226" s="399">
        <v>0</v>
      </c>
      <c r="AK226" s="399">
        <v>0</v>
      </c>
      <c r="AL226" s="399">
        <v>0</v>
      </c>
      <c r="AM226" s="399"/>
      <c r="AN226" s="399">
        <v>0</v>
      </c>
      <c r="AO226" s="399">
        <v>0</v>
      </c>
      <c r="AP226" s="399">
        <v>0</v>
      </c>
      <c r="AQ226" s="399">
        <v>0</v>
      </c>
      <c r="AR226" s="399">
        <v>0</v>
      </c>
      <c r="AS226" s="399"/>
      <c r="AT226" s="399"/>
      <c r="AU226" s="399">
        <v>0</v>
      </c>
      <c r="AV226" s="399">
        <v>0</v>
      </c>
      <c r="AW226" s="399">
        <v>0</v>
      </c>
      <c r="AX226" s="399"/>
      <c r="AY226" s="399"/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/>
      <c r="BG226" s="399">
        <v>0</v>
      </c>
      <c r="BH226" s="399">
        <v>0</v>
      </c>
      <c r="BI226" s="399">
        <v>14.4</v>
      </c>
      <c r="BJ226" s="399">
        <v>60.63</v>
      </c>
      <c r="BK226" s="399">
        <v>9058.77</v>
      </c>
      <c r="BL226" s="399">
        <v>5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0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9767.8100000000013</v>
      </c>
      <c r="CJ226" s="399">
        <v>-8632.5099999999948</v>
      </c>
      <c r="CK226" s="399"/>
      <c r="CL226" s="399"/>
      <c r="CM226" s="399"/>
      <c r="CN226" s="399"/>
      <c r="CO226" s="399">
        <v>-8632.4800000000014</v>
      </c>
      <c r="CP226" s="399">
        <v>0</v>
      </c>
      <c r="CQ226" s="399">
        <v>29</v>
      </c>
      <c r="CR226" s="399">
        <v>-492.24476723456337</v>
      </c>
      <c r="CS226" s="399">
        <v>0</v>
      </c>
      <c r="CT226" s="399">
        <v>0</v>
      </c>
      <c r="CU226" s="399">
        <v>0</v>
      </c>
      <c r="CV226" s="399">
        <v>0</v>
      </c>
      <c r="CW226" s="399"/>
      <c r="CX226" s="399"/>
      <c r="CY226" s="399"/>
      <c r="CZ226" s="399">
        <v>-492.24476723456337</v>
      </c>
      <c r="DA226" s="399">
        <v>0</v>
      </c>
      <c r="DB226" s="399">
        <v>0</v>
      </c>
      <c r="DC226" s="399"/>
      <c r="DD226" s="399"/>
      <c r="DE226" s="399">
        <v>0</v>
      </c>
      <c r="DF226" s="399">
        <v>0</v>
      </c>
      <c r="DG226" s="399">
        <v>0</v>
      </c>
      <c r="DH226" s="399">
        <v>0</v>
      </c>
      <c r="DI226" s="399">
        <v>0</v>
      </c>
      <c r="DJ226" s="399"/>
      <c r="DK226" s="399">
        <v>0</v>
      </c>
      <c r="DL226" s="399">
        <v>0</v>
      </c>
      <c r="DM226" s="399"/>
      <c r="DN226" s="399">
        <v>0</v>
      </c>
      <c r="DO226" s="399">
        <v>0</v>
      </c>
      <c r="DP226" s="399">
        <v>0</v>
      </c>
      <c r="DQ226" s="399">
        <v>0</v>
      </c>
      <c r="DR226" s="399">
        <v>0</v>
      </c>
      <c r="DS226" s="399"/>
      <c r="DT226" s="399"/>
      <c r="DU226" s="399">
        <v>13051.569358202585</v>
      </c>
      <c r="DV226" s="399"/>
      <c r="DW226" s="399">
        <v>0</v>
      </c>
      <c r="DX226" s="399">
        <v>0</v>
      </c>
      <c r="DY226" s="399">
        <v>-8632.48</v>
      </c>
      <c r="DZ226" s="399"/>
      <c r="EA226" s="399">
        <v>0</v>
      </c>
      <c r="EB226" s="399"/>
      <c r="EC226" s="399">
        <v>-8137.3522218728622</v>
      </c>
      <c r="ED226" s="399"/>
      <c r="EE226" s="399">
        <v>0</v>
      </c>
      <c r="EF226" s="399">
        <v>0</v>
      </c>
      <c r="EG226" s="399"/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/>
      <c r="EN226" s="399"/>
      <c r="EO226" s="399">
        <v>0</v>
      </c>
      <c r="EP226" s="399">
        <v>0</v>
      </c>
      <c r="EQ226" s="399"/>
      <c r="ER226" s="399">
        <v>0</v>
      </c>
      <c r="ES226" s="399"/>
      <c r="ET226" s="399">
        <v>0</v>
      </c>
      <c r="EU226" s="399"/>
      <c r="EV226" s="399">
        <v>221</v>
      </c>
      <c r="EW226" s="399"/>
      <c r="EX226" s="399"/>
      <c r="EY226" s="399"/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226</v>
      </c>
      <c r="B227" s="399" t="s">
        <v>956</v>
      </c>
      <c r="C227" s="399" t="s">
        <v>2328</v>
      </c>
      <c r="D227" s="399" t="s">
        <v>1824</v>
      </c>
      <c r="E227" s="399" t="s">
        <v>918</v>
      </c>
      <c r="F227" s="399" t="s">
        <v>1239</v>
      </c>
      <c r="G227" s="399" t="s">
        <v>1239</v>
      </c>
      <c r="H227" s="399" t="s">
        <v>1239</v>
      </c>
      <c r="I227" s="399" t="s">
        <v>1239</v>
      </c>
      <c r="J227" s="399" t="s">
        <v>2326</v>
      </c>
      <c r="K227" s="786">
        <v>44593</v>
      </c>
      <c r="L227" s="399">
        <v>0</v>
      </c>
      <c r="M227" s="399">
        <v>0</v>
      </c>
      <c r="N227" s="399">
        <v>190.53700000000001</v>
      </c>
      <c r="O227" s="399">
        <v>190.53700000000001</v>
      </c>
      <c r="P227" s="399">
        <v>190.53700000000001</v>
      </c>
      <c r="Q227" s="399">
        <v>190.53700000000001</v>
      </c>
      <c r="R227" s="399"/>
      <c r="S227" s="399">
        <v>825.6</v>
      </c>
      <c r="T227" s="399">
        <v>185.74</v>
      </c>
      <c r="U227" s="399"/>
      <c r="V227" s="399">
        <v>192697.68958000001</v>
      </c>
      <c r="W227" s="399">
        <v>192697.68958000001</v>
      </c>
      <c r="X227" s="399">
        <v>119790.6119</v>
      </c>
      <c r="Y227" s="399">
        <v>0</v>
      </c>
      <c r="Z227" s="399">
        <v>11879.060910930253</v>
      </c>
      <c r="AA227" s="399">
        <v>0</v>
      </c>
      <c r="AB227" s="399">
        <v>0</v>
      </c>
      <c r="AC227" s="399">
        <v>0</v>
      </c>
      <c r="AD227" s="399">
        <v>24833.012313978037</v>
      </c>
      <c r="AE227" s="399">
        <v>111896.62257182319</v>
      </c>
      <c r="AF227" s="399">
        <v>35391.159390931687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1835.8610004219897</v>
      </c>
      <c r="AM227" s="399"/>
      <c r="AN227" s="399">
        <v>451.73795193678177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6411.6651385840278</v>
      </c>
      <c r="BH227" s="399">
        <v>0</v>
      </c>
      <c r="BI227" s="399">
        <v>71.790000000000006</v>
      </c>
      <c r="BJ227" s="399">
        <v>309.70999999999998</v>
      </c>
      <c r="BK227" s="399">
        <v>47930.37</v>
      </c>
      <c r="BL227" s="399">
        <v>368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41802.824529515718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119792.49799999999</v>
      </c>
      <c r="CJ227" s="399">
        <v>-72905.221580000041</v>
      </c>
      <c r="CK227" s="399"/>
      <c r="CL227" s="399"/>
      <c r="CM227" s="399"/>
      <c r="CN227" s="399"/>
      <c r="CO227" s="399">
        <v>-72907.077680000017</v>
      </c>
      <c r="CP227" s="399">
        <v>0</v>
      </c>
      <c r="CQ227" s="399">
        <v>29</v>
      </c>
      <c r="CR227" s="399">
        <v>-3142.6332940716093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-2286.043052406334</v>
      </c>
      <c r="DA227" s="399">
        <v>0</v>
      </c>
      <c r="DB227" s="399">
        <v>0</v>
      </c>
      <c r="DC227" s="399">
        <v>0</v>
      </c>
      <c r="DD227" s="399">
        <v>0</v>
      </c>
      <c r="DE227" s="399">
        <v>0</v>
      </c>
      <c r="DF227" s="399">
        <v>0</v>
      </c>
      <c r="DG227" s="399">
        <v>0</v>
      </c>
      <c r="DH227" s="399">
        <v>0</v>
      </c>
      <c r="DI227" s="399">
        <v>-734.70429820768186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-98.424905390365666</v>
      </c>
      <c r="DP227" s="399">
        <v>-23.461038067221068</v>
      </c>
      <c r="DQ227" s="399">
        <v>0</v>
      </c>
      <c r="DR227" s="399">
        <v>0</v>
      </c>
      <c r="DS227" s="399"/>
      <c r="DT227" s="399"/>
      <c r="DU227" s="399"/>
      <c r="DV227" s="399">
        <v>111896.62257182319</v>
      </c>
      <c r="DW227" s="399">
        <v>0</v>
      </c>
      <c r="DX227" s="399">
        <v>0</v>
      </c>
      <c r="DY227" s="399">
        <v>-72907.077680000017</v>
      </c>
      <c r="DZ227" s="399">
        <v>0</v>
      </c>
      <c r="EA227" s="399">
        <v>0</v>
      </c>
      <c r="EB227" s="399">
        <v>0</v>
      </c>
      <c r="EC227" s="399">
        <v>-69764.961233006266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221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227</v>
      </c>
      <c r="B228" s="399" t="s">
        <v>2330</v>
      </c>
      <c r="C228" s="399" t="s">
        <v>2328</v>
      </c>
      <c r="D228" s="399" t="s">
        <v>1824</v>
      </c>
      <c r="E228" s="399" t="s">
        <v>918</v>
      </c>
      <c r="F228" s="399" t="s">
        <v>1239</v>
      </c>
      <c r="G228" s="399" t="s">
        <v>1239</v>
      </c>
      <c r="H228" s="399" t="s">
        <v>1239</v>
      </c>
      <c r="I228" s="399" t="s">
        <v>1239</v>
      </c>
      <c r="J228" s="399" t="s">
        <v>2326</v>
      </c>
      <c r="K228" s="786">
        <v>44593</v>
      </c>
      <c r="L228" s="399">
        <v>0</v>
      </c>
      <c r="M228" s="399">
        <v>0</v>
      </c>
      <c r="N228" s="399">
        <v>3.2589999999999999</v>
      </c>
      <c r="O228" s="399">
        <v>3.2589999999999999</v>
      </c>
      <c r="P228" s="399">
        <v>3.2589999999999999</v>
      </c>
      <c r="Q228" s="399">
        <v>3.2589999999999999</v>
      </c>
      <c r="R228" s="399"/>
      <c r="S228" s="399">
        <v>825.6</v>
      </c>
      <c r="T228" s="399">
        <v>185.74</v>
      </c>
      <c r="U228" s="399"/>
      <c r="V228" s="399">
        <v>3295.9570600000002</v>
      </c>
      <c r="W228" s="399">
        <v>3295.9570600000002</v>
      </c>
      <c r="X228" s="399">
        <v>2048.9333000000001</v>
      </c>
      <c r="Y228" s="399">
        <v>0</v>
      </c>
      <c r="Z228" s="399">
        <v>203.18289628115113</v>
      </c>
      <c r="AA228" s="399">
        <v>0</v>
      </c>
      <c r="AB228" s="399">
        <v>0</v>
      </c>
      <c r="AC228" s="399">
        <v>0</v>
      </c>
      <c r="AD228" s="399">
        <v>424.75103067254349</v>
      </c>
      <c r="AE228" s="399">
        <v>1913.9122215715149</v>
      </c>
      <c r="AF228" s="399">
        <v>605.34063439146394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31.401097951449138</v>
      </c>
      <c r="AM228" s="399"/>
      <c r="AN228" s="399">
        <v>7.7266566880027066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109.66697642266513</v>
      </c>
      <c r="BH228" s="399">
        <v>0</v>
      </c>
      <c r="BI228" s="399">
        <v>1.07</v>
      </c>
      <c r="BJ228" s="399">
        <v>4.8099999999999996</v>
      </c>
      <c r="BK228" s="399">
        <v>2978.32</v>
      </c>
      <c r="BL228" s="399">
        <v>11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715.00761081412907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2049.5619999999999</v>
      </c>
      <c r="CJ228" s="399">
        <v>-1246.4250600000009</v>
      </c>
      <c r="CK228" s="399"/>
      <c r="CL228" s="399"/>
      <c r="CM228" s="399"/>
      <c r="CN228" s="399"/>
      <c r="CO228" s="399">
        <v>-1247.02376</v>
      </c>
      <c r="CP228" s="399">
        <v>0</v>
      </c>
      <c r="CQ228" s="399">
        <v>29</v>
      </c>
      <c r="CR228" s="399">
        <v>-53.752509514579287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-39.101142076301414</v>
      </c>
      <c r="DA228" s="399">
        <v>0</v>
      </c>
      <c r="DB228" s="399">
        <v>0</v>
      </c>
      <c r="DC228" s="399">
        <v>0</v>
      </c>
      <c r="DD228" s="399">
        <v>0</v>
      </c>
      <c r="DE228" s="399">
        <v>0</v>
      </c>
      <c r="DF228" s="399">
        <v>0</v>
      </c>
      <c r="DG228" s="399">
        <v>0</v>
      </c>
      <c r="DH228" s="399">
        <v>0</v>
      </c>
      <c r="DI228" s="399">
        <v>-12.566594980811288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-1.6834880714360025</v>
      </c>
      <c r="DP228" s="399">
        <v>-0.40128438603039474</v>
      </c>
      <c r="DQ228" s="399">
        <v>0</v>
      </c>
      <c r="DR228" s="399">
        <v>0</v>
      </c>
      <c r="DS228" s="399"/>
      <c r="DT228" s="399"/>
      <c r="DU228" s="399"/>
      <c r="DV228" s="399">
        <v>1913.9122215715149</v>
      </c>
      <c r="DW228" s="399">
        <v>0</v>
      </c>
      <c r="DX228" s="399">
        <v>0</v>
      </c>
      <c r="DY228" s="399">
        <v>-1247.02376</v>
      </c>
      <c r="DZ228" s="399">
        <v>0</v>
      </c>
      <c r="EA228" s="399">
        <v>0</v>
      </c>
      <c r="EB228" s="399">
        <v>0</v>
      </c>
      <c r="EC228" s="399">
        <v>-1193.2800907874453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221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228</v>
      </c>
      <c r="B229" s="399" t="s">
        <v>956</v>
      </c>
      <c r="C229" s="399" t="s">
        <v>2577</v>
      </c>
      <c r="D229" s="399" t="s">
        <v>533</v>
      </c>
      <c r="E229" s="399" t="s">
        <v>918</v>
      </c>
      <c r="F229" s="399" t="s">
        <v>1239</v>
      </c>
      <c r="G229" s="399" t="s">
        <v>1239</v>
      </c>
      <c r="H229" s="399" t="s">
        <v>1239</v>
      </c>
      <c r="I229" s="399" t="s">
        <v>893</v>
      </c>
      <c r="J229" s="399" t="s">
        <v>2326</v>
      </c>
      <c r="K229" s="786">
        <v>44593</v>
      </c>
      <c r="L229" s="399">
        <v>582</v>
      </c>
      <c r="M229" s="399">
        <v>582</v>
      </c>
      <c r="N229" s="399">
        <v>30.992000000000001</v>
      </c>
      <c r="O229" s="399">
        <v>30.992000000000001</v>
      </c>
      <c r="P229" s="399">
        <v>30.992000000000001</v>
      </c>
      <c r="Q229" s="399">
        <v>30.992000000000001</v>
      </c>
      <c r="R229" s="399">
        <v>181.08</v>
      </c>
      <c r="S229" s="399">
        <v>77.900000000000006</v>
      </c>
      <c r="T229" s="399">
        <v>185.74</v>
      </c>
      <c r="U229" s="399">
        <v>105388.56000000001</v>
      </c>
      <c r="V229" s="399">
        <v>8170.730880000001</v>
      </c>
      <c r="W229" s="399">
        <v>113559.29088000002</v>
      </c>
      <c r="X229" s="399">
        <v>60091.682240000002</v>
      </c>
      <c r="Y229" s="399">
        <v>0</v>
      </c>
      <c r="Z229" s="399">
        <v>1681.0152070403567</v>
      </c>
      <c r="AA229" s="399">
        <v>0</v>
      </c>
      <c r="AB229" s="399">
        <v>0</v>
      </c>
      <c r="AC229" s="399">
        <v>0</v>
      </c>
      <c r="AD229" s="399">
        <v>23261.619241712055</v>
      </c>
      <c r="AE229" s="399">
        <v>82125.6707073945</v>
      </c>
      <c r="AF229" s="399">
        <v>5756.58697178897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298.61393915658539</v>
      </c>
      <c r="AM229" s="399"/>
      <c r="AN229" s="399">
        <v>32.104037079119045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402.65345033119337</v>
      </c>
      <c r="BH229" s="399">
        <v>0</v>
      </c>
      <c r="BI229" s="399">
        <v>0</v>
      </c>
      <c r="BJ229" s="399">
        <v>0</v>
      </c>
      <c r="BK229" s="399">
        <v>0</v>
      </c>
      <c r="BL229" s="399">
        <v>0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6159.2404221201632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60091.162800000006</v>
      </c>
      <c r="CJ229" s="399">
        <v>-53468.158079999994</v>
      </c>
      <c r="CK229" s="399"/>
      <c r="CL229" s="399"/>
      <c r="CM229" s="399"/>
      <c r="CN229" s="399"/>
      <c r="CO229" s="399">
        <v>-53467.608640000013</v>
      </c>
      <c r="CP229" s="399">
        <v>0</v>
      </c>
      <c r="CQ229" s="399">
        <v>29</v>
      </c>
      <c r="CR229" s="399">
        <v>-2263.0312393369677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-2141.3859254322706</v>
      </c>
      <c r="DA229" s="399">
        <v>0</v>
      </c>
      <c r="DB229" s="399">
        <v>0</v>
      </c>
      <c r="DC229" s="399">
        <v>0</v>
      </c>
      <c r="DD229" s="399">
        <v>0</v>
      </c>
      <c r="DE229" s="399">
        <v>0</v>
      </c>
      <c r="DF229" s="399">
        <v>0</v>
      </c>
      <c r="DG229" s="399">
        <v>0</v>
      </c>
      <c r="DH229" s="399">
        <v>0</v>
      </c>
      <c r="DI229" s="399">
        <v>-103.96858027965982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-16.009408502591157</v>
      </c>
      <c r="DP229" s="399">
        <v>-1.6673251224419339</v>
      </c>
      <c r="DQ229" s="399">
        <v>0</v>
      </c>
      <c r="DR229" s="399">
        <v>0</v>
      </c>
      <c r="DS229" s="399"/>
      <c r="DT229" s="399"/>
      <c r="DU229" s="399">
        <v>82125.6707073945</v>
      </c>
      <c r="DV229" s="399">
        <v>0</v>
      </c>
      <c r="DW229" s="399">
        <v>0</v>
      </c>
      <c r="DX229" s="399">
        <v>0</v>
      </c>
      <c r="DY229" s="399">
        <v>-53467.60864000002</v>
      </c>
      <c r="DZ229" s="399">
        <v>0</v>
      </c>
      <c r="EA229" s="399">
        <v>0</v>
      </c>
      <c r="EB229" s="399">
        <v>0</v>
      </c>
      <c r="EC229" s="399">
        <v>-51203.459956607941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221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229</v>
      </c>
      <c r="B230" s="399" t="s">
        <v>956</v>
      </c>
      <c r="C230" s="399" t="s">
        <v>2577</v>
      </c>
      <c r="D230" s="399" t="s">
        <v>533</v>
      </c>
      <c r="E230" s="399" t="s">
        <v>918</v>
      </c>
      <c r="F230" s="399" t="s">
        <v>1239</v>
      </c>
      <c r="G230" s="399" t="s">
        <v>1239</v>
      </c>
      <c r="H230" s="399" t="s">
        <v>1239</v>
      </c>
      <c r="I230" s="399" t="s">
        <v>2323</v>
      </c>
      <c r="J230" s="399" t="s">
        <v>2326</v>
      </c>
      <c r="K230" s="786">
        <v>44593</v>
      </c>
      <c r="L230" s="399">
        <v>590</v>
      </c>
      <c r="M230" s="399">
        <v>590</v>
      </c>
      <c r="N230" s="399">
        <v>311.79599999999999</v>
      </c>
      <c r="O230" s="399">
        <v>311.79599999999999</v>
      </c>
      <c r="P230" s="399">
        <v>311.79599999999999</v>
      </c>
      <c r="Q230" s="399">
        <v>311.79599999999999</v>
      </c>
      <c r="R230" s="399">
        <v>55.59</v>
      </c>
      <c r="S230" s="399">
        <v>77.900000000000006</v>
      </c>
      <c r="T230" s="399">
        <v>185.74</v>
      </c>
      <c r="U230" s="399">
        <v>32798.1</v>
      </c>
      <c r="V230" s="399">
        <v>82201.897440000001</v>
      </c>
      <c r="W230" s="399">
        <v>114999.99744000001</v>
      </c>
      <c r="X230" s="399">
        <v>98390.557119999998</v>
      </c>
      <c r="Y230" s="399">
        <v>0</v>
      </c>
      <c r="Z230" s="399">
        <v>16911.906862879292</v>
      </c>
      <c r="AA230" s="399">
        <v>0</v>
      </c>
      <c r="AB230" s="399">
        <v>0</v>
      </c>
      <c r="AC230" s="399">
        <v>0</v>
      </c>
      <c r="AD230" s="399">
        <v>9531.2557883877216</v>
      </c>
      <c r="AE230" s="399">
        <v>23264.126650572583</v>
      </c>
      <c r="AF230" s="399">
        <v>57914.326002062262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3004.215015915936</v>
      </c>
      <c r="AM230" s="399"/>
      <c r="AN230" s="399">
        <v>322.98368434179787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4050.9078213559874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61965.233823418246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98391.596000000005</v>
      </c>
      <c r="CJ230" s="399">
        <v>-16608.431439999986</v>
      </c>
      <c r="CK230" s="399"/>
      <c r="CL230" s="399"/>
      <c r="CM230" s="399"/>
      <c r="CN230" s="399"/>
      <c r="CO230" s="399">
        <v>-16609.440320000002</v>
      </c>
      <c r="CP230" s="399">
        <v>0</v>
      </c>
      <c r="CQ230" s="399">
        <v>29</v>
      </c>
      <c r="CR230" s="399">
        <v>-2101.2316868058551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-877.41514401327004</v>
      </c>
      <c r="DA230" s="399">
        <v>0</v>
      </c>
      <c r="DB230" s="399">
        <v>0</v>
      </c>
      <c r="DC230" s="399">
        <v>0</v>
      </c>
      <c r="DD230" s="399">
        <v>0</v>
      </c>
      <c r="DE230" s="399">
        <v>0</v>
      </c>
      <c r="DF230" s="399">
        <v>0</v>
      </c>
      <c r="DG230" s="399">
        <v>0</v>
      </c>
      <c r="DH230" s="399">
        <v>0</v>
      </c>
      <c r="DI230" s="399">
        <v>-1045.9792029193595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-161.0631625411047</v>
      </c>
      <c r="DP230" s="399">
        <v>-16.774177332114846</v>
      </c>
      <c r="DQ230" s="399">
        <v>0</v>
      </c>
      <c r="DR230" s="399">
        <v>0</v>
      </c>
      <c r="DS230" s="399"/>
      <c r="DT230" s="399"/>
      <c r="DU230" s="399">
        <v>23264.126650572583</v>
      </c>
      <c r="DV230" s="399">
        <v>0</v>
      </c>
      <c r="DW230" s="399">
        <v>0</v>
      </c>
      <c r="DX230" s="399">
        <v>0</v>
      </c>
      <c r="DY230" s="399">
        <v>-16609.440320000002</v>
      </c>
      <c r="DZ230" s="399">
        <v>0</v>
      </c>
      <c r="EA230" s="399">
        <v>0</v>
      </c>
      <c r="EB230" s="399">
        <v>0</v>
      </c>
      <c r="EC230" s="399">
        <v>-14504.645954395735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221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230</v>
      </c>
      <c r="B231" s="399" t="s">
        <v>956</v>
      </c>
      <c r="C231" s="399" t="s">
        <v>2577</v>
      </c>
      <c r="D231" s="399" t="s">
        <v>533</v>
      </c>
      <c r="E231" s="399" t="s">
        <v>918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2326</v>
      </c>
      <c r="K231" s="786">
        <v>44593</v>
      </c>
      <c r="L231" s="399">
        <v>0</v>
      </c>
      <c r="M231" s="399">
        <v>0</v>
      </c>
      <c r="N231" s="399">
        <v>0</v>
      </c>
      <c r="O231" s="399">
        <v>0</v>
      </c>
      <c r="P231" s="399">
        <v>0</v>
      </c>
      <c r="Q231" s="399">
        <v>0</v>
      </c>
      <c r="R231" s="399"/>
      <c r="S231" s="399"/>
      <c r="T231" s="399"/>
      <c r="U231" s="399"/>
      <c r="V231" s="399"/>
      <c r="W231" s="399"/>
      <c r="X231" s="399"/>
      <c r="Y231" s="399"/>
      <c r="Z231" s="399"/>
      <c r="AA231" s="399">
        <v>0</v>
      </c>
      <c r="AB231" s="399"/>
      <c r="AC231" s="399"/>
      <c r="AD231" s="399"/>
      <c r="AE231" s="399"/>
      <c r="AF231" s="399"/>
      <c r="AG231" s="399"/>
      <c r="AH231" s="399"/>
      <c r="AI231" s="399"/>
      <c r="AJ231" s="399"/>
      <c r="AK231" s="399"/>
      <c r="AL231" s="399"/>
      <c r="AM231" s="399"/>
      <c r="AN231" s="399"/>
      <c r="AO231" s="399"/>
      <c r="AP231" s="399"/>
      <c r="AQ231" s="399"/>
      <c r="AR231" s="399"/>
      <c r="AS231" s="399"/>
      <c r="AT231" s="399"/>
      <c r="AU231" s="399"/>
      <c r="AV231" s="399"/>
      <c r="AW231" s="399"/>
      <c r="AX231" s="399"/>
      <c r="AY231" s="399"/>
      <c r="AZ231" s="399">
        <v>0</v>
      </c>
      <c r="BA231" s="399"/>
      <c r="BB231" s="399"/>
      <c r="BC231" s="399"/>
      <c r="BD231" s="399"/>
      <c r="BE231" s="399"/>
      <c r="BF231" s="399"/>
      <c r="BG231" s="399"/>
      <c r="BH231" s="399"/>
      <c r="BI231" s="399">
        <v>110.64</v>
      </c>
      <c r="BJ231" s="399">
        <v>464.7</v>
      </c>
      <c r="BK231" s="399">
        <v>73762.63</v>
      </c>
      <c r="BL231" s="399">
        <v>1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/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/>
      <c r="CJ231" s="399">
        <v>-0.03</v>
      </c>
      <c r="CK231" s="399"/>
      <c r="CL231" s="399"/>
      <c r="CM231" s="399"/>
      <c r="CN231" s="399"/>
      <c r="CO231" s="399">
        <v>0</v>
      </c>
      <c r="CP231" s="399">
        <v>0</v>
      </c>
      <c r="CQ231" s="399">
        <v>29</v>
      </c>
      <c r="CR231" s="399"/>
      <c r="CS231" s="399"/>
      <c r="CT231" s="399"/>
      <c r="CU231" s="399"/>
      <c r="CV231" s="399"/>
      <c r="CW231" s="399"/>
      <c r="CX231" s="399"/>
      <c r="CY231" s="399"/>
      <c r="CZ231" s="399"/>
      <c r="DA231" s="399"/>
      <c r="DB231" s="399"/>
      <c r="DC231" s="399"/>
      <c r="DD231" s="399"/>
      <c r="DE231" s="399"/>
      <c r="DF231" s="399"/>
      <c r="DG231" s="399"/>
      <c r="DH231" s="399"/>
      <c r="DI231" s="399"/>
      <c r="DJ231" s="399"/>
      <c r="DK231" s="399">
        <v>0</v>
      </c>
      <c r="DL231" s="399"/>
      <c r="DM231" s="399"/>
      <c r="DN231" s="399"/>
      <c r="DO231" s="399"/>
      <c r="DP231" s="399"/>
      <c r="DQ231" s="399"/>
      <c r="DR231" s="399"/>
      <c r="DS231" s="399"/>
      <c r="DT231" s="399"/>
      <c r="DU231" s="399"/>
      <c r="DV231" s="399"/>
      <c r="DW231" s="399"/>
      <c r="DX231" s="399"/>
      <c r="DY231" s="399"/>
      <c r="DZ231" s="399"/>
      <c r="EA231" s="399"/>
      <c r="EB231" s="399"/>
      <c r="EC231" s="399"/>
      <c r="ED231" s="399"/>
      <c r="EE231" s="399"/>
      <c r="EF231" s="399"/>
      <c r="EG231" s="399"/>
      <c r="EH231" s="399"/>
      <c r="EI231" s="399"/>
      <c r="EJ231" s="399"/>
      <c r="EK231" s="399"/>
      <c r="EL231" s="399"/>
      <c r="EM231" s="399"/>
      <c r="EN231" s="399"/>
      <c r="EO231" s="399"/>
      <c r="EP231" s="399"/>
      <c r="EQ231" s="399"/>
      <c r="ER231" s="399"/>
      <c r="ES231" s="399"/>
      <c r="ET231" s="399"/>
      <c r="EU231" s="399"/>
      <c r="EV231" s="399">
        <v>221</v>
      </c>
      <c r="EW231" s="399"/>
      <c r="EX231" s="399"/>
      <c r="EY231" s="399"/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231</v>
      </c>
      <c r="B232" s="399" t="s">
        <v>956</v>
      </c>
      <c r="C232" s="399" t="s">
        <v>2325</v>
      </c>
      <c r="D232" s="399" t="s">
        <v>533</v>
      </c>
      <c r="E232" s="399" t="s">
        <v>918</v>
      </c>
      <c r="F232" s="399" t="s">
        <v>1239</v>
      </c>
      <c r="G232" s="399" t="s">
        <v>1239</v>
      </c>
      <c r="H232" s="399" t="s">
        <v>1239</v>
      </c>
      <c r="I232" s="399" t="s">
        <v>893</v>
      </c>
      <c r="J232" s="399" t="s">
        <v>2326</v>
      </c>
      <c r="K232" s="786">
        <v>44593</v>
      </c>
      <c r="L232" s="399">
        <v>0</v>
      </c>
      <c r="M232" s="399">
        <v>0</v>
      </c>
      <c r="N232" s="399">
        <v>8.2240000000000002</v>
      </c>
      <c r="O232" s="399">
        <v>8.2240000000000002</v>
      </c>
      <c r="P232" s="399">
        <v>8.2240000000000002</v>
      </c>
      <c r="Q232" s="399">
        <v>8.2240000000000002</v>
      </c>
      <c r="R232" s="399"/>
      <c r="S232" s="399">
        <v>4433.21</v>
      </c>
      <c r="T232" s="399">
        <v>185.74</v>
      </c>
      <c r="U232" s="399"/>
      <c r="V232" s="399">
        <v>37986.2448</v>
      </c>
      <c r="W232" s="399">
        <v>37986.2448</v>
      </c>
      <c r="X232" s="399">
        <v>19824.938880000002</v>
      </c>
      <c r="Y232" s="399">
        <v>0</v>
      </c>
      <c r="Z232" s="399">
        <v>446.07218194049733</v>
      </c>
      <c r="AA232" s="399">
        <v>0</v>
      </c>
      <c r="AB232" s="399">
        <v>0</v>
      </c>
      <c r="AC232" s="399">
        <v>0</v>
      </c>
      <c r="AD232" s="399">
        <v>7908.3873458067783</v>
      </c>
      <c r="AE232" s="399">
        <v>27909.6535681434</v>
      </c>
      <c r="AF232" s="399">
        <v>1527.5610240059527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79.239837236182183</v>
      </c>
      <c r="AM232" s="399"/>
      <c r="AN232" s="399">
        <v>8.5190888273965868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106.84763731039411</v>
      </c>
      <c r="BH232" s="399">
        <v>0</v>
      </c>
      <c r="BI232" s="399">
        <v>0</v>
      </c>
      <c r="BJ232" s="399">
        <v>0</v>
      </c>
      <c r="BK232" s="399">
        <v>0</v>
      </c>
      <c r="BL232" s="399">
        <v>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1634.4086613163468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19815.296400000003</v>
      </c>
      <c r="CJ232" s="399">
        <v>-18170.978400000004</v>
      </c>
      <c r="CK232" s="399"/>
      <c r="CL232" s="399"/>
      <c r="CM232" s="399"/>
      <c r="CN232" s="399"/>
      <c r="CO232" s="399">
        <v>-18161.305919999999</v>
      </c>
      <c r="CP232" s="399">
        <v>0</v>
      </c>
      <c r="CQ232" s="399">
        <v>29</v>
      </c>
      <c r="CR232" s="399">
        <v>-760.29902349479926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-728.01936869510155</v>
      </c>
      <c r="DA232" s="399">
        <v>0</v>
      </c>
      <c r="DB232" s="399">
        <v>0</v>
      </c>
      <c r="DC232" s="399">
        <v>0</v>
      </c>
      <c r="DD232" s="399">
        <v>0</v>
      </c>
      <c r="DE232" s="399">
        <v>0</v>
      </c>
      <c r="DF232" s="399">
        <v>0</v>
      </c>
      <c r="DG232" s="399">
        <v>0</v>
      </c>
      <c r="DH232" s="399">
        <v>0</v>
      </c>
      <c r="DI232" s="399">
        <v>-27.588977936884419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-4.2482374653236263</v>
      </c>
      <c r="DP232" s="399">
        <v>-0.44243939748846195</v>
      </c>
      <c r="DQ232" s="399">
        <v>0</v>
      </c>
      <c r="DR232" s="399">
        <v>0</v>
      </c>
      <c r="DS232" s="399"/>
      <c r="DT232" s="399"/>
      <c r="DU232" s="399"/>
      <c r="DV232" s="399">
        <v>27909.6535681434</v>
      </c>
      <c r="DW232" s="399">
        <v>0</v>
      </c>
      <c r="DX232" s="399">
        <v>0</v>
      </c>
      <c r="DY232" s="399">
        <v>-18161.305920000003</v>
      </c>
      <c r="DZ232" s="399">
        <v>0</v>
      </c>
      <c r="EA232" s="399">
        <v>0</v>
      </c>
      <c r="EB232" s="399">
        <v>0</v>
      </c>
      <c r="EC232" s="399">
        <v>-17401.024753525147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221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232</v>
      </c>
      <c r="B233" s="399" t="s">
        <v>956</v>
      </c>
      <c r="C233" s="399" t="s">
        <v>2325</v>
      </c>
      <c r="D233" s="399" t="s">
        <v>533</v>
      </c>
      <c r="E233" s="399" t="s">
        <v>918</v>
      </c>
      <c r="F233" s="399" t="s">
        <v>1239</v>
      </c>
      <c r="G233" s="399" t="s">
        <v>1239</v>
      </c>
      <c r="H233" s="399" t="s">
        <v>1239</v>
      </c>
      <c r="I233" s="399" t="s">
        <v>2323</v>
      </c>
      <c r="J233" s="399" t="s">
        <v>2326</v>
      </c>
      <c r="K233" s="786">
        <v>44593</v>
      </c>
      <c r="L233" s="399">
        <v>0</v>
      </c>
      <c r="M233" s="399">
        <v>0</v>
      </c>
      <c r="N233" s="399">
        <v>308.56799999999998</v>
      </c>
      <c r="O233" s="399">
        <v>308.56799999999998</v>
      </c>
      <c r="P233" s="399">
        <v>308.56799999999998</v>
      </c>
      <c r="Q233" s="399">
        <v>308.56799999999998</v>
      </c>
      <c r="R233" s="399"/>
      <c r="S233" s="399">
        <v>77.900000000000006</v>
      </c>
      <c r="T233" s="399">
        <v>185.74</v>
      </c>
      <c r="U233" s="399"/>
      <c r="V233" s="399">
        <v>81350.86752</v>
      </c>
      <c r="W233" s="399">
        <v>81350.86752</v>
      </c>
      <c r="X233" s="399">
        <v>80141.280960000004</v>
      </c>
      <c r="Y233" s="399">
        <v>0</v>
      </c>
      <c r="Z233" s="399">
        <v>16736.819192244086</v>
      </c>
      <c r="AA233" s="399">
        <v>0</v>
      </c>
      <c r="AB233" s="399">
        <v>0</v>
      </c>
      <c r="AC233" s="399">
        <v>0</v>
      </c>
      <c r="AD233" s="399">
        <v>0</v>
      </c>
      <c r="AE233" s="399">
        <v>0</v>
      </c>
      <c r="AF233" s="399">
        <v>57314.743440596889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2973.1126089851973</v>
      </c>
      <c r="AM233" s="399"/>
      <c r="AN233" s="399">
        <v>319.63985910653082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4008.9690843377534</v>
      </c>
      <c r="BH233" s="399">
        <v>0</v>
      </c>
      <c r="BI233" s="399">
        <v>0</v>
      </c>
      <c r="BJ233" s="399">
        <v>0</v>
      </c>
      <c r="BK233" s="399">
        <v>0</v>
      </c>
      <c r="BL233" s="399">
        <v>0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61323.712524934643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80141.800400000007</v>
      </c>
      <c r="CJ233" s="399">
        <v>-1209.0971199999767</v>
      </c>
      <c r="CK233" s="399"/>
      <c r="CL233" s="399"/>
      <c r="CM233" s="399"/>
      <c r="CN233" s="399"/>
      <c r="CO233" s="399">
        <v>-1209.5865600000004</v>
      </c>
      <c r="CP233" s="399">
        <v>0</v>
      </c>
      <c r="CQ233" s="399">
        <v>29</v>
      </c>
      <c r="CR233" s="399">
        <v>-1211.1464642792853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0</v>
      </c>
      <c r="DA233" s="399">
        <v>0</v>
      </c>
      <c r="DB233" s="399">
        <v>0</v>
      </c>
      <c r="DC233" s="399">
        <v>0</v>
      </c>
      <c r="DD233" s="399">
        <v>0</v>
      </c>
      <c r="DE233" s="399">
        <v>0</v>
      </c>
      <c r="DF233" s="399">
        <v>0</v>
      </c>
      <c r="DG233" s="399">
        <v>0</v>
      </c>
      <c r="DH233" s="399">
        <v>0</v>
      </c>
      <c r="DI233" s="399">
        <v>-1035.1502607038601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-159.395688010698</v>
      </c>
      <c r="DP233" s="399">
        <v>-16.600515564715408</v>
      </c>
      <c r="DQ233" s="399">
        <v>0</v>
      </c>
      <c r="DR233" s="399">
        <v>0</v>
      </c>
      <c r="DS233" s="399"/>
      <c r="DT233" s="399"/>
      <c r="DU233" s="399"/>
      <c r="DV233" s="399">
        <v>0</v>
      </c>
      <c r="DW233" s="399">
        <v>0</v>
      </c>
      <c r="DX233" s="399">
        <v>0</v>
      </c>
      <c r="DY233" s="399">
        <v>-1209.5865599999997</v>
      </c>
      <c r="DZ233" s="399">
        <v>0</v>
      </c>
      <c r="EA233" s="399">
        <v>0</v>
      </c>
      <c r="EB233" s="399">
        <v>0</v>
      </c>
      <c r="EC233" s="399">
        <v>0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221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233</v>
      </c>
      <c r="B234" s="399" t="s">
        <v>956</v>
      </c>
      <c r="C234" s="399" t="s">
        <v>2325</v>
      </c>
      <c r="D234" s="399" t="s">
        <v>533</v>
      </c>
      <c r="E234" s="399" t="s">
        <v>918</v>
      </c>
      <c r="F234" s="399" t="s">
        <v>1239</v>
      </c>
      <c r="G234" s="399" t="s">
        <v>1239</v>
      </c>
      <c r="H234" s="399" t="s">
        <v>1239</v>
      </c>
      <c r="I234" s="399" t="s">
        <v>1239</v>
      </c>
      <c r="J234" s="399" t="s">
        <v>2326</v>
      </c>
      <c r="K234" s="786">
        <v>44593</v>
      </c>
      <c r="L234" s="399">
        <v>1143</v>
      </c>
      <c r="M234" s="399">
        <v>1143</v>
      </c>
      <c r="N234" s="399">
        <v>0</v>
      </c>
      <c r="O234" s="399">
        <v>0</v>
      </c>
      <c r="P234" s="399">
        <v>0</v>
      </c>
      <c r="Q234" s="399">
        <v>0</v>
      </c>
      <c r="R234" s="399">
        <v>55.59</v>
      </c>
      <c r="S234" s="399"/>
      <c r="T234" s="399"/>
      <c r="U234" s="399">
        <v>63539.37</v>
      </c>
      <c r="V234" s="399"/>
      <c r="W234" s="399">
        <v>63539.37</v>
      </c>
      <c r="X234" s="399">
        <v>33729.93</v>
      </c>
      <c r="Y234" s="399">
        <v>0</v>
      </c>
      <c r="Z234" s="399">
        <v>0</v>
      </c>
      <c r="AA234" s="399">
        <v>0</v>
      </c>
      <c r="AB234" s="399">
        <v>0</v>
      </c>
      <c r="AC234" s="399">
        <v>0</v>
      </c>
      <c r="AD234" s="399">
        <v>18464.78875614774</v>
      </c>
      <c r="AE234" s="399">
        <v>45069.316545092312</v>
      </c>
      <c r="AF234" s="399"/>
      <c r="AG234" s="399"/>
      <c r="AH234" s="399"/>
      <c r="AI234" s="399">
        <v>0</v>
      </c>
      <c r="AJ234" s="399">
        <v>0</v>
      </c>
      <c r="AK234" s="399">
        <v>0</v>
      </c>
      <c r="AL234" s="399">
        <v>0</v>
      </c>
      <c r="AM234" s="399"/>
      <c r="AN234" s="399">
        <v>0</v>
      </c>
      <c r="AO234" s="399">
        <v>0</v>
      </c>
      <c r="AP234" s="399">
        <v>0</v>
      </c>
      <c r="AQ234" s="399">
        <v>0</v>
      </c>
      <c r="AR234" s="399">
        <v>0</v>
      </c>
      <c r="AS234" s="399"/>
      <c r="AT234" s="399"/>
      <c r="AU234" s="399">
        <v>0</v>
      </c>
      <c r="AV234" s="399">
        <v>0</v>
      </c>
      <c r="AW234" s="399">
        <v>0</v>
      </c>
      <c r="AX234" s="399"/>
      <c r="AY234" s="399"/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/>
      <c r="BG234" s="399">
        <v>0</v>
      </c>
      <c r="BH234" s="399">
        <v>0</v>
      </c>
      <c r="BI234" s="399">
        <v>90.46</v>
      </c>
      <c r="BJ234" s="399">
        <v>380.04</v>
      </c>
      <c r="BK234" s="399">
        <v>58610.82</v>
      </c>
      <c r="BL234" s="399">
        <v>5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0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33729.93</v>
      </c>
      <c r="CJ234" s="399">
        <v>-29809.470000000008</v>
      </c>
      <c r="CK234" s="399"/>
      <c r="CL234" s="399"/>
      <c r="CM234" s="399"/>
      <c r="CN234" s="399"/>
      <c r="CO234" s="399">
        <v>-29809.440000000002</v>
      </c>
      <c r="CP234" s="399">
        <v>0</v>
      </c>
      <c r="CQ234" s="399">
        <v>29</v>
      </c>
      <c r="CR234" s="399">
        <v>-1699.8059484867263</v>
      </c>
      <c r="CS234" s="399">
        <v>0</v>
      </c>
      <c r="CT234" s="399">
        <v>0</v>
      </c>
      <c r="CU234" s="399">
        <v>0</v>
      </c>
      <c r="CV234" s="399">
        <v>0</v>
      </c>
      <c r="CW234" s="399"/>
      <c r="CX234" s="399"/>
      <c r="CY234" s="399"/>
      <c r="CZ234" s="399">
        <v>-1699.8059484867263</v>
      </c>
      <c r="DA234" s="399">
        <v>0</v>
      </c>
      <c r="DB234" s="399">
        <v>0</v>
      </c>
      <c r="DC234" s="399"/>
      <c r="DD234" s="399"/>
      <c r="DE234" s="399">
        <v>0</v>
      </c>
      <c r="DF234" s="399">
        <v>0</v>
      </c>
      <c r="DG234" s="399">
        <v>0</v>
      </c>
      <c r="DH234" s="399">
        <v>0</v>
      </c>
      <c r="DI234" s="399">
        <v>0</v>
      </c>
      <c r="DJ234" s="399"/>
      <c r="DK234" s="399">
        <v>0</v>
      </c>
      <c r="DL234" s="399">
        <v>0</v>
      </c>
      <c r="DM234" s="399"/>
      <c r="DN234" s="399">
        <v>0</v>
      </c>
      <c r="DO234" s="399">
        <v>0</v>
      </c>
      <c r="DP234" s="399">
        <v>0</v>
      </c>
      <c r="DQ234" s="399">
        <v>0</v>
      </c>
      <c r="DR234" s="399">
        <v>0</v>
      </c>
      <c r="DS234" s="399"/>
      <c r="DT234" s="399"/>
      <c r="DU234" s="399">
        <v>45069.316545092312</v>
      </c>
      <c r="DV234" s="399"/>
      <c r="DW234" s="399">
        <v>0</v>
      </c>
      <c r="DX234" s="399">
        <v>0</v>
      </c>
      <c r="DY234" s="399">
        <v>-29809.440000000002</v>
      </c>
      <c r="DZ234" s="399"/>
      <c r="EA234" s="399">
        <v>0</v>
      </c>
      <c r="EB234" s="399"/>
      <c r="EC234" s="399">
        <v>-28099.678518431061</v>
      </c>
      <c r="ED234" s="399"/>
      <c r="EE234" s="399">
        <v>0</v>
      </c>
      <c r="EF234" s="399">
        <v>0</v>
      </c>
      <c r="EG234" s="399"/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/>
      <c r="EN234" s="399"/>
      <c r="EO234" s="399">
        <v>0</v>
      </c>
      <c r="EP234" s="399">
        <v>0</v>
      </c>
      <c r="EQ234" s="399"/>
      <c r="ER234" s="399">
        <v>0</v>
      </c>
      <c r="ES234" s="399"/>
      <c r="ET234" s="399">
        <v>0</v>
      </c>
      <c r="EU234" s="399"/>
      <c r="EV234" s="399">
        <v>221</v>
      </c>
      <c r="EW234" s="399"/>
      <c r="EX234" s="399"/>
      <c r="EY234" s="399"/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234</v>
      </c>
      <c r="B235" s="399" t="s">
        <v>956</v>
      </c>
      <c r="C235" s="399" t="s">
        <v>2335</v>
      </c>
      <c r="D235" s="399" t="s">
        <v>1824</v>
      </c>
      <c r="E235" s="399" t="s">
        <v>918</v>
      </c>
      <c r="F235" s="399" t="s">
        <v>1239</v>
      </c>
      <c r="G235" s="399" t="s">
        <v>1239</v>
      </c>
      <c r="H235" s="399" t="s">
        <v>1239</v>
      </c>
      <c r="I235" s="399" t="s">
        <v>893</v>
      </c>
      <c r="J235" s="399" t="s">
        <v>2326</v>
      </c>
      <c r="K235" s="786">
        <v>44593</v>
      </c>
      <c r="L235" s="399">
        <v>0</v>
      </c>
      <c r="M235" s="399">
        <v>0</v>
      </c>
      <c r="N235" s="399">
        <v>0.184</v>
      </c>
      <c r="O235" s="399">
        <v>0.184</v>
      </c>
      <c r="P235" s="399">
        <v>0.184</v>
      </c>
      <c r="Q235" s="399">
        <v>0.184</v>
      </c>
      <c r="R235" s="399"/>
      <c r="S235" s="399">
        <v>2583.84</v>
      </c>
      <c r="T235" s="399">
        <v>185.74</v>
      </c>
      <c r="U235" s="399"/>
      <c r="V235" s="399">
        <v>509.60271999999998</v>
      </c>
      <c r="W235" s="399">
        <v>509.60271999999998</v>
      </c>
      <c r="X235" s="399">
        <v>268.72647999999998</v>
      </c>
      <c r="Y235" s="399">
        <v>0</v>
      </c>
      <c r="Z235" s="399">
        <v>11.471510560212277</v>
      </c>
      <c r="AA235" s="399">
        <v>0</v>
      </c>
      <c r="AB235" s="399">
        <v>0</v>
      </c>
      <c r="AC235" s="399">
        <v>0</v>
      </c>
      <c r="AD235" s="399">
        <v>82.755301491311855</v>
      </c>
      <c r="AE235" s="399">
        <v>372.79870492870168</v>
      </c>
      <c r="AF235" s="399">
        <v>34.176948980677928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1.7728757358289786</v>
      </c>
      <c r="AM235" s="399"/>
      <c r="AN235" s="399">
        <v>0.43623959208115926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6.1916918262566378</v>
      </c>
      <c r="BH235" s="399">
        <v>0</v>
      </c>
      <c r="BI235" s="399">
        <v>0</v>
      </c>
      <c r="BJ235" s="399">
        <v>0</v>
      </c>
      <c r="BK235" s="399">
        <v>0</v>
      </c>
      <c r="BL235" s="399">
        <v>0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40.368640806934565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262.88459999999998</v>
      </c>
      <c r="CJ235" s="399">
        <v>-246.74811999999997</v>
      </c>
      <c r="CK235" s="399"/>
      <c r="CL235" s="399"/>
      <c r="CM235" s="399"/>
      <c r="CN235" s="399"/>
      <c r="CO235" s="399">
        <v>-240.87624000000002</v>
      </c>
      <c r="CP235" s="399">
        <v>0</v>
      </c>
      <c r="CQ235" s="399">
        <v>29</v>
      </c>
      <c r="CR235" s="399">
        <v>-8.4453750128716081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-7.6181729236899116</v>
      </c>
      <c r="DA235" s="399">
        <v>0</v>
      </c>
      <c r="DB235" s="399">
        <v>0</v>
      </c>
      <c r="DC235" s="399">
        <v>0</v>
      </c>
      <c r="DD235" s="399">
        <v>0</v>
      </c>
      <c r="DE235" s="399">
        <v>0</v>
      </c>
      <c r="DF235" s="399">
        <v>0</v>
      </c>
      <c r="DG235" s="399">
        <v>0</v>
      </c>
      <c r="DH235" s="399">
        <v>0</v>
      </c>
      <c r="DI235" s="399">
        <v>-0.70949784488164447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-9.504811449654027E-2</v>
      </c>
      <c r="DP235" s="399">
        <v>-2.2656129803495739E-2</v>
      </c>
      <c r="DQ235" s="399">
        <v>0</v>
      </c>
      <c r="DR235" s="399">
        <v>0</v>
      </c>
      <c r="DS235" s="399"/>
      <c r="DT235" s="399"/>
      <c r="DU235" s="399"/>
      <c r="DV235" s="399">
        <v>372.79870492870168</v>
      </c>
      <c r="DW235" s="399">
        <v>0</v>
      </c>
      <c r="DX235" s="399">
        <v>0</v>
      </c>
      <c r="DY235" s="399">
        <v>-240.87624</v>
      </c>
      <c r="DZ235" s="399">
        <v>0</v>
      </c>
      <c r="EA235" s="399">
        <v>0</v>
      </c>
      <c r="EB235" s="399">
        <v>0</v>
      </c>
      <c r="EC235" s="399">
        <v>-232.43138710796998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221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235</v>
      </c>
      <c r="B236" s="399" t="s">
        <v>956</v>
      </c>
      <c r="C236" s="399" t="s">
        <v>2335</v>
      </c>
      <c r="D236" s="399" t="s">
        <v>1824</v>
      </c>
      <c r="E236" s="399" t="s">
        <v>918</v>
      </c>
      <c r="F236" s="399" t="s">
        <v>1239</v>
      </c>
      <c r="G236" s="399" t="s">
        <v>1239</v>
      </c>
      <c r="H236" s="399" t="s">
        <v>1239</v>
      </c>
      <c r="I236" s="399" t="s">
        <v>2323</v>
      </c>
      <c r="J236" s="399" t="s">
        <v>2326</v>
      </c>
      <c r="K236" s="786">
        <v>44593</v>
      </c>
      <c r="L236" s="399">
        <v>0</v>
      </c>
      <c r="M236" s="399">
        <v>0</v>
      </c>
      <c r="N236" s="399">
        <v>1.349</v>
      </c>
      <c r="O236" s="399">
        <v>1.349</v>
      </c>
      <c r="P236" s="399">
        <v>1.349</v>
      </c>
      <c r="Q236" s="399">
        <v>1.349</v>
      </c>
      <c r="R236" s="399"/>
      <c r="S236" s="399">
        <v>603.13</v>
      </c>
      <c r="T236" s="399">
        <v>185.74</v>
      </c>
      <c r="U236" s="399"/>
      <c r="V236" s="399">
        <v>1064.1856299999999</v>
      </c>
      <c r="W236" s="399">
        <v>1064.1856299999999</v>
      </c>
      <c r="X236" s="399">
        <v>706.14754000000005</v>
      </c>
      <c r="Y236" s="399">
        <v>0</v>
      </c>
      <c r="Z236" s="399">
        <v>84.103629052860654</v>
      </c>
      <c r="AA236" s="399">
        <v>0</v>
      </c>
      <c r="AB236" s="399">
        <v>0</v>
      </c>
      <c r="AC236" s="399">
        <v>0</v>
      </c>
      <c r="AD236" s="399">
        <v>121.29236923725117</v>
      </c>
      <c r="AE236" s="399">
        <v>546.63690789276734</v>
      </c>
      <c r="AF236" s="399">
        <v>250.56904442899199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12.997876998007023</v>
      </c>
      <c r="AM236" s="399"/>
      <c r="AN236" s="399">
        <v>3.1983000528124119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45.394523226196767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295.96356765518874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706.67100000000005</v>
      </c>
      <c r="CJ236" s="399">
        <v>-357.54462999999987</v>
      </c>
      <c r="CK236" s="399"/>
      <c r="CL236" s="399"/>
      <c r="CM236" s="399"/>
      <c r="CN236" s="399"/>
      <c r="CO236" s="399">
        <v>-358.03808999999995</v>
      </c>
      <c r="CP236" s="399">
        <v>0</v>
      </c>
      <c r="CQ236" s="399">
        <v>29</v>
      </c>
      <c r="CR236" s="399">
        <v>-17.230415029612402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-11.165764930122904</v>
      </c>
      <c r="DA236" s="399">
        <v>0</v>
      </c>
      <c r="DB236" s="399">
        <v>0</v>
      </c>
      <c r="DC236" s="399">
        <v>0</v>
      </c>
      <c r="DD236" s="399">
        <v>0</v>
      </c>
      <c r="DE236" s="399">
        <v>0</v>
      </c>
      <c r="DF236" s="399">
        <v>0</v>
      </c>
      <c r="DG236" s="399">
        <v>0</v>
      </c>
      <c r="DH236" s="399">
        <v>0</v>
      </c>
      <c r="DI236" s="399">
        <v>-5.2016988736159533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-0.6968473176947434</v>
      </c>
      <c r="DP236" s="399">
        <v>-0.16610390817888998</v>
      </c>
      <c r="DQ236" s="399">
        <v>0</v>
      </c>
      <c r="DR236" s="399">
        <v>0</v>
      </c>
      <c r="DS236" s="399"/>
      <c r="DT236" s="399"/>
      <c r="DU236" s="399"/>
      <c r="DV236" s="399">
        <v>546.63690789276734</v>
      </c>
      <c r="DW236" s="399">
        <v>0</v>
      </c>
      <c r="DX236" s="399">
        <v>0</v>
      </c>
      <c r="DY236" s="399">
        <v>-358.0380899999999</v>
      </c>
      <c r="DZ236" s="399">
        <v>0</v>
      </c>
      <c r="EA236" s="399">
        <v>0</v>
      </c>
      <c r="EB236" s="399">
        <v>0</v>
      </c>
      <c r="EC236" s="399">
        <v>-340.81549390099622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221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236</v>
      </c>
      <c r="B237" s="399" t="s">
        <v>956</v>
      </c>
      <c r="C237" s="399" t="s">
        <v>2335</v>
      </c>
      <c r="D237" s="399" t="s">
        <v>1824</v>
      </c>
      <c r="E237" s="399" t="s">
        <v>918</v>
      </c>
      <c r="F237" s="399" t="s">
        <v>1239</v>
      </c>
      <c r="G237" s="399" t="s">
        <v>1239</v>
      </c>
      <c r="H237" s="399" t="s">
        <v>1239</v>
      </c>
      <c r="I237" s="399" t="s">
        <v>1239</v>
      </c>
      <c r="J237" s="399" t="s">
        <v>2326</v>
      </c>
      <c r="K237" s="786">
        <v>44593</v>
      </c>
      <c r="L237" s="399">
        <v>0</v>
      </c>
      <c r="M237" s="399">
        <v>0</v>
      </c>
      <c r="N237" s="399">
        <v>0</v>
      </c>
      <c r="O237" s="399">
        <v>0</v>
      </c>
      <c r="P237" s="399">
        <v>0</v>
      </c>
      <c r="Q237" s="399">
        <v>0</v>
      </c>
      <c r="R237" s="399"/>
      <c r="S237" s="399"/>
      <c r="T237" s="399"/>
      <c r="U237" s="399"/>
      <c r="V237" s="399"/>
      <c r="W237" s="399"/>
      <c r="X237" s="399"/>
      <c r="Y237" s="399"/>
      <c r="Z237" s="399"/>
      <c r="AA237" s="399">
        <v>0</v>
      </c>
      <c r="AB237" s="399"/>
      <c r="AC237" s="399"/>
      <c r="AD237" s="399"/>
      <c r="AE237" s="399"/>
      <c r="AF237" s="399"/>
      <c r="AG237" s="399"/>
      <c r="AH237" s="399"/>
      <c r="AI237" s="399"/>
      <c r="AJ237" s="399"/>
      <c r="AK237" s="399"/>
      <c r="AL237" s="399"/>
      <c r="AM237" s="399"/>
      <c r="AN237" s="399"/>
      <c r="AO237" s="399"/>
      <c r="AP237" s="399"/>
      <c r="AQ237" s="399"/>
      <c r="AR237" s="399"/>
      <c r="AS237" s="399"/>
      <c r="AT237" s="399"/>
      <c r="AU237" s="399"/>
      <c r="AV237" s="399"/>
      <c r="AW237" s="399"/>
      <c r="AX237" s="399"/>
      <c r="AY237" s="399"/>
      <c r="AZ237" s="399">
        <v>0</v>
      </c>
      <c r="BA237" s="399"/>
      <c r="BB237" s="399"/>
      <c r="BC237" s="399"/>
      <c r="BD237" s="399"/>
      <c r="BE237" s="399"/>
      <c r="BF237" s="399"/>
      <c r="BG237" s="399"/>
      <c r="BH237" s="399"/>
      <c r="BI237" s="399">
        <v>0.65</v>
      </c>
      <c r="BJ237" s="399">
        <v>2.76</v>
      </c>
      <c r="BK237" s="399">
        <v>437.19</v>
      </c>
      <c r="BL237" s="399">
        <v>1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/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/>
      <c r="CJ237" s="399">
        <v>-0.03</v>
      </c>
      <c r="CK237" s="399"/>
      <c r="CL237" s="399"/>
      <c r="CM237" s="399"/>
      <c r="CN237" s="399"/>
      <c r="CO237" s="399">
        <v>0</v>
      </c>
      <c r="CP237" s="399">
        <v>0</v>
      </c>
      <c r="CQ237" s="399">
        <v>29</v>
      </c>
      <c r="CR237" s="399"/>
      <c r="CS237" s="399"/>
      <c r="CT237" s="399"/>
      <c r="CU237" s="399"/>
      <c r="CV237" s="399"/>
      <c r="CW237" s="399"/>
      <c r="CX237" s="399"/>
      <c r="CY237" s="399"/>
      <c r="CZ237" s="399"/>
      <c r="DA237" s="399"/>
      <c r="DB237" s="399"/>
      <c r="DC237" s="399"/>
      <c r="DD237" s="399"/>
      <c r="DE237" s="399"/>
      <c r="DF237" s="399"/>
      <c r="DG237" s="399"/>
      <c r="DH237" s="399"/>
      <c r="DI237" s="399"/>
      <c r="DJ237" s="399"/>
      <c r="DK237" s="399">
        <v>0</v>
      </c>
      <c r="DL237" s="399"/>
      <c r="DM237" s="399"/>
      <c r="DN237" s="399"/>
      <c r="DO237" s="399"/>
      <c r="DP237" s="399"/>
      <c r="DQ237" s="399"/>
      <c r="DR237" s="399"/>
      <c r="DS237" s="399"/>
      <c r="DT237" s="399"/>
      <c r="DU237" s="399"/>
      <c r="DV237" s="399"/>
      <c r="DW237" s="399"/>
      <c r="DX237" s="399"/>
      <c r="DY237" s="399"/>
      <c r="DZ237" s="399"/>
      <c r="EA237" s="399"/>
      <c r="EB237" s="399"/>
      <c r="EC237" s="399"/>
      <c r="ED237" s="399"/>
      <c r="EE237" s="399"/>
      <c r="EF237" s="399"/>
      <c r="EG237" s="399"/>
      <c r="EH237" s="399"/>
      <c r="EI237" s="399"/>
      <c r="EJ237" s="399"/>
      <c r="EK237" s="399"/>
      <c r="EL237" s="399"/>
      <c r="EM237" s="399"/>
      <c r="EN237" s="399"/>
      <c r="EO237" s="399"/>
      <c r="EP237" s="399"/>
      <c r="EQ237" s="399"/>
      <c r="ER237" s="399"/>
      <c r="ES237" s="399"/>
      <c r="ET237" s="399"/>
      <c r="EU237" s="399"/>
      <c r="EV237" s="399">
        <v>221</v>
      </c>
      <c r="EW237" s="399"/>
      <c r="EX237" s="399"/>
      <c r="EY237" s="399"/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237</v>
      </c>
      <c r="B238" s="399" t="s">
        <v>956</v>
      </c>
      <c r="C238" s="399" t="s">
        <v>2335</v>
      </c>
      <c r="D238" s="399" t="s">
        <v>1824</v>
      </c>
      <c r="E238" s="399" t="s">
        <v>918</v>
      </c>
      <c r="F238" s="399" t="s">
        <v>1239</v>
      </c>
      <c r="G238" s="399" t="s">
        <v>1239</v>
      </c>
      <c r="H238" s="399" t="s">
        <v>1239</v>
      </c>
      <c r="I238" s="399" t="s">
        <v>2336</v>
      </c>
      <c r="J238" s="399" t="s">
        <v>2326</v>
      </c>
      <c r="K238" s="786">
        <v>44593</v>
      </c>
      <c r="L238" s="399">
        <v>0</v>
      </c>
      <c r="M238" s="399">
        <v>0</v>
      </c>
      <c r="N238" s="399">
        <v>0.10199999999999999</v>
      </c>
      <c r="O238" s="399">
        <v>0.10199999999999999</v>
      </c>
      <c r="P238" s="399">
        <v>0.10199999999999999</v>
      </c>
      <c r="Q238" s="399">
        <v>0.10199999999999999</v>
      </c>
      <c r="R238" s="399"/>
      <c r="S238" s="399">
        <v>1593.45</v>
      </c>
      <c r="T238" s="399">
        <v>185.74</v>
      </c>
      <c r="U238" s="399"/>
      <c r="V238" s="399">
        <v>181.47738000000001</v>
      </c>
      <c r="W238" s="399">
        <v>181.47738000000001</v>
      </c>
      <c r="X238" s="399">
        <v>101.17686</v>
      </c>
      <c r="Y238" s="399">
        <v>0</v>
      </c>
      <c r="Z238" s="399">
        <v>6.3592069409872396</v>
      </c>
      <c r="AA238" s="399">
        <v>0</v>
      </c>
      <c r="AB238" s="399">
        <v>0</v>
      </c>
      <c r="AC238" s="399">
        <v>0</v>
      </c>
      <c r="AD238" s="399">
        <v>27.519881498346109</v>
      </c>
      <c r="AE238" s="399">
        <v>123.99607722605441</v>
      </c>
      <c r="AF238" s="399">
        <v>18.945917369723634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0.98278981007910771</v>
      </c>
      <c r="AM238" s="399"/>
      <c r="AN238" s="399">
        <v>0.24182846952325129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3.4323509036857449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22.378268273409379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99.193000000000012</v>
      </c>
      <c r="CJ238" s="399">
        <v>-82.314379999999971</v>
      </c>
      <c r="CK238" s="399"/>
      <c r="CL238" s="399"/>
      <c r="CM238" s="399"/>
      <c r="CN238" s="399"/>
      <c r="CO238" s="399">
        <v>-80.300519999999992</v>
      </c>
      <c r="CP238" s="399">
        <v>0</v>
      </c>
      <c r="CQ238" s="399">
        <v>29</v>
      </c>
      <c r="CR238" s="399">
        <v>-2.9919448141802931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-2.5333871343078442</v>
      </c>
      <c r="DA238" s="399">
        <v>0</v>
      </c>
      <c r="DB238" s="399">
        <v>0</v>
      </c>
      <c r="DC238" s="399">
        <v>0</v>
      </c>
      <c r="DD238" s="399">
        <v>0</v>
      </c>
      <c r="DE238" s="399">
        <v>0</v>
      </c>
      <c r="DF238" s="399">
        <v>0</v>
      </c>
      <c r="DG238" s="399">
        <v>0</v>
      </c>
      <c r="DH238" s="399">
        <v>0</v>
      </c>
      <c r="DI238" s="399">
        <v>-0.39330858792351897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-5.2689715644821167E-2</v>
      </c>
      <c r="DP238" s="399">
        <v>-1.2559376304111747E-2</v>
      </c>
      <c r="DQ238" s="399">
        <v>0</v>
      </c>
      <c r="DR238" s="399">
        <v>0</v>
      </c>
      <c r="DS238" s="399"/>
      <c r="DT238" s="399"/>
      <c r="DU238" s="399"/>
      <c r="DV238" s="399">
        <v>123.99607722605441</v>
      </c>
      <c r="DW238" s="399">
        <v>0</v>
      </c>
      <c r="DX238" s="399">
        <v>0</v>
      </c>
      <c r="DY238" s="399">
        <v>-80.300520000000006</v>
      </c>
      <c r="DZ238" s="399">
        <v>0</v>
      </c>
      <c r="EA238" s="399">
        <v>0</v>
      </c>
      <c r="EB238" s="399">
        <v>0</v>
      </c>
      <c r="EC238" s="399">
        <v>-77.308691914878494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221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238</v>
      </c>
      <c r="B239" s="399" t="s">
        <v>956</v>
      </c>
      <c r="C239" s="399" t="s">
        <v>2328</v>
      </c>
      <c r="D239" s="399" t="s">
        <v>2337</v>
      </c>
      <c r="E239" s="399" t="s">
        <v>894</v>
      </c>
      <c r="F239" s="399" t="s">
        <v>1239</v>
      </c>
      <c r="G239" s="399" t="s">
        <v>1239</v>
      </c>
      <c r="H239" s="399" t="s">
        <v>1239</v>
      </c>
      <c r="I239" s="399" t="s">
        <v>1239</v>
      </c>
      <c r="J239" s="399" t="s">
        <v>2326</v>
      </c>
      <c r="K239" s="786">
        <v>44593</v>
      </c>
      <c r="L239" s="399">
        <v>0</v>
      </c>
      <c r="M239" s="399">
        <v>0</v>
      </c>
      <c r="N239" s="399">
        <v>2134.567</v>
      </c>
      <c r="O239" s="399">
        <v>2134.567</v>
      </c>
      <c r="P239" s="399">
        <v>2134.567</v>
      </c>
      <c r="Q239" s="399">
        <v>2134.567</v>
      </c>
      <c r="R239" s="399"/>
      <c r="S239" s="399">
        <v>825.6</v>
      </c>
      <c r="T239" s="399">
        <v>185.74</v>
      </c>
      <c r="U239" s="399"/>
      <c r="V239" s="399">
        <v>2158772.9897799999</v>
      </c>
      <c r="W239" s="399">
        <v>2158772.9897799999</v>
      </c>
      <c r="X239" s="399">
        <v>1342002.2729</v>
      </c>
      <c r="Y239" s="399">
        <v>0</v>
      </c>
      <c r="Z239" s="399">
        <v>133079.93414119913</v>
      </c>
      <c r="AA239" s="399">
        <v>0</v>
      </c>
      <c r="AB239" s="399">
        <v>0</v>
      </c>
      <c r="AC239" s="399">
        <v>0</v>
      </c>
      <c r="AD239" s="399">
        <v>278201.75921742839</v>
      </c>
      <c r="AE239" s="399">
        <v>1253566.6980862976</v>
      </c>
      <c r="AF239" s="399">
        <v>396483.62747194973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20566.967613050303</v>
      </c>
      <c r="AM239" s="399"/>
      <c r="AN239" s="399">
        <v>5060.7752029886078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71829.244817919316</v>
      </c>
      <c r="BH239" s="399">
        <v>0</v>
      </c>
      <c r="BI239" s="399">
        <v>718.08</v>
      </c>
      <c r="BJ239" s="399">
        <v>3123.17</v>
      </c>
      <c r="BK239" s="399">
        <v>333546.44</v>
      </c>
      <c r="BL239" s="399">
        <v>5678</v>
      </c>
      <c r="BM239" s="399"/>
      <c r="BN239" s="399"/>
      <c r="BO239" s="399"/>
      <c r="BP239" s="399"/>
      <c r="BQ239" s="399"/>
      <c r="BR239" s="399">
        <v>161031.73447999998</v>
      </c>
      <c r="BS239" s="399"/>
      <c r="BT239" s="399"/>
      <c r="BU239" s="399"/>
      <c r="BV239" s="399">
        <v>468312.87228986906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1180972.1982</v>
      </c>
      <c r="CJ239" s="399">
        <v>-718749.77046000003</v>
      </c>
      <c r="CK239" s="399"/>
      <c r="CL239" s="399"/>
      <c r="CM239" s="399"/>
      <c r="CN239" s="399"/>
      <c r="CO239" s="399">
        <v>-816770.71688000008</v>
      </c>
      <c r="CP239" s="399">
        <v>0</v>
      </c>
      <c r="CQ239" s="399">
        <v>29</v>
      </c>
      <c r="CR239" s="399">
        <v>-35206.607234429801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-25610.312224113062</v>
      </c>
      <c r="DA239" s="399">
        <v>0</v>
      </c>
      <c r="DB239" s="399">
        <v>0</v>
      </c>
      <c r="DC239" s="399">
        <v>0</v>
      </c>
      <c r="DD239" s="399">
        <v>0</v>
      </c>
      <c r="DE239" s="399">
        <v>0</v>
      </c>
      <c r="DF239" s="399">
        <v>0</v>
      </c>
      <c r="DG239" s="399">
        <v>0</v>
      </c>
      <c r="DH239" s="399">
        <v>0</v>
      </c>
      <c r="DI239" s="399">
        <v>-8230.818947040636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-1102.6443946550899</v>
      </c>
      <c r="DP239" s="399">
        <v>-262.83166862097005</v>
      </c>
      <c r="DQ239" s="399">
        <v>0</v>
      </c>
      <c r="DR239" s="399">
        <v>0</v>
      </c>
      <c r="DS239" s="399"/>
      <c r="DT239" s="399"/>
      <c r="DU239" s="399"/>
      <c r="DV239" s="399">
        <v>1253566.6980862976</v>
      </c>
      <c r="DW239" s="399">
        <v>0</v>
      </c>
      <c r="DX239" s="399">
        <v>0</v>
      </c>
      <c r="DY239" s="399">
        <v>-816770.71688000008</v>
      </c>
      <c r="DZ239" s="399">
        <v>0</v>
      </c>
      <c r="EA239" s="399">
        <v>0</v>
      </c>
      <c r="EB239" s="399">
        <v>0</v>
      </c>
      <c r="EC239" s="399">
        <v>-781569.89983181481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221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239</v>
      </c>
      <c r="B240" s="399" t="s">
        <v>2329</v>
      </c>
      <c r="C240" s="399" t="s">
        <v>2328</v>
      </c>
      <c r="D240" s="399" t="s">
        <v>2337</v>
      </c>
      <c r="E240" s="399" t="s">
        <v>894</v>
      </c>
      <c r="F240" s="399" t="s">
        <v>1239</v>
      </c>
      <c r="G240" s="399" t="s">
        <v>1239</v>
      </c>
      <c r="H240" s="399" t="s">
        <v>1239</v>
      </c>
      <c r="I240" s="399" t="s">
        <v>1239</v>
      </c>
      <c r="J240" s="399" t="s">
        <v>2326</v>
      </c>
      <c r="K240" s="786">
        <v>44593</v>
      </c>
      <c r="L240" s="399">
        <v>0</v>
      </c>
      <c r="M240" s="399">
        <v>0</v>
      </c>
      <c r="N240" s="399">
        <v>-2.1890000000000001</v>
      </c>
      <c r="O240" s="399">
        <v>-2.1890000000000001</v>
      </c>
      <c r="P240" s="399">
        <v>-2.1890000000000001</v>
      </c>
      <c r="Q240" s="399">
        <v>-2.1890000000000001</v>
      </c>
      <c r="R240" s="399"/>
      <c r="S240" s="399">
        <v>825.6</v>
      </c>
      <c r="T240" s="399">
        <v>185.74</v>
      </c>
      <c r="U240" s="399"/>
      <c r="V240" s="399">
        <v>-2213.8232600000001</v>
      </c>
      <c r="W240" s="399">
        <v>-2213.8232600000001</v>
      </c>
      <c r="X240" s="399">
        <v>-1376.2243000000001</v>
      </c>
      <c r="Y240" s="399">
        <v>0</v>
      </c>
      <c r="Z240" s="399">
        <v>-136.47356856687321</v>
      </c>
      <c r="AA240" s="399">
        <v>0</v>
      </c>
      <c r="AB240" s="399">
        <v>0</v>
      </c>
      <c r="AC240" s="399">
        <v>0</v>
      </c>
      <c r="AD240" s="399">
        <v>-285.29610498379805</v>
      </c>
      <c r="AE240" s="399">
        <v>-1285.5335541638683</v>
      </c>
      <c r="AF240" s="399">
        <v>-406.59424629730432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-21.091440139834969</v>
      </c>
      <c r="AM240" s="399"/>
      <c r="AN240" s="399">
        <v>-5.1898286253568351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-73.660942433020551</v>
      </c>
      <c r="BH240" s="399">
        <v>0</v>
      </c>
      <c r="BI240" s="399">
        <v>-0.77</v>
      </c>
      <c r="BJ240" s="399">
        <v>-3.5</v>
      </c>
      <c r="BK240" s="399">
        <v>-484.43</v>
      </c>
      <c r="BL240" s="399">
        <v>0</v>
      </c>
      <c r="BM240" s="399"/>
      <c r="BN240" s="399"/>
      <c r="BO240" s="399"/>
      <c r="BP240" s="399"/>
      <c r="BQ240" s="399"/>
      <c r="BR240" s="399">
        <v>-165.13816</v>
      </c>
      <c r="BS240" s="399"/>
      <c r="BT240" s="399"/>
      <c r="BU240" s="399"/>
      <c r="BV240" s="399">
        <v>-480.2551887303249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-1211.6394</v>
      </c>
      <c r="CJ240" s="399">
        <v>736.49682000000007</v>
      </c>
      <c r="CK240" s="399"/>
      <c r="CL240" s="399"/>
      <c r="CM240" s="399"/>
      <c r="CN240" s="399"/>
      <c r="CO240" s="399">
        <v>837.59896000000015</v>
      </c>
      <c r="CP240" s="399">
        <v>0</v>
      </c>
      <c r="CQ240" s="399">
        <v>29</v>
      </c>
      <c r="CR240" s="399">
        <v>36.104401143729206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26.263393680584159</v>
      </c>
      <c r="DA240" s="399">
        <v>0</v>
      </c>
      <c r="DB240" s="399">
        <v>0</v>
      </c>
      <c r="DC240" s="399">
        <v>0</v>
      </c>
      <c r="DD240" s="399">
        <v>0</v>
      </c>
      <c r="DE240" s="399">
        <v>0</v>
      </c>
      <c r="DF240" s="399">
        <v>0</v>
      </c>
      <c r="DG240" s="399">
        <v>0</v>
      </c>
      <c r="DH240" s="399">
        <v>0</v>
      </c>
      <c r="DI240" s="399">
        <v>8.440710774162568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1.1307626230050332</v>
      </c>
      <c r="DP240" s="399">
        <v>0.26953406597745744</v>
      </c>
      <c r="DQ240" s="399">
        <v>0</v>
      </c>
      <c r="DR240" s="399">
        <v>0</v>
      </c>
      <c r="DS240" s="399"/>
      <c r="DT240" s="399"/>
      <c r="DU240" s="399"/>
      <c r="DV240" s="399">
        <v>-1285.5335541638683</v>
      </c>
      <c r="DW240" s="399">
        <v>0</v>
      </c>
      <c r="DX240" s="399">
        <v>0</v>
      </c>
      <c r="DY240" s="399">
        <v>837.59896000000015</v>
      </c>
      <c r="DZ240" s="399">
        <v>0</v>
      </c>
      <c r="EA240" s="399">
        <v>0</v>
      </c>
      <c r="EB240" s="399">
        <v>0</v>
      </c>
      <c r="EC240" s="399">
        <v>801.50049669644613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221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240</v>
      </c>
      <c r="B241" s="399" t="s">
        <v>2330</v>
      </c>
      <c r="C241" s="399" t="s">
        <v>2328</v>
      </c>
      <c r="D241" s="399" t="s">
        <v>2337</v>
      </c>
      <c r="E241" s="399" t="s">
        <v>894</v>
      </c>
      <c r="F241" s="399" t="s">
        <v>1239</v>
      </c>
      <c r="G241" s="399" t="s">
        <v>1239</v>
      </c>
      <c r="H241" s="399" t="s">
        <v>1239</v>
      </c>
      <c r="I241" s="399" t="s">
        <v>1239</v>
      </c>
      <c r="J241" s="399" t="s">
        <v>2326</v>
      </c>
      <c r="K241" s="786">
        <v>44593</v>
      </c>
      <c r="L241" s="399">
        <v>0</v>
      </c>
      <c r="M241" s="399">
        <v>0</v>
      </c>
      <c r="N241" s="399">
        <v>45.225999999999999</v>
      </c>
      <c r="O241" s="399">
        <v>45.225999999999999</v>
      </c>
      <c r="P241" s="399">
        <v>45.225999999999999</v>
      </c>
      <c r="Q241" s="399">
        <v>45.225999999999999</v>
      </c>
      <c r="R241" s="399"/>
      <c r="S241" s="399">
        <v>825.6</v>
      </c>
      <c r="T241" s="399">
        <v>185.74</v>
      </c>
      <c r="U241" s="399"/>
      <c r="V241" s="399">
        <v>45738.862840000002</v>
      </c>
      <c r="W241" s="399">
        <v>45738.862840000002</v>
      </c>
      <c r="X241" s="399">
        <v>28433.586199999998</v>
      </c>
      <c r="Y241" s="399">
        <v>0</v>
      </c>
      <c r="Z241" s="399">
        <v>2819.6224815008718</v>
      </c>
      <c r="AA241" s="399">
        <v>0</v>
      </c>
      <c r="AB241" s="399">
        <v>0</v>
      </c>
      <c r="AC241" s="399">
        <v>0</v>
      </c>
      <c r="AD241" s="399">
        <v>5894.3817469151436</v>
      </c>
      <c r="AE241" s="399">
        <v>26559.863188951622</v>
      </c>
      <c r="AF241" s="399">
        <v>8400.4711663051094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435.76129363370319</v>
      </c>
      <c r="AM241" s="399"/>
      <c r="AN241" s="399">
        <v>107.22484669273102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1521.8774702950147</v>
      </c>
      <c r="BH241" s="399">
        <v>0</v>
      </c>
      <c r="BI241" s="399">
        <v>13.96</v>
      </c>
      <c r="BJ241" s="399">
        <v>61.32</v>
      </c>
      <c r="BK241" s="399">
        <v>21731.56</v>
      </c>
      <c r="BL241" s="399">
        <v>135</v>
      </c>
      <c r="BM241" s="399"/>
      <c r="BN241" s="399"/>
      <c r="BO241" s="399"/>
      <c r="BP241" s="399"/>
      <c r="BQ241" s="399"/>
      <c r="BR241" s="399">
        <v>3411.84944</v>
      </c>
      <c r="BS241" s="399"/>
      <c r="BT241" s="399"/>
      <c r="BU241" s="399"/>
      <c r="BV241" s="399">
        <v>9922.3486366001234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25023.949799999999</v>
      </c>
      <c r="CJ241" s="399">
        <v>-15226.315680000011</v>
      </c>
      <c r="CK241" s="399"/>
      <c r="CL241" s="399"/>
      <c r="CM241" s="399"/>
      <c r="CN241" s="399"/>
      <c r="CO241" s="399">
        <v>-17305.27664</v>
      </c>
      <c r="CP241" s="399">
        <v>0</v>
      </c>
      <c r="CQ241" s="399">
        <v>29</v>
      </c>
      <c r="CR241" s="399">
        <v>-745.93770951406623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-542.61683078944679</v>
      </c>
      <c r="DA241" s="399">
        <v>0</v>
      </c>
      <c r="DB241" s="399">
        <v>0</v>
      </c>
      <c r="DC241" s="399">
        <v>0</v>
      </c>
      <c r="DD241" s="399">
        <v>0</v>
      </c>
      <c r="DE241" s="399">
        <v>0</v>
      </c>
      <c r="DF241" s="399">
        <v>0</v>
      </c>
      <c r="DG241" s="399">
        <v>0</v>
      </c>
      <c r="DH241" s="399">
        <v>0</v>
      </c>
      <c r="DI241" s="399">
        <v>-174.38994311204988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-23.362206664241967</v>
      </c>
      <c r="DP241" s="399">
        <v>-5.5687289483309712</v>
      </c>
      <c r="DQ241" s="399">
        <v>0</v>
      </c>
      <c r="DR241" s="399">
        <v>0</v>
      </c>
      <c r="DS241" s="399"/>
      <c r="DT241" s="399"/>
      <c r="DU241" s="399"/>
      <c r="DV241" s="399">
        <v>26559.863188951622</v>
      </c>
      <c r="DW241" s="399">
        <v>0</v>
      </c>
      <c r="DX241" s="399">
        <v>0</v>
      </c>
      <c r="DY241" s="399">
        <v>-17305.27664</v>
      </c>
      <c r="DZ241" s="399">
        <v>0</v>
      </c>
      <c r="EA241" s="399">
        <v>0</v>
      </c>
      <c r="EB241" s="399">
        <v>0</v>
      </c>
      <c r="EC241" s="399">
        <v>-16559.461609681803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221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241</v>
      </c>
      <c r="B242" s="399" t="s">
        <v>2330</v>
      </c>
      <c r="C242" s="399" t="s">
        <v>2328</v>
      </c>
      <c r="D242" s="399" t="s">
        <v>2337</v>
      </c>
      <c r="E242" s="399" t="s">
        <v>894</v>
      </c>
      <c r="F242" s="399" t="s">
        <v>1239</v>
      </c>
      <c r="G242" s="399" t="s">
        <v>1239</v>
      </c>
      <c r="H242" s="399" t="s">
        <v>1239</v>
      </c>
      <c r="I242" s="399" t="s">
        <v>1239</v>
      </c>
      <c r="J242" s="399" t="s">
        <v>2326</v>
      </c>
      <c r="K242" s="786">
        <v>44593</v>
      </c>
      <c r="L242" s="399">
        <v>0</v>
      </c>
      <c r="M242" s="399">
        <v>0</v>
      </c>
      <c r="N242" s="399">
        <v>-2.0179999999999998</v>
      </c>
      <c r="O242" s="399">
        <v>-2.0179999999999998</v>
      </c>
      <c r="P242" s="399">
        <v>-2.0179999999999998</v>
      </c>
      <c r="Q242" s="399">
        <v>-2.0179999999999998</v>
      </c>
      <c r="R242" s="399"/>
      <c r="S242" s="399">
        <v>825.6</v>
      </c>
      <c r="T242" s="399">
        <v>185.74</v>
      </c>
      <c r="U242" s="399"/>
      <c r="V242" s="399">
        <v>-2040.8841199999999</v>
      </c>
      <c r="W242" s="399">
        <v>-2040.8841199999999</v>
      </c>
      <c r="X242" s="399">
        <v>-1268.7165999999997</v>
      </c>
      <c r="Y242" s="399">
        <v>0</v>
      </c>
      <c r="Z242" s="399">
        <v>-125.81254516580637</v>
      </c>
      <c r="AA242" s="399">
        <v>0</v>
      </c>
      <c r="AB242" s="399">
        <v>0</v>
      </c>
      <c r="AC242" s="399">
        <v>0</v>
      </c>
      <c r="AD242" s="399">
        <v>-263.00938321484892</v>
      </c>
      <c r="AE242" s="399">
        <v>-1185.1104213351693</v>
      </c>
      <c r="AF242" s="399">
        <v>-374.8319730598264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-19.443821928819993</v>
      </c>
      <c r="AM242" s="399"/>
      <c r="AN242" s="399">
        <v>-4.7844103088031487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-67.906707094488553</v>
      </c>
      <c r="BH242" s="399">
        <v>0</v>
      </c>
      <c r="BI242" s="399">
        <v>-0.73</v>
      </c>
      <c r="BJ242" s="399">
        <v>-3.07</v>
      </c>
      <c r="BK242" s="399">
        <v>-599.98</v>
      </c>
      <c r="BL242" s="399">
        <v>2</v>
      </c>
      <c r="BM242" s="399"/>
      <c r="BN242" s="399"/>
      <c r="BO242" s="399"/>
      <c r="BP242" s="399"/>
      <c r="BQ242" s="399"/>
      <c r="BR242" s="399">
        <v>-152.23791999999997</v>
      </c>
      <c r="BS242" s="399"/>
      <c r="BT242" s="399"/>
      <c r="BU242" s="399"/>
      <c r="BV242" s="399">
        <v>-442.73868015431492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-1117.5852</v>
      </c>
      <c r="CJ242" s="399">
        <v>678.3644399999996</v>
      </c>
      <c r="CK242" s="399"/>
      <c r="CL242" s="399"/>
      <c r="CM242" s="399"/>
      <c r="CN242" s="399"/>
      <c r="CO242" s="399">
        <v>772.16751999999997</v>
      </c>
      <c r="CP242" s="399">
        <v>0</v>
      </c>
      <c r="CQ242" s="399">
        <v>29</v>
      </c>
      <c r="CR242" s="399">
        <v>33.284002516238161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24.211753516408777</v>
      </c>
      <c r="DA242" s="399">
        <v>0</v>
      </c>
      <c r="DB242" s="399">
        <v>0</v>
      </c>
      <c r="DC242" s="399">
        <v>0</v>
      </c>
      <c r="DD242" s="399">
        <v>0</v>
      </c>
      <c r="DE242" s="399">
        <v>0</v>
      </c>
      <c r="DF242" s="399">
        <v>0</v>
      </c>
      <c r="DG242" s="399">
        <v>0</v>
      </c>
      <c r="DH242" s="399">
        <v>0</v>
      </c>
      <c r="DI242" s="399">
        <v>7.7813404944084539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1.0424298644240118</v>
      </c>
      <c r="DP242" s="399">
        <v>0.24847864099703543</v>
      </c>
      <c r="DQ242" s="399">
        <v>0</v>
      </c>
      <c r="DR242" s="399">
        <v>0</v>
      </c>
      <c r="DS242" s="399"/>
      <c r="DT242" s="399"/>
      <c r="DU242" s="399"/>
      <c r="DV242" s="399">
        <v>-1185.1104213351693</v>
      </c>
      <c r="DW242" s="399">
        <v>0</v>
      </c>
      <c r="DX242" s="399">
        <v>0</v>
      </c>
      <c r="DY242" s="399">
        <v>772.16752000000008</v>
      </c>
      <c r="DZ242" s="399">
        <v>0</v>
      </c>
      <c r="EA242" s="399">
        <v>0</v>
      </c>
      <c r="EB242" s="399">
        <v>0</v>
      </c>
      <c r="EC242" s="399">
        <v>738.88899147255734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221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242</v>
      </c>
      <c r="B243" s="399" t="s">
        <v>956</v>
      </c>
      <c r="C243" s="399" t="s">
        <v>2328</v>
      </c>
      <c r="D243" s="399" t="s">
        <v>1824</v>
      </c>
      <c r="E243" s="399" t="s">
        <v>2338</v>
      </c>
      <c r="F243" s="399" t="s">
        <v>1239</v>
      </c>
      <c r="G243" s="399" t="s">
        <v>1239</v>
      </c>
      <c r="H243" s="399" t="s">
        <v>1239</v>
      </c>
      <c r="I243" s="399" t="s">
        <v>1239</v>
      </c>
      <c r="J243" s="399" t="s">
        <v>2326</v>
      </c>
      <c r="K243" s="786">
        <v>44593</v>
      </c>
      <c r="L243" s="399">
        <v>0</v>
      </c>
      <c r="M243" s="399">
        <v>0</v>
      </c>
      <c r="N243" s="399">
        <v>21.077000000000002</v>
      </c>
      <c r="O243" s="399">
        <v>21.077000000000002</v>
      </c>
      <c r="P243" s="399">
        <v>21.077000000000002</v>
      </c>
      <c r="Q243" s="399">
        <v>21.077000000000002</v>
      </c>
      <c r="R243" s="399"/>
      <c r="S243" s="399">
        <v>825.6</v>
      </c>
      <c r="T243" s="399">
        <v>185.74</v>
      </c>
      <c r="U243" s="399"/>
      <c r="V243" s="399">
        <v>21316.013180000002</v>
      </c>
      <c r="W243" s="399">
        <v>21316.013180000002</v>
      </c>
      <c r="X243" s="399">
        <v>13251.109900000001</v>
      </c>
      <c r="Y243" s="399">
        <v>0</v>
      </c>
      <c r="Z243" s="399">
        <v>1314.0490656390987</v>
      </c>
      <c r="AA243" s="399">
        <v>0</v>
      </c>
      <c r="AB243" s="399">
        <v>0</v>
      </c>
      <c r="AC243" s="399">
        <v>0</v>
      </c>
      <c r="AD243" s="399">
        <v>2747.0013726557841</v>
      </c>
      <c r="AE243" s="399">
        <v>12377.885208365396</v>
      </c>
      <c r="AF243" s="399">
        <v>3914.9323568790696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203.08098850036623</v>
      </c>
      <c r="AM243" s="399"/>
      <c r="AN243" s="399">
        <v>49.970771099427139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709.25156859788683</v>
      </c>
      <c r="BH243" s="399">
        <v>0</v>
      </c>
      <c r="BI243" s="399">
        <v>7.8</v>
      </c>
      <c r="BJ243" s="399">
        <v>34.36</v>
      </c>
      <c r="BK243" s="399">
        <v>3823.51</v>
      </c>
      <c r="BL243" s="399">
        <v>92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4624.1839254769566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13252.995999999999</v>
      </c>
      <c r="CJ243" s="399">
        <v>-8063.0471799999978</v>
      </c>
      <c r="CK243" s="399"/>
      <c r="CL243" s="399"/>
      <c r="CM243" s="399"/>
      <c r="CN243" s="399"/>
      <c r="CO243" s="399">
        <v>-8064.9032800000014</v>
      </c>
      <c r="CP243" s="399">
        <v>0</v>
      </c>
      <c r="CQ243" s="399">
        <v>29</v>
      </c>
      <c r="CR243" s="399">
        <v>-347.63474778729142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-252.87964760423574</v>
      </c>
      <c r="DA243" s="399">
        <v>0</v>
      </c>
      <c r="DB243" s="399">
        <v>0</v>
      </c>
      <c r="DC243" s="399">
        <v>0</v>
      </c>
      <c r="DD243" s="399">
        <v>0</v>
      </c>
      <c r="DE243" s="399">
        <v>0</v>
      </c>
      <c r="DF243" s="399">
        <v>0</v>
      </c>
      <c r="DG243" s="399">
        <v>0</v>
      </c>
      <c r="DH243" s="399">
        <v>0</v>
      </c>
      <c r="DI243" s="399">
        <v>-81.272206937882402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-10.887658202410762</v>
      </c>
      <c r="DP243" s="399">
        <v>-2.5952350427623898</v>
      </c>
      <c r="DQ243" s="399">
        <v>0</v>
      </c>
      <c r="DR243" s="399">
        <v>0</v>
      </c>
      <c r="DS243" s="399"/>
      <c r="DT243" s="399"/>
      <c r="DU243" s="399"/>
      <c r="DV243" s="399">
        <v>12377.885208365396</v>
      </c>
      <c r="DW243" s="399">
        <v>0</v>
      </c>
      <c r="DX243" s="399">
        <v>0</v>
      </c>
      <c r="DY243" s="399">
        <v>-8064.9032800000004</v>
      </c>
      <c r="DZ243" s="399">
        <v>0</v>
      </c>
      <c r="EA243" s="399">
        <v>0</v>
      </c>
      <c r="EB243" s="399">
        <v>0</v>
      </c>
      <c r="EC243" s="399">
        <v>-7717.3257052859735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221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243</v>
      </c>
      <c r="B244" s="399" t="s">
        <v>956</v>
      </c>
      <c r="C244" s="399" t="s">
        <v>2328</v>
      </c>
      <c r="D244" s="399" t="s">
        <v>2339</v>
      </c>
      <c r="E244" s="399" t="s">
        <v>2340</v>
      </c>
      <c r="F244" s="399" t="s">
        <v>2341</v>
      </c>
      <c r="G244" s="399" t="s">
        <v>1239</v>
      </c>
      <c r="H244" s="399" t="s">
        <v>1239</v>
      </c>
      <c r="I244" s="399" t="s">
        <v>1239</v>
      </c>
      <c r="J244" s="399" t="s">
        <v>2326</v>
      </c>
      <c r="K244" s="786">
        <v>44593</v>
      </c>
      <c r="L244" s="399">
        <v>0</v>
      </c>
      <c r="M244" s="399">
        <v>0</v>
      </c>
      <c r="N244" s="399">
        <v>191.27699999999999</v>
      </c>
      <c r="O244" s="399">
        <v>191.27699999999999</v>
      </c>
      <c r="P244" s="399">
        <v>191.27699999999999</v>
      </c>
      <c r="Q244" s="399">
        <v>191.27699999999999</v>
      </c>
      <c r="R244" s="399"/>
      <c r="S244" s="399">
        <v>454.08</v>
      </c>
      <c r="T244" s="399">
        <v>102.16</v>
      </c>
      <c r="U244" s="399"/>
      <c r="V244" s="399">
        <v>106395.91847999999</v>
      </c>
      <c r="W244" s="399">
        <v>106395.91847999999</v>
      </c>
      <c r="X244" s="399">
        <v>66141.673829999985</v>
      </c>
      <c r="Y244" s="399">
        <v>0</v>
      </c>
      <c r="Z244" s="399">
        <v>6558.8579836094978</v>
      </c>
      <c r="AA244" s="399">
        <v>0</v>
      </c>
      <c r="AB244" s="399">
        <v>0</v>
      </c>
      <c r="AC244" s="399">
        <v>0</v>
      </c>
      <c r="AD244" s="399">
        <v>13711.201777132179</v>
      </c>
      <c r="AE244" s="399">
        <v>61782.161216030712</v>
      </c>
      <c r="AF244" s="399">
        <v>19540.735590203411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1013.6450742781938</v>
      </c>
      <c r="AM244" s="399"/>
      <c r="AN244" s="399">
        <v>249.42081657597595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3540.1115793368967</v>
      </c>
      <c r="BH244" s="399">
        <v>0</v>
      </c>
      <c r="BI244" s="399">
        <v>46.72</v>
      </c>
      <c r="BJ244" s="399">
        <v>196.45</v>
      </c>
      <c r="BK244" s="399">
        <v>31181.99</v>
      </c>
      <c r="BL244" s="399">
        <v>9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23080.847169540306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66142.711199999991</v>
      </c>
      <c r="CJ244" s="399">
        <v>-40253.237279999987</v>
      </c>
      <c r="CK244" s="399"/>
      <c r="CL244" s="399"/>
      <c r="CM244" s="399"/>
      <c r="CN244" s="399"/>
      <c r="CO244" s="399">
        <v>-40254.244649999993</v>
      </c>
      <c r="CP244" s="399">
        <v>0</v>
      </c>
      <c r="CQ244" s="399">
        <v>29</v>
      </c>
      <c r="CR244" s="399">
        <v>-1735.1611903440207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-1262.2068223721526</v>
      </c>
      <c r="DA244" s="399">
        <v>0</v>
      </c>
      <c r="DB244" s="399">
        <v>0</v>
      </c>
      <c r="DC244" s="399">
        <v>0</v>
      </c>
      <c r="DD244" s="399">
        <v>0</v>
      </c>
      <c r="DE244" s="399">
        <v>0</v>
      </c>
      <c r="DF244" s="399">
        <v>0</v>
      </c>
      <c r="DG244" s="399">
        <v>0</v>
      </c>
      <c r="DH244" s="399">
        <v>0</v>
      </c>
      <c r="DI244" s="399">
        <v>-405.6567423993738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-54.343940261440594</v>
      </c>
      <c r="DP244" s="399">
        <v>-12.953685311048872</v>
      </c>
      <c r="DQ244" s="399">
        <v>0</v>
      </c>
      <c r="DR244" s="399">
        <v>0</v>
      </c>
      <c r="DS244" s="399"/>
      <c r="DT244" s="399"/>
      <c r="DU244" s="399"/>
      <c r="DV244" s="399">
        <v>61782.161216030712</v>
      </c>
      <c r="DW244" s="399">
        <v>0</v>
      </c>
      <c r="DX244" s="399">
        <v>0</v>
      </c>
      <c r="DY244" s="399">
        <v>-40254.244650000001</v>
      </c>
      <c r="DZ244" s="399">
        <v>0</v>
      </c>
      <c r="EA244" s="399">
        <v>0</v>
      </c>
      <c r="EB244" s="399">
        <v>0</v>
      </c>
      <c r="EC244" s="399">
        <v>-38519.751383569426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221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244</v>
      </c>
      <c r="B245" s="399" t="s">
        <v>956</v>
      </c>
      <c r="C245" s="399" t="s">
        <v>2328</v>
      </c>
      <c r="D245" s="399" t="s">
        <v>2339</v>
      </c>
      <c r="E245" s="399" t="s">
        <v>2340</v>
      </c>
      <c r="F245" s="399" t="s">
        <v>2578</v>
      </c>
      <c r="G245" s="399" t="s">
        <v>1239</v>
      </c>
      <c r="H245" s="399" t="s">
        <v>1239</v>
      </c>
      <c r="I245" s="399" t="s">
        <v>1239</v>
      </c>
      <c r="J245" s="399" t="s">
        <v>2326</v>
      </c>
      <c r="K245" s="786">
        <v>44593</v>
      </c>
      <c r="L245" s="399">
        <v>0</v>
      </c>
      <c r="M245" s="399">
        <v>0</v>
      </c>
      <c r="N245" s="399">
        <v>130.57300000000001</v>
      </c>
      <c r="O245" s="399">
        <v>130.57300000000001</v>
      </c>
      <c r="P245" s="399">
        <v>130.57300000000001</v>
      </c>
      <c r="Q245" s="399">
        <v>130.57300000000001</v>
      </c>
      <c r="R245" s="399"/>
      <c r="S245" s="399">
        <v>495.36</v>
      </c>
      <c r="T245" s="399">
        <v>111.45</v>
      </c>
      <c r="U245" s="399"/>
      <c r="V245" s="399">
        <v>79233.002130000008</v>
      </c>
      <c r="W245" s="399">
        <v>79233.002130000008</v>
      </c>
      <c r="X245" s="399">
        <v>49256.052790000002</v>
      </c>
      <c r="Y245" s="399">
        <v>0</v>
      </c>
      <c r="Z245" s="399">
        <v>4884.3572229736856</v>
      </c>
      <c r="AA245" s="399">
        <v>0</v>
      </c>
      <c r="AB245" s="399">
        <v>0</v>
      </c>
      <c r="AC245" s="399">
        <v>0</v>
      </c>
      <c r="AD245" s="399">
        <v>10210.681128199969</v>
      </c>
      <c r="AE245" s="399">
        <v>46008.946395935782</v>
      </c>
      <c r="AF245" s="399">
        <v>14551.913345393645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754.85772865564263</v>
      </c>
      <c r="AM245" s="399"/>
      <c r="AN245" s="399">
        <v>185.74275735917328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2636.3079679232792</v>
      </c>
      <c r="BH245" s="399">
        <v>0</v>
      </c>
      <c r="BI245" s="399">
        <v>33.96</v>
      </c>
      <c r="BJ245" s="399">
        <v>142.72999999999999</v>
      </c>
      <c r="BK245" s="399">
        <v>22658</v>
      </c>
      <c r="BL245" s="399">
        <v>6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17188.221313316924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49254.921099999992</v>
      </c>
      <c r="CJ245" s="399">
        <v>-29978.111030000015</v>
      </c>
      <c r="CK245" s="399"/>
      <c r="CL245" s="399"/>
      <c r="CM245" s="399"/>
      <c r="CN245" s="399"/>
      <c r="CO245" s="399">
        <v>-29976.949340000006</v>
      </c>
      <c r="CP245" s="399">
        <v>0</v>
      </c>
      <c r="CQ245" s="399">
        <v>29</v>
      </c>
      <c r="CR245" s="399">
        <v>-1292.1681052188724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-939.96074090131333</v>
      </c>
      <c r="DA245" s="399">
        <v>0</v>
      </c>
      <c r="DB245" s="399">
        <v>0</v>
      </c>
      <c r="DC245" s="399">
        <v>0</v>
      </c>
      <c r="DD245" s="399">
        <v>0</v>
      </c>
      <c r="DE245" s="399">
        <v>0</v>
      </c>
      <c r="DF245" s="399">
        <v>0</v>
      </c>
      <c r="DG245" s="399">
        <v>0</v>
      </c>
      <c r="DH245" s="399">
        <v>0</v>
      </c>
      <c r="DI245" s="399">
        <v>-302.09107206434237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-40.469730828771276</v>
      </c>
      <c r="DP245" s="399">
        <v>-9.6465614244511926</v>
      </c>
      <c r="DQ245" s="399">
        <v>0</v>
      </c>
      <c r="DR245" s="399">
        <v>0</v>
      </c>
      <c r="DS245" s="399"/>
      <c r="DT245" s="399"/>
      <c r="DU245" s="399"/>
      <c r="DV245" s="399">
        <v>46008.946395935782</v>
      </c>
      <c r="DW245" s="399">
        <v>0</v>
      </c>
      <c r="DX245" s="399">
        <v>0</v>
      </c>
      <c r="DY245" s="399">
        <v>-29976.949340000006</v>
      </c>
      <c r="DZ245" s="399">
        <v>0</v>
      </c>
      <c r="EA245" s="399">
        <v>0</v>
      </c>
      <c r="EB245" s="399">
        <v>0</v>
      </c>
      <c r="EC245" s="399">
        <v>-28685.516040697668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221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245</v>
      </c>
      <c r="B246" s="399" t="s">
        <v>956</v>
      </c>
      <c r="C246" s="399" t="s">
        <v>2328</v>
      </c>
      <c r="D246" s="399" t="s">
        <v>1824</v>
      </c>
      <c r="E246" s="399" t="s">
        <v>921</v>
      </c>
      <c r="F246" s="399" t="s">
        <v>2327</v>
      </c>
      <c r="G246" s="399" t="s">
        <v>1239</v>
      </c>
      <c r="H246" s="399" t="s">
        <v>1239</v>
      </c>
      <c r="I246" s="399" t="s">
        <v>1239</v>
      </c>
      <c r="J246" s="399" t="s">
        <v>2326</v>
      </c>
      <c r="K246" s="786">
        <v>44593</v>
      </c>
      <c r="L246" s="399">
        <v>0</v>
      </c>
      <c r="M246" s="399">
        <v>0</v>
      </c>
      <c r="N246" s="399">
        <v>4.319</v>
      </c>
      <c r="O246" s="399">
        <v>4.0598599999999996</v>
      </c>
      <c r="P246" s="399">
        <v>4.319</v>
      </c>
      <c r="Q246" s="399">
        <v>4.0598599999999996</v>
      </c>
      <c r="R246" s="399"/>
      <c r="S246" s="399">
        <v>825.6</v>
      </c>
      <c r="T246" s="399">
        <v>185.74</v>
      </c>
      <c r="U246" s="399"/>
      <c r="V246" s="399">
        <v>4367.9774600000001</v>
      </c>
      <c r="W246" s="399">
        <v>4367.9774600000001</v>
      </c>
      <c r="X246" s="399">
        <v>2715.3552999999997</v>
      </c>
      <c r="Y246" s="399">
        <v>0</v>
      </c>
      <c r="Z246" s="399">
        <v>269.26877233454792</v>
      </c>
      <c r="AA246" s="399">
        <v>0</v>
      </c>
      <c r="AB246" s="399">
        <v>0</v>
      </c>
      <c r="AC246" s="399">
        <v>0</v>
      </c>
      <c r="AD246" s="399">
        <v>562.90263929877733</v>
      </c>
      <c r="AE246" s="399">
        <v>2536.4181911529222</v>
      </c>
      <c r="AF246" s="399">
        <v>802.22957960623899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41.614403820898687</v>
      </c>
      <c r="AM246" s="399"/>
      <c r="AN246" s="399">
        <v>10.239776077165907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145.33650542175229</v>
      </c>
      <c r="BH246" s="399">
        <v>0</v>
      </c>
      <c r="BI246" s="399">
        <v>1.44</v>
      </c>
      <c r="BJ246" s="399">
        <v>6.15</v>
      </c>
      <c r="BK246" s="399">
        <v>0</v>
      </c>
      <c r="BL246" s="399">
        <v>5</v>
      </c>
      <c r="BM246" s="399"/>
      <c r="BN246" s="399"/>
      <c r="BO246" s="399"/>
      <c r="BP246" s="399"/>
      <c r="BQ246" s="399">
        <v>162.92131800000021</v>
      </c>
      <c r="BR246" s="399"/>
      <c r="BS246" s="399"/>
      <c r="BT246" s="399"/>
      <c r="BU246" s="399"/>
      <c r="BV246" s="399">
        <v>947.56608502799122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2552.5219999999999</v>
      </c>
      <c r="CJ246" s="399">
        <v>-1553.4068124000005</v>
      </c>
      <c r="CK246" s="399"/>
      <c r="CL246" s="399"/>
      <c r="CM246" s="399"/>
      <c r="CN246" s="399"/>
      <c r="CO246" s="399">
        <v>-1652.6221600000001</v>
      </c>
      <c r="CP246" s="399">
        <v>0</v>
      </c>
      <c r="CQ246" s="399">
        <v>29</v>
      </c>
      <c r="CR246" s="399">
        <v>-71.235682293177888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-51.818911515049308</v>
      </c>
      <c r="DA246" s="399">
        <v>0</v>
      </c>
      <c r="DB246" s="399">
        <v>0</v>
      </c>
      <c r="DC246" s="399">
        <v>0</v>
      </c>
      <c r="DD246" s="399">
        <v>0</v>
      </c>
      <c r="DE246" s="399">
        <v>0</v>
      </c>
      <c r="DF246" s="399">
        <v>0</v>
      </c>
      <c r="DG246" s="399">
        <v>0</v>
      </c>
      <c r="DH246" s="399">
        <v>0</v>
      </c>
      <c r="DI246" s="399">
        <v>-16.65391952197723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-2.2310478614704152</v>
      </c>
      <c r="DP246" s="399">
        <v>-0.53180339468096882</v>
      </c>
      <c r="DQ246" s="399">
        <v>0</v>
      </c>
      <c r="DR246" s="399">
        <v>0</v>
      </c>
      <c r="DS246" s="399"/>
      <c r="DT246" s="399"/>
      <c r="DU246" s="399"/>
      <c r="DV246" s="399">
        <v>2536.4181911529222</v>
      </c>
      <c r="DW246" s="399">
        <v>0</v>
      </c>
      <c r="DX246" s="399">
        <v>0</v>
      </c>
      <c r="DY246" s="399">
        <v>-1652.6221600000001</v>
      </c>
      <c r="DZ246" s="399">
        <v>0</v>
      </c>
      <c r="EA246" s="399">
        <v>0</v>
      </c>
      <c r="EB246" s="399">
        <v>0</v>
      </c>
      <c r="EC246" s="399">
        <v>-1581.3981933448836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221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246</v>
      </c>
      <c r="B247" s="399" t="s">
        <v>956</v>
      </c>
      <c r="C247" s="399" t="s">
        <v>2328</v>
      </c>
      <c r="D247" s="399" t="s">
        <v>1824</v>
      </c>
      <c r="E247" s="399" t="s">
        <v>2579</v>
      </c>
      <c r="F247" s="399" t="s">
        <v>1239</v>
      </c>
      <c r="G247" s="399" t="s">
        <v>1239</v>
      </c>
      <c r="H247" s="399" t="s">
        <v>1239</v>
      </c>
      <c r="I247" s="399" t="s">
        <v>1239</v>
      </c>
      <c r="J247" s="399" t="s">
        <v>2326</v>
      </c>
      <c r="K247" s="786">
        <v>44593</v>
      </c>
      <c r="L247" s="399">
        <v>0</v>
      </c>
      <c r="M247" s="399">
        <v>0</v>
      </c>
      <c r="N247" s="399">
        <v>0.98899999999999999</v>
      </c>
      <c r="O247" s="399">
        <v>0.98899999999999999</v>
      </c>
      <c r="P247" s="399">
        <v>0.98899999999999999</v>
      </c>
      <c r="Q247" s="399">
        <v>0.98899999999999999</v>
      </c>
      <c r="R247" s="399"/>
      <c r="S247" s="399">
        <v>825.6</v>
      </c>
      <c r="T247" s="399">
        <v>185.74</v>
      </c>
      <c r="U247" s="399"/>
      <c r="V247" s="399">
        <v>1000.2152600000001</v>
      </c>
      <c r="W247" s="399">
        <v>1000.2152600000001</v>
      </c>
      <c r="X247" s="399">
        <v>621.78430000000003</v>
      </c>
      <c r="Y247" s="399">
        <v>0</v>
      </c>
      <c r="Z247" s="399">
        <v>61.659369261140988</v>
      </c>
      <c r="AA247" s="399">
        <v>0</v>
      </c>
      <c r="AB247" s="399">
        <v>0</v>
      </c>
      <c r="AC247" s="399">
        <v>0</v>
      </c>
      <c r="AD247" s="399">
        <v>128.89805748240121</v>
      </c>
      <c r="AE247" s="399">
        <v>580.80981501510541</v>
      </c>
      <c r="AF247" s="399">
        <v>183.70110077114387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9.5292070800807611</v>
      </c>
      <c r="AM247" s="399"/>
      <c r="AN247" s="399">
        <v>2.3447878074362309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33.280343566129432</v>
      </c>
      <c r="BH247" s="399">
        <v>0</v>
      </c>
      <c r="BI247" s="399">
        <v>0.35</v>
      </c>
      <c r="BJ247" s="399">
        <v>1.62</v>
      </c>
      <c r="BK247" s="399">
        <v>254.7</v>
      </c>
      <c r="BL247" s="399">
        <v>4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216.9814443372733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622.41300000000001</v>
      </c>
      <c r="CJ247" s="399">
        <v>-377.83226000000002</v>
      </c>
      <c r="CK247" s="399"/>
      <c r="CL247" s="399"/>
      <c r="CM247" s="399"/>
      <c r="CN247" s="399"/>
      <c r="CO247" s="399">
        <v>-378.43096000000003</v>
      </c>
      <c r="CP247" s="399">
        <v>0</v>
      </c>
      <c r="CQ247" s="399">
        <v>29</v>
      </c>
      <c r="CR247" s="399">
        <v>-16.312130073617254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-11.865918844265764</v>
      </c>
      <c r="DA247" s="399">
        <v>0</v>
      </c>
      <c r="DB247" s="399">
        <v>0</v>
      </c>
      <c r="DC247" s="399">
        <v>0</v>
      </c>
      <c r="DD247" s="399">
        <v>0</v>
      </c>
      <c r="DE247" s="399">
        <v>0</v>
      </c>
      <c r="DF247" s="399">
        <v>0</v>
      </c>
      <c r="DG247" s="399">
        <v>0</v>
      </c>
      <c r="DH247" s="399">
        <v>0</v>
      </c>
      <c r="DI247" s="399">
        <v>-3.8135509162388317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-0.51088361541890492</v>
      </c>
      <c r="DP247" s="399">
        <v>-0.12177669769378952</v>
      </c>
      <c r="DQ247" s="399">
        <v>0</v>
      </c>
      <c r="DR247" s="399">
        <v>0</v>
      </c>
      <c r="DS247" s="399"/>
      <c r="DT247" s="399"/>
      <c r="DU247" s="399"/>
      <c r="DV247" s="399">
        <v>580.80981501510541</v>
      </c>
      <c r="DW247" s="399">
        <v>0</v>
      </c>
      <c r="DX247" s="399">
        <v>0</v>
      </c>
      <c r="DY247" s="399">
        <v>-378.43096000000008</v>
      </c>
      <c r="DZ247" s="399">
        <v>0</v>
      </c>
      <c r="EA247" s="399">
        <v>0</v>
      </c>
      <c r="EB247" s="399">
        <v>0</v>
      </c>
      <c r="EC247" s="399">
        <v>-362.12151266915726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221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247</v>
      </c>
      <c r="B248" s="399" t="s">
        <v>956</v>
      </c>
      <c r="C248" s="399" t="s">
        <v>2328</v>
      </c>
      <c r="D248" s="399" t="s">
        <v>1824</v>
      </c>
      <c r="E248" s="399" t="s">
        <v>921</v>
      </c>
      <c r="F248" s="399" t="s">
        <v>2580</v>
      </c>
      <c r="G248" s="399" t="s">
        <v>1239</v>
      </c>
      <c r="H248" s="399" t="s">
        <v>1239</v>
      </c>
      <c r="I248" s="399" t="s">
        <v>1239</v>
      </c>
      <c r="J248" s="399" t="s">
        <v>2326</v>
      </c>
      <c r="K248" s="786">
        <v>44593</v>
      </c>
      <c r="L248" s="399">
        <v>0</v>
      </c>
      <c r="M248" s="399">
        <v>0</v>
      </c>
      <c r="N248" s="399">
        <v>0.06</v>
      </c>
      <c r="O248" s="399">
        <v>0.06</v>
      </c>
      <c r="P248" s="399">
        <v>0.06</v>
      </c>
      <c r="Q248" s="399">
        <v>0.06</v>
      </c>
      <c r="R248" s="399"/>
      <c r="S248" s="399">
        <v>825.6</v>
      </c>
      <c r="T248" s="399">
        <v>185.74</v>
      </c>
      <c r="U248" s="399"/>
      <c r="V248" s="399">
        <v>60.680400000000006</v>
      </c>
      <c r="W248" s="399">
        <v>60.680400000000006</v>
      </c>
      <c r="X248" s="399">
        <v>37.721999999999994</v>
      </c>
      <c r="Y248" s="399">
        <v>0</v>
      </c>
      <c r="Z248" s="399">
        <v>3.7407099652866118</v>
      </c>
      <c r="AA248" s="399">
        <v>0</v>
      </c>
      <c r="AB248" s="399">
        <v>0</v>
      </c>
      <c r="AC248" s="399">
        <v>0</v>
      </c>
      <c r="AD248" s="399">
        <v>7.81990237506984</v>
      </c>
      <c r="AE248" s="399">
        <v>35.236186957438143</v>
      </c>
      <c r="AF248" s="399">
        <v>11.14465727630802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0.57811165298771039</v>
      </c>
      <c r="AM248" s="399"/>
      <c r="AN248" s="399">
        <v>0.14225204089603019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2.019029943344556</v>
      </c>
      <c r="BH248" s="399">
        <v>0</v>
      </c>
      <c r="BI248" s="399">
        <v>0.02</v>
      </c>
      <c r="BJ248" s="399">
        <v>0.1</v>
      </c>
      <c r="BK248" s="399">
        <v>0</v>
      </c>
      <c r="BL248" s="399">
        <v>1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13.163687219652576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37.721999999999994</v>
      </c>
      <c r="CJ248" s="399">
        <v>-22.988400000000006</v>
      </c>
      <c r="CK248" s="399"/>
      <c r="CL248" s="399"/>
      <c r="CM248" s="399"/>
      <c r="CN248" s="399"/>
      <c r="CO248" s="399">
        <v>-22.958400000000001</v>
      </c>
      <c r="CP248" s="399">
        <v>0</v>
      </c>
      <c r="CQ248" s="399">
        <v>29</v>
      </c>
      <c r="CR248" s="399">
        <v>-0.98961355350559899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-0.71987374181592045</v>
      </c>
      <c r="DA248" s="399">
        <v>0</v>
      </c>
      <c r="DB248" s="399">
        <v>0</v>
      </c>
      <c r="DC248" s="399">
        <v>0</v>
      </c>
      <c r="DD248" s="399">
        <v>0</v>
      </c>
      <c r="DE248" s="399">
        <v>0</v>
      </c>
      <c r="DF248" s="399">
        <v>0</v>
      </c>
      <c r="DG248" s="399">
        <v>0</v>
      </c>
      <c r="DH248" s="399">
        <v>0</v>
      </c>
      <c r="DI248" s="399">
        <v>-0.23135799289618797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-3.0993950379306523E-2</v>
      </c>
      <c r="DP248" s="399">
        <v>-7.3878684141834017E-3</v>
      </c>
      <c r="DQ248" s="399">
        <v>0</v>
      </c>
      <c r="DR248" s="399">
        <v>0</v>
      </c>
      <c r="DS248" s="399"/>
      <c r="DT248" s="399"/>
      <c r="DU248" s="399"/>
      <c r="DV248" s="399">
        <v>35.236186957438143</v>
      </c>
      <c r="DW248" s="399">
        <v>0</v>
      </c>
      <c r="DX248" s="399">
        <v>0</v>
      </c>
      <c r="DY248" s="399">
        <v>-22.958400000000005</v>
      </c>
      <c r="DZ248" s="399">
        <v>0</v>
      </c>
      <c r="EA248" s="399">
        <v>0</v>
      </c>
      <c r="EB248" s="399">
        <v>0</v>
      </c>
      <c r="EC248" s="399">
        <v>-21.968949201364445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221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248</v>
      </c>
      <c r="B249" s="399" t="s">
        <v>956</v>
      </c>
      <c r="C249" s="399" t="s">
        <v>2328</v>
      </c>
      <c r="D249" s="399" t="s">
        <v>1821</v>
      </c>
      <c r="E249" s="399" t="s">
        <v>889</v>
      </c>
      <c r="F249" s="399" t="s">
        <v>889</v>
      </c>
      <c r="G249" s="399" t="s">
        <v>1239</v>
      </c>
      <c r="H249" s="399" t="s">
        <v>1239</v>
      </c>
      <c r="I249" s="399" t="s">
        <v>1239</v>
      </c>
      <c r="J249" s="399" t="s">
        <v>2326</v>
      </c>
      <c r="K249" s="786">
        <v>44621</v>
      </c>
      <c r="L249" s="399">
        <v>0</v>
      </c>
      <c r="M249" s="399">
        <v>0</v>
      </c>
      <c r="N249" s="399">
        <v>1452.6479999999999</v>
      </c>
      <c r="O249" s="399">
        <v>1452.6479999999999</v>
      </c>
      <c r="P249" s="399">
        <v>1452.6479999999999</v>
      </c>
      <c r="Q249" s="399">
        <v>1452.6479999999999</v>
      </c>
      <c r="R249" s="399"/>
      <c r="S249" s="399">
        <v>825.6</v>
      </c>
      <c r="T249" s="399">
        <v>185.74</v>
      </c>
      <c r="U249" s="399"/>
      <c r="V249" s="399">
        <v>1469121.0283199998</v>
      </c>
      <c r="W249" s="399">
        <v>1469121.0283199998</v>
      </c>
      <c r="X249" s="399">
        <v>913279.79759999993</v>
      </c>
      <c r="Y249" s="399">
        <v>0</v>
      </c>
      <c r="Z249" s="399">
        <v>90565.580827561091</v>
      </c>
      <c r="AA249" s="399">
        <v>0</v>
      </c>
      <c r="AB249" s="399">
        <v>0</v>
      </c>
      <c r="AC249" s="399">
        <v>0</v>
      </c>
      <c r="AD249" s="399">
        <v>189326.09242234088</v>
      </c>
      <c r="AE249" s="399">
        <v>853096.27518914337</v>
      </c>
      <c r="AF249" s="399">
        <v>269821.06838523824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13996.54560815486</v>
      </c>
      <c r="AM249" s="399"/>
      <c r="AN249" s="399">
        <v>3444.0357117256076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48882.330152326373</v>
      </c>
      <c r="BH249" s="399">
        <v>0</v>
      </c>
      <c r="BI249" s="399">
        <v>402.78</v>
      </c>
      <c r="BJ249" s="399">
        <v>2030.13</v>
      </c>
      <c r="BK249" s="399">
        <v>243442.36</v>
      </c>
      <c r="BL249" s="399">
        <v>8203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318703.39853756462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913281.05500000005</v>
      </c>
      <c r="CJ249" s="399">
        <v>-555840.00331999979</v>
      </c>
      <c r="CK249" s="399"/>
      <c r="CL249" s="399"/>
      <c r="CM249" s="399"/>
      <c r="CN249" s="399"/>
      <c r="CO249" s="399">
        <v>-555841.23071999999</v>
      </c>
      <c r="CP249" s="399">
        <v>0</v>
      </c>
      <c r="CQ249" s="399">
        <v>31</v>
      </c>
      <c r="CR249" s="399">
        <v>-23959.335821213201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-17428.719188356888</v>
      </c>
      <c r="DA249" s="399">
        <v>0</v>
      </c>
      <c r="DB249" s="399">
        <v>0</v>
      </c>
      <c r="DC249" s="399">
        <v>0</v>
      </c>
      <c r="DD249" s="399">
        <v>0</v>
      </c>
      <c r="DE249" s="399">
        <v>0</v>
      </c>
      <c r="DF249" s="399">
        <v>0</v>
      </c>
      <c r="DG249" s="399">
        <v>0</v>
      </c>
      <c r="DH249" s="399">
        <v>0</v>
      </c>
      <c r="DI249" s="399">
        <v>-5601.3620944110153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-750.38833384331701</v>
      </c>
      <c r="DP249" s="399">
        <v>-178.86620460211134</v>
      </c>
      <c r="DQ249" s="399">
        <v>0</v>
      </c>
      <c r="DR249" s="399">
        <v>0</v>
      </c>
      <c r="DS249" s="399"/>
      <c r="DT249" s="399"/>
      <c r="DU249" s="399"/>
      <c r="DV249" s="399">
        <v>853096.27518914337</v>
      </c>
      <c r="DW249" s="399">
        <v>0</v>
      </c>
      <c r="DX249" s="399">
        <v>0</v>
      </c>
      <c r="DY249" s="399">
        <v>-555841.23071999999</v>
      </c>
      <c r="DZ249" s="399">
        <v>0</v>
      </c>
      <c r="EA249" s="399">
        <v>0</v>
      </c>
      <c r="EB249" s="399">
        <v>0</v>
      </c>
      <c r="EC249" s="399">
        <v>-531885.83532439428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221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249</v>
      </c>
      <c r="B250" s="399" t="s">
        <v>2329</v>
      </c>
      <c r="C250" s="399" t="s">
        <v>2328</v>
      </c>
      <c r="D250" s="399" t="s">
        <v>1821</v>
      </c>
      <c r="E250" s="399" t="s">
        <v>889</v>
      </c>
      <c r="F250" s="399" t="s">
        <v>889</v>
      </c>
      <c r="G250" s="399" t="s">
        <v>1239</v>
      </c>
      <c r="H250" s="399" t="s">
        <v>1239</v>
      </c>
      <c r="I250" s="399" t="s">
        <v>1239</v>
      </c>
      <c r="J250" s="399" t="s">
        <v>2326</v>
      </c>
      <c r="K250" s="786">
        <v>44621</v>
      </c>
      <c r="L250" s="399">
        <v>0</v>
      </c>
      <c r="M250" s="399">
        <v>0</v>
      </c>
      <c r="N250" s="399">
        <v>-3.2749999999999999</v>
      </c>
      <c r="O250" s="399">
        <v>-3.2749999999999999</v>
      </c>
      <c r="P250" s="399">
        <v>-3.2749999999999999</v>
      </c>
      <c r="Q250" s="399">
        <v>-3.2749999999999999</v>
      </c>
      <c r="R250" s="399"/>
      <c r="S250" s="399">
        <v>825.6</v>
      </c>
      <c r="T250" s="399">
        <v>185.74</v>
      </c>
      <c r="U250" s="399"/>
      <c r="V250" s="399">
        <v>-3312.1385</v>
      </c>
      <c r="W250" s="399">
        <v>-3312.1385</v>
      </c>
      <c r="X250" s="399">
        <v>-2058.9924999999998</v>
      </c>
      <c r="Y250" s="399">
        <v>0</v>
      </c>
      <c r="Z250" s="399">
        <v>-204.18041893856088</v>
      </c>
      <c r="AA250" s="399">
        <v>0</v>
      </c>
      <c r="AB250" s="399">
        <v>0</v>
      </c>
      <c r="AC250" s="399">
        <v>0</v>
      </c>
      <c r="AD250" s="399">
        <v>-426.83633797256209</v>
      </c>
      <c r="AE250" s="399">
        <v>-1923.3085380934986</v>
      </c>
      <c r="AF250" s="399">
        <v>-608.31254299847944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-31.555261058912528</v>
      </c>
      <c r="AM250" s="399"/>
      <c r="AN250" s="399">
        <v>-7.7645905655749807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-110.20538440755701</v>
      </c>
      <c r="BH250" s="399">
        <v>0</v>
      </c>
      <c r="BI250" s="399">
        <v>-1.32</v>
      </c>
      <c r="BJ250" s="399">
        <v>-6.33</v>
      </c>
      <c r="BK250" s="399">
        <v>-698.75</v>
      </c>
      <c r="BL250" s="399">
        <v>0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-718.51792740603651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-2062.136</v>
      </c>
      <c r="CJ250" s="399">
        <v>1249.9724999999994</v>
      </c>
      <c r="CK250" s="399"/>
      <c r="CL250" s="399"/>
      <c r="CM250" s="399"/>
      <c r="CN250" s="399"/>
      <c r="CO250" s="399">
        <v>1253.1460000000002</v>
      </c>
      <c r="CP250" s="399">
        <v>0</v>
      </c>
      <c r="CQ250" s="399">
        <v>31</v>
      </c>
      <c r="CR250" s="399">
        <v>54.016406462180157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39.29310840745228</v>
      </c>
      <c r="DA250" s="399">
        <v>0</v>
      </c>
      <c r="DB250" s="399">
        <v>0</v>
      </c>
      <c r="DC250" s="399">
        <v>0</v>
      </c>
      <c r="DD250" s="399">
        <v>0</v>
      </c>
      <c r="DE250" s="399">
        <v>0</v>
      </c>
      <c r="DF250" s="399">
        <v>0</v>
      </c>
      <c r="DG250" s="399">
        <v>0</v>
      </c>
      <c r="DH250" s="399">
        <v>0</v>
      </c>
      <c r="DI250" s="399">
        <v>12.628290445583588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1.691753124870484</v>
      </c>
      <c r="DP250" s="399">
        <v>0.40325448427417676</v>
      </c>
      <c r="DQ250" s="399">
        <v>0</v>
      </c>
      <c r="DR250" s="399">
        <v>0</v>
      </c>
      <c r="DS250" s="399"/>
      <c r="DT250" s="399"/>
      <c r="DU250" s="399"/>
      <c r="DV250" s="399">
        <v>-1923.3085380934986</v>
      </c>
      <c r="DW250" s="399">
        <v>0</v>
      </c>
      <c r="DX250" s="399">
        <v>0</v>
      </c>
      <c r="DY250" s="399">
        <v>1253.1460000000002</v>
      </c>
      <c r="DZ250" s="399">
        <v>0</v>
      </c>
      <c r="EA250" s="399">
        <v>0</v>
      </c>
      <c r="EB250" s="399">
        <v>0</v>
      </c>
      <c r="EC250" s="399">
        <v>1199.1384772411425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221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250</v>
      </c>
      <c r="B251" s="399" t="s">
        <v>2330</v>
      </c>
      <c r="C251" s="399" t="s">
        <v>2328</v>
      </c>
      <c r="D251" s="399" t="s">
        <v>1821</v>
      </c>
      <c r="E251" s="399" t="s">
        <v>889</v>
      </c>
      <c r="F251" s="399" t="s">
        <v>889</v>
      </c>
      <c r="G251" s="399" t="s">
        <v>1239</v>
      </c>
      <c r="H251" s="399" t="s">
        <v>1239</v>
      </c>
      <c r="I251" s="399" t="s">
        <v>1239</v>
      </c>
      <c r="J251" s="399" t="s">
        <v>2326</v>
      </c>
      <c r="K251" s="786">
        <v>44621</v>
      </c>
      <c r="L251" s="399">
        <v>0</v>
      </c>
      <c r="M251" s="399">
        <v>0</v>
      </c>
      <c r="N251" s="399">
        <v>28.681999999999999</v>
      </c>
      <c r="O251" s="399">
        <v>28.681999999999999</v>
      </c>
      <c r="P251" s="399">
        <v>28.681999999999999</v>
      </c>
      <c r="Q251" s="399">
        <v>28.681999999999999</v>
      </c>
      <c r="R251" s="399"/>
      <c r="S251" s="399">
        <v>825.6</v>
      </c>
      <c r="T251" s="399">
        <v>185.74</v>
      </c>
      <c r="U251" s="399"/>
      <c r="V251" s="399">
        <v>29007.25388</v>
      </c>
      <c r="W251" s="399">
        <v>29007.25388</v>
      </c>
      <c r="X251" s="399">
        <v>18032.3734</v>
      </c>
      <c r="Y251" s="399">
        <v>0</v>
      </c>
      <c r="Z251" s="399">
        <v>1788.1840537391765</v>
      </c>
      <c r="AA251" s="399">
        <v>0</v>
      </c>
      <c r="AB251" s="399">
        <v>0</v>
      </c>
      <c r="AC251" s="399">
        <v>0</v>
      </c>
      <c r="AD251" s="399">
        <v>3738.173998695886</v>
      </c>
      <c r="AE251" s="399">
        <v>16844.07190522068</v>
      </c>
      <c r="AF251" s="399">
        <v>5327.5176666511106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276.35664051655851</v>
      </c>
      <c r="AM251" s="399"/>
      <c r="AN251" s="399">
        <v>68.001217282998965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965.16361391680925</v>
      </c>
      <c r="BH251" s="399">
        <v>0</v>
      </c>
      <c r="BI251" s="399">
        <v>8.14</v>
      </c>
      <c r="BJ251" s="399">
        <v>37.94</v>
      </c>
      <c r="BK251" s="399">
        <v>10999.46</v>
      </c>
      <c r="BL251" s="399">
        <v>76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6292.6812805679201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18031.115999999998</v>
      </c>
      <c r="CJ251" s="399">
        <v>-10976.167879999997</v>
      </c>
      <c r="CK251" s="399"/>
      <c r="CL251" s="399"/>
      <c r="CM251" s="399"/>
      <c r="CN251" s="399"/>
      <c r="CO251" s="399">
        <v>-10974.88048</v>
      </c>
      <c r="CP251" s="399">
        <v>0</v>
      </c>
      <c r="CQ251" s="399">
        <v>31</v>
      </c>
      <c r="CR251" s="399">
        <v>-473.06826569412442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-344.12364437940369</v>
      </c>
      <c r="DA251" s="399">
        <v>0</v>
      </c>
      <c r="DB251" s="399">
        <v>0</v>
      </c>
      <c r="DC251" s="399">
        <v>0</v>
      </c>
      <c r="DD251" s="399">
        <v>0</v>
      </c>
      <c r="DE251" s="399">
        <v>0</v>
      </c>
      <c r="DF251" s="399">
        <v>0</v>
      </c>
      <c r="DG251" s="399">
        <v>0</v>
      </c>
      <c r="DH251" s="399">
        <v>0</v>
      </c>
      <c r="DI251" s="399">
        <v>-110.59683253747426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-14.816141412987861</v>
      </c>
      <c r="DP251" s="399">
        <v>-3.531647364260138</v>
      </c>
      <c r="DQ251" s="399">
        <v>0</v>
      </c>
      <c r="DR251" s="399">
        <v>0</v>
      </c>
      <c r="DS251" s="399"/>
      <c r="DT251" s="399"/>
      <c r="DU251" s="399"/>
      <c r="DV251" s="399">
        <v>16844.07190522068</v>
      </c>
      <c r="DW251" s="399">
        <v>0</v>
      </c>
      <c r="DX251" s="399">
        <v>0</v>
      </c>
      <c r="DY251" s="399">
        <v>-10974.88048</v>
      </c>
      <c r="DZ251" s="399">
        <v>0</v>
      </c>
      <c r="EA251" s="399">
        <v>0</v>
      </c>
      <c r="EB251" s="399">
        <v>0</v>
      </c>
      <c r="EC251" s="399">
        <v>-10501.890016558917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221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251</v>
      </c>
      <c r="B252" s="399" t="s">
        <v>956</v>
      </c>
      <c r="C252" s="399" t="s">
        <v>2328</v>
      </c>
      <c r="D252" s="399" t="s">
        <v>1821</v>
      </c>
      <c r="E252" s="399" t="s">
        <v>889</v>
      </c>
      <c r="F252" s="399" t="s">
        <v>2331</v>
      </c>
      <c r="G252" s="399" t="s">
        <v>1239</v>
      </c>
      <c r="H252" s="399" t="s">
        <v>1239</v>
      </c>
      <c r="I252" s="399" t="s">
        <v>1239</v>
      </c>
      <c r="J252" s="399" t="s">
        <v>2326</v>
      </c>
      <c r="K252" s="786">
        <v>44621</v>
      </c>
      <c r="L252" s="399">
        <v>0</v>
      </c>
      <c r="M252" s="399">
        <v>0</v>
      </c>
      <c r="N252" s="399">
        <v>6.54</v>
      </c>
      <c r="O252" s="399">
        <v>6.54</v>
      </c>
      <c r="P252" s="399">
        <v>6.54</v>
      </c>
      <c r="Q252" s="399">
        <v>6.54</v>
      </c>
      <c r="R252" s="399"/>
      <c r="S252" s="399">
        <v>753.62</v>
      </c>
      <c r="T252" s="399">
        <v>185.74</v>
      </c>
      <c r="U252" s="399"/>
      <c r="V252" s="399">
        <v>6143.4143999999997</v>
      </c>
      <c r="W252" s="399">
        <v>6143.4143999999997</v>
      </c>
      <c r="X252" s="399">
        <v>3669.5286000000006</v>
      </c>
      <c r="Y252" s="399">
        <v>0</v>
      </c>
      <c r="Z252" s="399">
        <v>0</v>
      </c>
      <c r="AA252" s="399">
        <v>0</v>
      </c>
      <c r="AB252" s="399">
        <v>0</v>
      </c>
      <c r="AC252" s="399">
        <v>0</v>
      </c>
      <c r="AD252" s="399">
        <v>852.36935888261257</v>
      </c>
      <c r="AE252" s="399">
        <v>3840.7443783607573</v>
      </c>
      <c r="AF252" s="399">
        <v>1214.7676431175742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0</v>
      </c>
      <c r="AM252" s="399"/>
      <c r="AN252" s="399">
        <v>15.50547245766729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220.0742638245566</v>
      </c>
      <c r="BH252" s="399">
        <v>0</v>
      </c>
      <c r="BI252" s="399">
        <v>0</v>
      </c>
      <c r="BJ252" s="399">
        <v>2.1800000000000002</v>
      </c>
      <c r="BK252" s="399">
        <v>174.4</v>
      </c>
      <c r="BL252" s="399">
        <v>13</v>
      </c>
      <c r="BM252" s="399"/>
      <c r="BN252" s="399"/>
      <c r="BO252" s="399"/>
      <c r="BP252" s="399"/>
      <c r="BQ252" s="399"/>
      <c r="BR252" s="399"/>
      <c r="BS252" s="399"/>
      <c r="BT252" s="399">
        <v>2385.2034000000003</v>
      </c>
      <c r="BU252" s="399"/>
      <c r="BV252" s="399">
        <v>1434.8419069421307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1284.3252</v>
      </c>
      <c r="CJ252" s="399">
        <v>-865.92600000000016</v>
      </c>
      <c r="CK252" s="399"/>
      <c r="CL252" s="399"/>
      <c r="CM252" s="399"/>
      <c r="CN252" s="399"/>
      <c r="CO252" s="399">
        <v>-2473.8858</v>
      </c>
      <c r="CP252" s="399">
        <v>0</v>
      </c>
      <c r="CQ252" s="399">
        <v>31</v>
      </c>
      <c r="CR252" s="399">
        <v>-79.271515515081319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-78.466237857935312</v>
      </c>
      <c r="DA252" s="399">
        <v>0</v>
      </c>
      <c r="DB252" s="399">
        <v>0</v>
      </c>
      <c r="DC252" s="399">
        <v>0</v>
      </c>
      <c r="DD252" s="399">
        <v>0</v>
      </c>
      <c r="DE252" s="399">
        <v>0</v>
      </c>
      <c r="DF252" s="399">
        <v>0</v>
      </c>
      <c r="DG252" s="399">
        <v>0</v>
      </c>
      <c r="DH252" s="399">
        <v>0</v>
      </c>
      <c r="DI252" s="399">
        <v>0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0</v>
      </c>
      <c r="DP252" s="399">
        <v>-0.80527765714598942</v>
      </c>
      <c r="DQ252" s="399">
        <v>0</v>
      </c>
      <c r="DR252" s="399">
        <v>0</v>
      </c>
      <c r="DS252" s="399"/>
      <c r="DT252" s="399"/>
      <c r="DU252" s="399"/>
      <c r="DV252" s="399">
        <v>3840.7443783607573</v>
      </c>
      <c r="DW252" s="399">
        <v>0</v>
      </c>
      <c r="DX252" s="399">
        <v>0</v>
      </c>
      <c r="DY252" s="399">
        <v>-2473.8857999999996</v>
      </c>
      <c r="DZ252" s="399">
        <v>0</v>
      </c>
      <c r="EA252" s="399">
        <v>0</v>
      </c>
      <c r="EB252" s="399">
        <v>0</v>
      </c>
      <c r="EC252" s="399">
        <v>-2394.6154629487237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221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252</v>
      </c>
      <c r="B253" s="399" t="s">
        <v>2330</v>
      </c>
      <c r="C253" s="399" t="s">
        <v>2328</v>
      </c>
      <c r="D253" s="399" t="s">
        <v>1821</v>
      </c>
      <c r="E253" s="399" t="s">
        <v>889</v>
      </c>
      <c r="F253" s="399" t="s">
        <v>2331</v>
      </c>
      <c r="G253" s="399" t="s">
        <v>1239</v>
      </c>
      <c r="H253" s="399" t="s">
        <v>1239</v>
      </c>
      <c r="I253" s="399" t="s">
        <v>1239</v>
      </c>
      <c r="J253" s="399" t="s">
        <v>2326</v>
      </c>
      <c r="K253" s="786">
        <v>44621</v>
      </c>
      <c r="L253" s="399">
        <v>0</v>
      </c>
      <c r="M253" s="399">
        <v>0</v>
      </c>
      <c r="N253" s="399">
        <v>0.03</v>
      </c>
      <c r="O253" s="399">
        <v>1.0500000000000001E-2</v>
      </c>
      <c r="P253" s="399">
        <v>0.03</v>
      </c>
      <c r="Q253" s="399">
        <v>1.0500000000000001E-2</v>
      </c>
      <c r="R253" s="399"/>
      <c r="S253" s="399">
        <v>753.62</v>
      </c>
      <c r="T253" s="399">
        <v>185.74</v>
      </c>
      <c r="U253" s="399"/>
      <c r="V253" s="399">
        <v>28.180799999999998</v>
      </c>
      <c r="W253" s="399">
        <v>28.180799999999998</v>
      </c>
      <c r="X253" s="399">
        <v>16.832700000000003</v>
      </c>
      <c r="Y253" s="399">
        <v>0</v>
      </c>
      <c r="Z253" s="399">
        <v>0</v>
      </c>
      <c r="AA253" s="399">
        <v>0</v>
      </c>
      <c r="AB253" s="399">
        <v>0</v>
      </c>
      <c r="AC253" s="399">
        <v>0</v>
      </c>
      <c r="AD253" s="399">
        <v>3.90995118753492</v>
      </c>
      <c r="AE253" s="399">
        <v>17.618093478719071</v>
      </c>
      <c r="AF253" s="399">
        <v>5.5723286381540102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0</v>
      </c>
      <c r="AM253" s="399"/>
      <c r="AN253" s="399">
        <v>7.1126020448015095E-2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1.009514971672278</v>
      </c>
      <c r="BH253" s="399">
        <v>0</v>
      </c>
      <c r="BI253" s="399">
        <v>0</v>
      </c>
      <c r="BJ253" s="399">
        <v>0.01</v>
      </c>
      <c r="BK253" s="399">
        <v>0.8</v>
      </c>
      <c r="BL253" s="399">
        <v>0</v>
      </c>
      <c r="BM253" s="399"/>
      <c r="BN253" s="399"/>
      <c r="BO253" s="399"/>
      <c r="BP253" s="399"/>
      <c r="BQ253" s="399"/>
      <c r="BR253" s="399"/>
      <c r="BS253" s="399"/>
      <c r="BT253" s="399">
        <v>14.770709999999999</v>
      </c>
      <c r="BU253" s="399"/>
      <c r="BV253" s="399">
        <v>6.5818436098262882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1.9638</v>
      </c>
      <c r="CJ253" s="399">
        <v>-1.5183899999999997</v>
      </c>
      <c r="CK253" s="399"/>
      <c r="CL253" s="399"/>
      <c r="CM253" s="399"/>
      <c r="CN253" s="399"/>
      <c r="CO253" s="399">
        <v>-11.348099999999999</v>
      </c>
      <c r="CP253" s="399">
        <v>0</v>
      </c>
      <c r="CQ253" s="399">
        <v>31</v>
      </c>
      <c r="CR253" s="399">
        <v>-0.36363080511505075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-0.35993687090796023</v>
      </c>
      <c r="DA253" s="399">
        <v>0</v>
      </c>
      <c r="DB253" s="399">
        <v>0</v>
      </c>
      <c r="DC253" s="399">
        <v>0</v>
      </c>
      <c r="DD253" s="399">
        <v>0</v>
      </c>
      <c r="DE253" s="399">
        <v>0</v>
      </c>
      <c r="DF253" s="399">
        <v>0</v>
      </c>
      <c r="DG253" s="399">
        <v>0</v>
      </c>
      <c r="DH253" s="399">
        <v>0</v>
      </c>
      <c r="DI253" s="399">
        <v>0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0</v>
      </c>
      <c r="DP253" s="399">
        <v>-3.6939342070917008E-3</v>
      </c>
      <c r="DQ253" s="399">
        <v>0</v>
      </c>
      <c r="DR253" s="399">
        <v>0</v>
      </c>
      <c r="DS253" s="399"/>
      <c r="DT253" s="399"/>
      <c r="DU253" s="399"/>
      <c r="DV253" s="399">
        <v>17.618093478719071</v>
      </c>
      <c r="DW253" s="399">
        <v>0</v>
      </c>
      <c r="DX253" s="399">
        <v>0</v>
      </c>
      <c r="DY253" s="399">
        <v>-11.348099999999999</v>
      </c>
      <c r="DZ253" s="399">
        <v>0</v>
      </c>
      <c r="EA253" s="399">
        <v>0</v>
      </c>
      <c r="EB253" s="399">
        <v>0</v>
      </c>
      <c r="EC253" s="399">
        <v>-10.984474600682223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221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253</v>
      </c>
      <c r="B254" s="399" t="s">
        <v>956</v>
      </c>
      <c r="C254" s="399" t="s">
        <v>2328</v>
      </c>
      <c r="D254" s="399" t="s">
        <v>1821</v>
      </c>
      <c r="E254" s="399" t="s">
        <v>889</v>
      </c>
      <c r="F254" s="399" t="s">
        <v>2332</v>
      </c>
      <c r="G254" s="399" t="s">
        <v>1239</v>
      </c>
      <c r="H254" s="399" t="s">
        <v>1239</v>
      </c>
      <c r="I254" s="399" t="s">
        <v>1239</v>
      </c>
      <c r="J254" s="399" t="s">
        <v>2326</v>
      </c>
      <c r="K254" s="786">
        <v>44621</v>
      </c>
      <c r="L254" s="399">
        <v>0</v>
      </c>
      <c r="M254" s="399">
        <v>0</v>
      </c>
      <c r="N254" s="399">
        <v>13.773</v>
      </c>
      <c r="O254" s="399">
        <v>13.773</v>
      </c>
      <c r="P254" s="399">
        <v>13.773</v>
      </c>
      <c r="Q254" s="399">
        <v>13.773</v>
      </c>
      <c r="R254" s="399"/>
      <c r="S254" s="399">
        <v>753.62</v>
      </c>
      <c r="T254" s="399">
        <v>185.74</v>
      </c>
      <c r="U254" s="399"/>
      <c r="V254" s="399">
        <v>12937.805279999999</v>
      </c>
      <c r="W254" s="399">
        <v>12937.805279999999</v>
      </c>
      <c r="X254" s="399">
        <v>7727.89257</v>
      </c>
      <c r="Y254" s="399">
        <v>0</v>
      </c>
      <c r="Z254" s="399">
        <v>0</v>
      </c>
      <c r="AA254" s="399">
        <v>0</v>
      </c>
      <c r="AB254" s="399">
        <v>0</v>
      </c>
      <c r="AC254" s="399">
        <v>0</v>
      </c>
      <c r="AD254" s="399">
        <v>1795.0585901972818</v>
      </c>
      <c r="AE254" s="399">
        <v>8088.4667160799254</v>
      </c>
      <c r="AF254" s="399">
        <v>2558.2560777765061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0</v>
      </c>
      <c r="AM254" s="399"/>
      <c r="AN254" s="399">
        <v>32.65395598768373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463.46832349474283</v>
      </c>
      <c r="BH254" s="399">
        <v>0</v>
      </c>
      <c r="BI254" s="399">
        <v>1.9</v>
      </c>
      <c r="BJ254" s="399">
        <v>7.92</v>
      </c>
      <c r="BK254" s="399">
        <v>633.51</v>
      </c>
      <c r="BL254" s="399">
        <v>23</v>
      </c>
      <c r="BM254" s="399"/>
      <c r="BN254" s="399"/>
      <c r="BO254" s="399"/>
      <c r="BP254" s="399"/>
      <c r="BQ254" s="399"/>
      <c r="BR254" s="399"/>
      <c r="BS254" s="399"/>
      <c r="BT254" s="399">
        <v>3091.0743900000002</v>
      </c>
      <c r="BU254" s="399"/>
      <c r="BV254" s="399">
        <v>3021.724401271249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4635.8082000000004</v>
      </c>
      <c r="CJ254" s="399">
        <v>-3126.9600600000003</v>
      </c>
      <c r="CK254" s="399"/>
      <c r="CL254" s="399"/>
      <c r="CM254" s="399"/>
      <c r="CN254" s="399"/>
      <c r="CO254" s="399">
        <v>-5209.9127099999996</v>
      </c>
      <c r="CP254" s="399">
        <v>0</v>
      </c>
      <c r="CQ254" s="399">
        <v>31</v>
      </c>
      <c r="CR254" s="399">
        <v>-166.94290262831964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-165.24701743384435</v>
      </c>
      <c r="DA254" s="399">
        <v>0</v>
      </c>
      <c r="DB254" s="399">
        <v>0</v>
      </c>
      <c r="DC254" s="399">
        <v>0</v>
      </c>
      <c r="DD254" s="399">
        <v>0</v>
      </c>
      <c r="DE254" s="399">
        <v>0</v>
      </c>
      <c r="DF254" s="399">
        <v>0</v>
      </c>
      <c r="DG254" s="399">
        <v>0</v>
      </c>
      <c r="DH254" s="399">
        <v>0</v>
      </c>
      <c r="DI254" s="399">
        <v>0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0</v>
      </c>
      <c r="DP254" s="399">
        <v>-1.6958851944757996</v>
      </c>
      <c r="DQ254" s="399">
        <v>0</v>
      </c>
      <c r="DR254" s="399">
        <v>0</v>
      </c>
      <c r="DS254" s="399"/>
      <c r="DT254" s="399"/>
      <c r="DU254" s="399"/>
      <c r="DV254" s="399">
        <v>8088.4667160799254</v>
      </c>
      <c r="DW254" s="399">
        <v>0</v>
      </c>
      <c r="DX254" s="399">
        <v>0</v>
      </c>
      <c r="DY254" s="399">
        <v>-5209.9127099999987</v>
      </c>
      <c r="DZ254" s="399">
        <v>0</v>
      </c>
      <c r="EA254" s="399">
        <v>0</v>
      </c>
      <c r="EB254" s="399">
        <v>0</v>
      </c>
      <c r="EC254" s="399">
        <v>-5042.9722891732072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221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254</v>
      </c>
      <c r="B255" s="399" t="s">
        <v>2330</v>
      </c>
      <c r="C255" s="399" t="s">
        <v>2328</v>
      </c>
      <c r="D255" s="399" t="s">
        <v>1821</v>
      </c>
      <c r="E255" s="399" t="s">
        <v>889</v>
      </c>
      <c r="F255" s="399" t="s">
        <v>2332</v>
      </c>
      <c r="G255" s="399" t="s">
        <v>1239</v>
      </c>
      <c r="H255" s="399" t="s">
        <v>1239</v>
      </c>
      <c r="I255" s="399" t="s">
        <v>1239</v>
      </c>
      <c r="J255" s="399" t="s">
        <v>2326</v>
      </c>
      <c r="K255" s="786">
        <v>44621</v>
      </c>
      <c r="L255" s="399">
        <v>0</v>
      </c>
      <c r="M255" s="399">
        <v>0</v>
      </c>
      <c r="N255" s="399">
        <v>0</v>
      </c>
      <c r="O255" s="399">
        <v>0</v>
      </c>
      <c r="P255" s="399">
        <v>0</v>
      </c>
      <c r="Q255" s="399">
        <v>0</v>
      </c>
      <c r="R255" s="399"/>
      <c r="S255" s="399"/>
      <c r="T255" s="399"/>
      <c r="U255" s="399"/>
      <c r="V255" s="399"/>
      <c r="W255" s="399"/>
      <c r="X255" s="399"/>
      <c r="Y255" s="399"/>
      <c r="Z255" s="399"/>
      <c r="AA255" s="399">
        <v>0</v>
      </c>
      <c r="AB255" s="399"/>
      <c r="AC255" s="399"/>
      <c r="AD255" s="399"/>
      <c r="AE255" s="399"/>
      <c r="AF255" s="399"/>
      <c r="AG255" s="399"/>
      <c r="AH255" s="399"/>
      <c r="AI255" s="399"/>
      <c r="AJ255" s="399"/>
      <c r="AK255" s="399"/>
      <c r="AL255" s="399"/>
      <c r="AM255" s="399"/>
      <c r="AN255" s="399"/>
      <c r="AO255" s="399"/>
      <c r="AP255" s="399"/>
      <c r="AQ255" s="399"/>
      <c r="AR255" s="399"/>
      <c r="AS255" s="399"/>
      <c r="AT255" s="399"/>
      <c r="AU255" s="399"/>
      <c r="AV255" s="399"/>
      <c r="AW255" s="399"/>
      <c r="AX255" s="399"/>
      <c r="AY255" s="399"/>
      <c r="AZ255" s="399">
        <v>0</v>
      </c>
      <c r="BA255" s="399"/>
      <c r="BB255" s="399"/>
      <c r="BC255" s="399"/>
      <c r="BD255" s="399"/>
      <c r="BE255" s="399"/>
      <c r="BF255" s="399"/>
      <c r="BG255" s="399"/>
      <c r="BH255" s="399"/>
      <c r="BI255" s="399">
        <v>0</v>
      </c>
      <c r="BJ255" s="399">
        <v>0</v>
      </c>
      <c r="BK255" s="399">
        <v>2.64</v>
      </c>
      <c r="BL255" s="399">
        <v>0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/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/>
      <c r="CJ255" s="399">
        <v>-0.03</v>
      </c>
      <c r="CK255" s="399"/>
      <c r="CL255" s="399"/>
      <c r="CM255" s="399"/>
      <c r="CN255" s="399"/>
      <c r="CO255" s="399">
        <v>0</v>
      </c>
      <c r="CP255" s="399">
        <v>0</v>
      </c>
      <c r="CQ255" s="399">
        <v>31</v>
      </c>
      <c r="CR255" s="399"/>
      <c r="CS255" s="399"/>
      <c r="CT255" s="399"/>
      <c r="CU255" s="399"/>
      <c r="CV255" s="399"/>
      <c r="CW255" s="399"/>
      <c r="CX255" s="399"/>
      <c r="CY255" s="399"/>
      <c r="CZ255" s="399"/>
      <c r="DA255" s="399"/>
      <c r="DB255" s="399"/>
      <c r="DC255" s="399"/>
      <c r="DD255" s="399"/>
      <c r="DE255" s="399"/>
      <c r="DF255" s="399"/>
      <c r="DG255" s="399"/>
      <c r="DH255" s="399"/>
      <c r="DI255" s="399"/>
      <c r="DJ255" s="399"/>
      <c r="DK255" s="399">
        <v>0</v>
      </c>
      <c r="DL255" s="399"/>
      <c r="DM255" s="399"/>
      <c r="DN255" s="399"/>
      <c r="DO255" s="399"/>
      <c r="DP255" s="399"/>
      <c r="DQ255" s="399"/>
      <c r="DR255" s="399"/>
      <c r="DS255" s="399"/>
      <c r="DT255" s="399"/>
      <c r="DU255" s="399"/>
      <c r="DV255" s="399"/>
      <c r="DW255" s="399"/>
      <c r="DX255" s="399"/>
      <c r="DY255" s="399"/>
      <c r="DZ255" s="399"/>
      <c r="EA255" s="399"/>
      <c r="EB255" s="399"/>
      <c r="EC255" s="399"/>
      <c r="ED255" s="399"/>
      <c r="EE255" s="399"/>
      <c r="EF255" s="399"/>
      <c r="EG255" s="399"/>
      <c r="EH255" s="399"/>
      <c r="EI255" s="399"/>
      <c r="EJ255" s="399"/>
      <c r="EK255" s="399"/>
      <c r="EL255" s="399"/>
      <c r="EM255" s="399"/>
      <c r="EN255" s="399"/>
      <c r="EO255" s="399"/>
      <c r="EP255" s="399"/>
      <c r="EQ255" s="399"/>
      <c r="ER255" s="399"/>
      <c r="ES255" s="399"/>
      <c r="ET255" s="399"/>
      <c r="EU255" s="399"/>
      <c r="EV255" s="399">
        <v>221</v>
      </c>
      <c r="EW255" s="399"/>
      <c r="EX255" s="399"/>
      <c r="EY255" s="399"/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255</v>
      </c>
      <c r="B256" s="399" t="s">
        <v>956</v>
      </c>
      <c r="C256" s="399" t="s">
        <v>2328</v>
      </c>
      <c r="D256" s="399" t="s">
        <v>1821</v>
      </c>
      <c r="E256" s="399" t="s">
        <v>889</v>
      </c>
      <c r="F256" s="399" t="s">
        <v>2333</v>
      </c>
      <c r="G256" s="399" t="s">
        <v>1239</v>
      </c>
      <c r="H256" s="399" t="s">
        <v>1239</v>
      </c>
      <c r="I256" s="399" t="s">
        <v>1239</v>
      </c>
      <c r="J256" s="399" t="s">
        <v>2326</v>
      </c>
      <c r="K256" s="786">
        <v>44621</v>
      </c>
      <c r="L256" s="399">
        <v>0</v>
      </c>
      <c r="M256" s="399">
        <v>0</v>
      </c>
      <c r="N256" s="399">
        <v>15.63</v>
      </c>
      <c r="O256" s="399">
        <v>15.63</v>
      </c>
      <c r="P256" s="399">
        <v>15.63</v>
      </c>
      <c r="Q256" s="399">
        <v>15.63</v>
      </c>
      <c r="R256" s="399"/>
      <c r="S256" s="399">
        <v>753.62</v>
      </c>
      <c r="T256" s="399">
        <v>185.74</v>
      </c>
      <c r="U256" s="399"/>
      <c r="V256" s="399">
        <v>14682.196800000002</v>
      </c>
      <c r="W256" s="399">
        <v>14682.196800000002</v>
      </c>
      <c r="X256" s="399">
        <v>8769.8366999999998</v>
      </c>
      <c r="Y256" s="399">
        <v>0</v>
      </c>
      <c r="Z256" s="399">
        <v>0</v>
      </c>
      <c r="AA256" s="399">
        <v>0</v>
      </c>
      <c r="AB256" s="399">
        <v>0</v>
      </c>
      <c r="AC256" s="399">
        <v>0</v>
      </c>
      <c r="AD256" s="399">
        <v>2037.0845687056935</v>
      </c>
      <c r="AE256" s="399">
        <v>9179.026702412637</v>
      </c>
      <c r="AF256" s="399">
        <v>2903.1832204782395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0</v>
      </c>
      <c r="AM256" s="399"/>
      <c r="AN256" s="399">
        <v>37.056656653415864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525.95730024125692</v>
      </c>
      <c r="BH256" s="399">
        <v>0</v>
      </c>
      <c r="BI256" s="399">
        <v>2.5099999999999998</v>
      </c>
      <c r="BJ256" s="399">
        <v>14.55</v>
      </c>
      <c r="BK256" s="399">
        <v>1825.39</v>
      </c>
      <c r="BL256" s="399">
        <v>99</v>
      </c>
      <c r="BM256" s="399"/>
      <c r="BN256" s="399"/>
      <c r="BO256" s="399"/>
      <c r="BP256" s="399"/>
      <c r="BQ256" s="399"/>
      <c r="BR256" s="399"/>
      <c r="BS256" s="399"/>
      <c r="BT256" s="399">
        <v>876.84300000000087</v>
      </c>
      <c r="BU256" s="399"/>
      <c r="BV256" s="399">
        <v>3429.1405207194966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7892.9937000000009</v>
      </c>
      <c r="CJ256" s="399">
        <v>-5321.1072000000004</v>
      </c>
      <c r="CK256" s="399"/>
      <c r="CL256" s="399"/>
      <c r="CM256" s="399"/>
      <c r="CN256" s="399"/>
      <c r="CO256" s="399">
        <v>-5912.3600999999999</v>
      </c>
      <c r="CP256" s="399">
        <v>0</v>
      </c>
      <c r="CQ256" s="399">
        <v>31</v>
      </c>
      <c r="CR256" s="399">
        <v>-189.45164946494151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-187.52710974304728</v>
      </c>
      <c r="DA256" s="399">
        <v>0</v>
      </c>
      <c r="DB256" s="399">
        <v>0</v>
      </c>
      <c r="DC256" s="399">
        <v>0</v>
      </c>
      <c r="DD256" s="399">
        <v>0</v>
      </c>
      <c r="DE256" s="399">
        <v>0</v>
      </c>
      <c r="DF256" s="399">
        <v>0</v>
      </c>
      <c r="DG256" s="399">
        <v>0</v>
      </c>
      <c r="DH256" s="399">
        <v>0</v>
      </c>
      <c r="DI256" s="399">
        <v>0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0</v>
      </c>
      <c r="DP256" s="399">
        <v>-1.9245397218947744</v>
      </c>
      <c r="DQ256" s="399">
        <v>0</v>
      </c>
      <c r="DR256" s="399">
        <v>0</v>
      </c>
      <c r="DS256" s="399"/>
      <c r="DT256" s="399"/>
      <c r="DU256" s="399"/>
      <c r="DV256" s="399">
        <v>9179.026702412637</v>
      </c>
      <c r="DW256" s="399">
        <v>0</v>
      </c>
      <c r="DX256" s="399">
        <v>0</v>
      </c>
      <c r="DY256" s="399">
        <v>-5912.3601000000008</v>
      </c>
      <c r="DZ256" s="399">
        <v>0</v>
      </c>
      <c r="EA256" s="399">
        <v>0</v>
      </c>
      <c r="EB256" s="399">
        <v>0</v>
      </c>
      <c r="EC256" s="399">
        <v>-5722.9112669554379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221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256</v>
      </c>
      <c r="B257" s="399" t="s">
        <v>2330</v>
      </c>
      <c r="C257" s="399" t="s">
        <v>2328</v>
      </c>
      <c r="D257" s="399" t="s">
        <v>1821</v>
      </c>
      <c r="E257" s="399" t="s">
        <v>889</v>
      </c>
      <c r="F257" s="399" t="s">
        <v>2333</v>
      </c>
      <c r="G257" s="399" t="s">
        <v>1239</v>
      </c>
      <c r="H257" s="399" t="s">
        <v>1239</v>
      </c>
      <c r="I257" s="399" t="s">
        <v>1239</v>
      </c>
      <c r="J257" s="399" t="s">
        <v>2326</v>
      </c>
      <c r="K257" s="786">
        <v>44621</v>
      </c>
      <c r="L257" s="399">
        <v>0</v>
      </c>
      <c r="M257" s="399">
        <v>0</v>
      </c>
      <c r="N257" s="399">
        <v>0</v>
      </c>
      <c r="O257" s="399">
        <v>0</v>
      </c>
      <c r="P257" s="399">
        <v>0</v>
      </c>
      <c r="Q257" s="399">
        <v>0</v>
      </c>
      <c r="R257" s="399"/>
      <c r="S257" s="399"/>
      <c r="T257" s="399"/>
      <c r="U257" s="399"/>
      <c r="V257" s="399"/>
      <c r="W257" s="399"/>
      <c r="X257" s="399"/>
      <c r="Y257" s="399"/>
      <c r="Z257" s="399"/>
      <c r="AA257" s="399">
        <v>0</v>
      </c>
      <c r="AB257" s="399"/>
      <c r="AC257" s="399"/>
      <c r="AD257" s="399"/>
      <c r="AE257" s="399"/>
      <c r="AF257" s="399"/>
      <c r="AG257" s="399"/>
      <c r="AH257" s="399"/>
      <c r="AI257" s="399"/>
      <c r="AJ257" s="399"/>
      <c r="AK257" s="399"/>
      <c r="AL257" s="399"/>
      <c r="AM257" s="399"/>
      <c r="AN257" s="399"/>
      <c r="AO257" s="399"/>
      <c r="AP257" s="399"/>
      <c r="AQ257" s="399"/>
      <c r="AR257" s="399"/>
      <c r="AS257" s="399"/>
      <c r="AT257" s="399"/>
      <c r="AU257" s="399"/>
      <c r="AV257" s="399"/>
      <c r="AW257" s="399"/>
      <c r="AX257" s="399"/>
      <c r="AY257" s="399"/>
      <c r="AZ257" s="399">
        <v>0</v>
      </c>
      <c r="BA257" s="399"/>
      <c r="BB257" s="399"/>
      <c r="BC257" s="399"/>
      <c r="BD257" s="399"/>
      <c r="BE257" s="399"/>
      <c r="BF257" s="399"/>
      <c r="BG257" s="399"/>
      <c r="BH257" s="399"/>
      <c r="BI257" s="399">
        <v>0</v>
      </c>
      <c r="BJ257" s="399">
        <v>0</v>
      </c>
      <c r="BK257" s="399">
        <v>15.22</v>
      </c>
      <c r="BL257" s="399">
        <v>0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/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/>
      <c r="CJ257" s="399">
        <v>-0.03</v>
      </c>
      <c r="CK257" s="399"/>
      <c r="CL257" s="399"/>
      <c r="CM257" s="399"/>
      <c r="CN257" s="399"/>
      <c r="CO257" s="399">
        <v>0</v>
      </c>
      <c r="CP257" s="399">
        <v>0</v>
      </c>
      <c r="CQ257" s="399">
        <v>31</v>
      </c>
      <c r="CR257" s="399"/>
      <c r="CS257" s="399"/>
      <c r="CT257" s="399"/>
      <c r="CU257" s="399"/>
      <c r="CV257" s="399"/>
      <c r="CW257" s="399"/>
      <c r="CX257" s="399"/>
      <c r="CY257" s="399"/>
      <c r="CZ257" s="399"/>
      <c r="DA257" s="399"/>
      <c r="DB257" s="399"/>
      <c r="DC257" s="399"/>
      <c r="DD257" s="399"/>
      <c r="DE257" s="399"/>
      <c r="DF257" s="399"/>
      <c r="DG257" s="399"/>
      <c r="DH257" s="399"/>
      <c r="DI257" s="399"/>
      <c r="DJ257" s="399"/>
      <c r="DK257" s="399">
        <v>0</v>
      </c>
      <c r="DL257" s="399"/>
      <c r="DM257" s="399"/>
      <c r="DN257" s="399"/>
      <c r="DO257" s="399"/>
      <c r="DP257" s="399"/>
      <c r="DQ257" s="399"/>
      <c r="DR257" s="399"/>
      <c r="DS257" s="399"/>
      <c r="DT257" s="399"/>
      <c r="DU257" s="399"/>
      <c r="DV257" s="399"/>
      <c r="DW257" s="399"/>
      <c r="DX257" s="399"/>
      <c r="DY257" s="399"/>
      <c r="DZ257" s="399"/>
      <c r="EA257" s="399"/>
      <c r="EB257" s="399"/>
      <c r="EC257" s="399"/>
      <c r="ED257" s="399"/>
      <c r="EE257" s="399"/>
      <c r="EF257" s="399"/>
      <c r="EG257" s="399"/>
      <c r="EH257" s="399"/>
      <c r="EI257" s="399"/>
      <c r="EJ257" s="399"/>
      <c r="EK257" s="399"/>
      <c r="EL257" s="399"/>
      <c r="EM257" s="399"/>
      <c r="EN257" s="399"/>
      <c r="EO257" s="399"/>
      <c r="EP257" s="399"/>
      <c r="EQ257" s="399"/>
      <c r="ER257" s="399"/>
      <c r="ES257" s="399"/>
      <c r="ET257" s="399"/>
      <c r="EU257" s="399"/>
      <c r="EV257" s="399">
        <v>221</v>
      </c>
      <c r="EW257" s="399"/>
      <c r="EX257" s="399"/>
      <c r="EY257" s="399"/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257</v>
      </c>
      <c r="B258" s="399" t="s">
        <v>956</v>
      </c>
      <c r="C258" s="399" t="s">
        <v>2328</v>
      </c>
      <c r="D258" s="399" t="s">
        <v>1821</v>
      </c>
      <c r="E258" s="399" t="s">
        <v>889</v>
      </c>
      <c r="F258" s="399" t="s">
        <v>2334</v>
      </c>
      <c r="G258" s="399" t="s">
        <v>1239</v>
      </c>
      <c r="H258" s="399" t="s">
        <v>1239</v>
      </c>
      <c r="I258" s="399" t="s">
        <v>1239</v>
      </c>
      <c r="J258" s="399" t="s">
        <v>2326</v>
      </c>
      <c r="K258" s="786">
        <v>44621</v>
      </c>
      <c r="L258" s="399">
        <v>0</v>
      </c>
      <c r="M258" s="399">
        <v>0</v>
      </c>
      <c r="N258" s="399">
        <v>8.2520000000000007</v>
      </c>
      <c r="O258" s="399">
        <v>8.2520000000000007</v>
      </c>
      <c r="P258" s="399">
        <v>8.2520000000000007</v>
      </c>
      <c r="Q258" s="399">
        <v>8.2520000000000007</v>
      </c>
      <c r="R258" s="399"/>
      <c r="S258" s="399">
        <v>753.62</v>
      </c>
      <c r="T258" s="399">
        <v>185.74</v>
      </c>
      <c r="U258" s="399"/>
      <c r="V258" s="399">
        <v>7751.5987200000009</v>
      </c>
      <c r="W258" s="399">
        <v>7751.5987200000009</v>
      </c>
      <c r="X258" s="399">
        <v>4630.1146800000006</v>
      </c>
      <c r="Y258" s="399">
        <v>0</v>
      </c>
      <c r="Z258" s="399">
        <v>0</v>
      </c>
      <c r="AA258" s="399">
        <v>0</v>
      </c>
      <c r="AB258" s="399">
        <v>0</v>
      </c>
      <c r="AC258" s="399">
        <v>0</v>
      </c>
      <c r="AD258" s="399">
        <v>1075.4972399846056</v>
      </c>
      <c r="AE258" s="399">
        <v>4846.1502462129929</v>
      </c>
      <c r="AF258" s="399">
        <v>1532.7618640682299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0</v>
      </c>
      <c r="AM258" s="399"/>
      <c r="AN258" s="399">
        <v>19.564397357900688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277.68391820798797</v>
      </c>
      <c r="BH258" s="399">
        <v>0</v>
      </c>
      <c r="BI258" s="399">
        <v>1.99</v>
      </c>
      <c r="BJ258" s="399">
        <v>8.5299999999999994</v>
      </c>
      <c r="BK258" s="399">
        <v>1546.46</v>
      </c>
      <c r="BL258" s="399">
        <v>83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1810.4457822762179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4628.9925000000003</v>
      </c>
      <c r="CJ258" s="399">
        <v>-3122.6362200000012</v>
      </c>
      <c r="CK258" s="399"/>
      <c r="CL258" s="399"/>
      <c r="CM258" s="399"/>
      <c r="CN258" s="399"/>
      <c r="CO258" s="399">
        <v>-3121.4840400000003</v>
      </c>
      <c r="CP258" s="399">
        <v>0</v>
      </c>
      <c r="CQ258" s="399">
        <v>31</v>
      </c>
      <c r="CR258" s="399">
        <v>-100.02271346031375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-99.006635291083057</v>
      </c>
      <c r="DA258" s="399">
        <v>0</v>
      </c>
      <c r="DB258" s="399">
        <v>0</v>
      </c>
      <c r="DC258" s="399">
        <v>0</v>
      </c>
      <c r="DD258" s="399">
        <v>0</v>
      </c>
      <c r="DE258" s="399">
        <v>0</v>
      </c>
      <c r="DF258" s="399">
        <v>0</v>
      </c>
      <c r="DG258" s="399">
        <v>0</v>
      </c>
      <c r="DH258" s="399">
        <v>0</v>
      </c>
      <c r="DI258" s="399">
        <v>0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0</v>
      </c>
      <c r="DP258" s="399">
        <v>-1.0160781692306919</v>
      </c>
      <c r="DQ258" s="399">
        <v>0</v>
      </c>
      <c r="DR258" s="399">
        <v>0</v>
      </c>
      <c r="DS258" s="399"/>
      <c r="DT258" s="399"/>
      <c r="DU258" s="399"/>
      <c r="DV258" s="399">
        <v>4846.1502462129929</v>
      </c>
      <c r="DW258" s="399">
        <v>0</v>
      </c>
      <c r="DX258" s="399">
        <v>0</v>
      </c>
      <c r="DY258" s="399">
        <v>-3121.4840400000003</v>
      </c>
      <c r="DZ258" s="399">
        <v>0</v>
      </c>
      <c r="EA258" s="399">
        <v>0</v>
      </c>
      <c r="EB258" s="399">
        <v>0</v>
      </c>
      <c r="EC258" s="399">
        <v>-3021.4628134943232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221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258</v>
      </c>
      <c r="B259" s="399" t="s">
        <v>2330</v>
      </c>
      <c r="C259" s="399" t="s">
        <v>2328</v>
      </c>
      <c r="D259" s="399" t="s">
        <v>1821</v>
      </c>
      <c r="E259" s="399" t="s">
        <v>889</v>
      </c>
      <c r="F259" s="399" t="s">
        <v>2334</v>
      </c>
      <c r="G259" s="399" t="s">
        <v>1239</v>
      </c>
      <c r="H259" s="399" t="s">
        <v>1239</v>
      </c>
      <c r="I259" s="399" t="s">
        <v>1239</v>
      </c>
      <c r="J259" s="399" t="s">
        <v>2326</v>
      </c>
      <c r="K259" s="786">
        <v>44621</v>
      </c>
      <c r="L259" s="399">
        <v>0</v>
      </c>
      <c r="M259" s="399">
        <v>0</v>
      </c>
      <c r="N259" s="399">
        <v>0</v>
      </c>
      <c r="O259" s="399">
        <v>0</v>
      </c>
      <c r="P259" s="399">
        <v>0</v>
      </c>
      <c r="Q259" s="399">
        <v>0</v>
      </c>
      <c r="R259" s="399"/>
      <c r="S259" s="399"/>
      <c r="T259" s="399"/>
      <c r="U259" s="399"/>
      <c r="V259" s="399"/>
      <c r="W259" s="399"/>
      <c r="X259" s="399"/>
      <c r="Y259" s="399"/>
      <c r="Z259" s="399"/>
      <c r="AA259" s="399">
        <v>0</v>
      </c>
      <c r="AB259" s="399"/>
      <c r="AC259" s="399"/>
      <c r="AD259" s="399"/>
      <c r="AE259" s="399"/>
      <c r="AF259" s="399"/>
      <c r="AG259" s="399"/>
      <c r="AH259" s="399"/>
      <c r="AI259" s="399"/>
      <c r="AJ259" s="399"/>
      <c r="AK259" s="399"/>
      <c r="AL259" s="399"/>
      <c r="AM259" s="399"/>
      <c r="AN259" s="399"/>
      <c r="AO259" s="399"/>
      <c r="AP259" s="399"/>
      <c r="AQ259" s="399"/>
      <c r="AR259" s="399"/>
      <c r="AS259" s="399"/>
      <c r="AT259" s="399"/>
      <c r="AU259" s="399"/>
      <c r="AV259" s="399"/>
      <c r="AW259" s="399"/>
      <c r="AX259" s="399"/>
      <c r="AY259" s="399"/>
      <c r="AZ259" s="399">
        <v>0</v>
      </c>
      <c r="BA259" s="399"/>
      <c r="BB259" s="399"/>
      <c r="BC259" s="399"/>
      <c r="BD259" s="399"/>
      <c r="BE259" s="399"/>
      <c r="BF259" s="399"/>
      <c r="BG259" s="399"/>
      <c r="BH259" s="399"/>
      <c r="BI259" s="399">
        <v>0</v>
      </c>
      <c r="BJ259" s="399">
        <v>0</v>
      </c>
      <c r="BK259" s="399">
        <v>13.08</v>
      </c>
      <c r="BL259" s="399">
        <v>1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/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/>
      <c r="CJ259" s="399">
        <v>-0.03</v>
      </c>
      <c r="CK259" s="399"/>
      <c r="CL259" s="399"/>
      <c r="CM259" s="399"/>
      <c r="CN259" s="399"/>
      <c r="CO259" s="399">
        <v>0</v>
      </c>
      <c r="CP259" s="399">
        <v>0</v>
      </c>
      <c r="CQ259" s="399">
        <v>31</v>
      </c>
      <c r="CR259" s="399"/>
      <c r="CS259" s="399"/>
      <c r="CT259" s="399"/>
      <c r="CU259" s="399"/>
      <c r="CV259" s="399"/>
      <c r="CW259" s="399"/>
      <c r="CX259" s="399"/>
      <c r="CY259" s="399"/>
      <c r="CZ259" s="399"/>
      <c r="DA259" s="399"/>
      <c r="DB259" s="399"/>
      <c r="DC259" s="399"/>
      <c r="DD259" s="399"/>
      <c r="DE259" s="399"/>
      <c r="DF259" s="399"/>
      <c r="DG259" s="399"/>
      <c r="DH259" s="399"/>
      <c r="DI259" s="399"/>
      <c r="DJ259" s="399"/>
      <c r="DK259" s="399">
        <v>0</v>
      </c>
      <c r="DL259" s="399"/>
      <c r="DM259" s="399"/>
      <c r="DN259" s="399"/>
      <c r="DO259" s="399"/>
      <c r="DP259" s="399"/>
      <c r="DQ259" s="399"/>
      <c r="DR259" s="399"/>
      <c r="DS259" s="399"/>
      <c r="DT259" s="399"/>
      <c r="DU259" s="399"/>
      <c r="DV259" s="399"/>
      <c r="DW259" s="399"/>
      <c r="DX259" s="399"/>
      <c r="DY259" s="399"/>
      <c r="DZ259" s="399"/>
      <c r="EA259" s="399"/>
      <c r="EB259" s="399"/>
      <c r="EC259" s="399"/>
      <c r="ED259" s="399"/>
      <c r="EE259" s="399"/>
      <c r="EF259" s="399"/>
      <c r="EG259" s="399"/>
      <c r="EH259" s="399"/>
      <c r="EI259" s="399"/>
      <c r="EJ259" s="399"/>
      <c r="EK259" s="399"/>
      <c r="EL259" s="399"/>
      <c r="EM259" s="399"/>
      <c r="EN259" s="399"/>
      <c r="EO259" s="399"/>
      <c r="EP259" s="399"/>
      <c r="EQ259" s="399"/>
      <c r="ER259" s="399"/>
      <c r="ES259" s="399"/>
      <c r="ET259" s="399"/>
      <c r="EU259" s="399"/>
      <c r="EV259" s="399">
        <v>221</v>
      </c>
      <c r="EW259" s="399"/>
      <c r="EX259" s="399"/>
      <c r="EY259" s="399"/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259</v>
      </c>
      <c r="B260" s="399" t="s">
        <v>956</v>
      </c>
      <c r="C260" s="399" t="s">
        <v>2335</v>
      </c>
      <c r="D260" s="399" t="s">
        <v>1821</v>
      </c>
      <c r="E260" s="399" t="s">
        <v>889</v>
      </c>
      <c r="F260" s="399" t="s">
        <v>889</v>
      </c>
      <c r="G260" s="399" t="s">
        <v>1239</v>
      </c>
      <c r="H260" s="399" t="s">
        <v>1239</v>
      </c>
      <c r="I260" s="399" t="s">
        <v>893</v>
      </c>
      <c r="J260" s="399" t="s">
        <v>2326</v>
      </c>
      <c r="K260" s="786">
        <v>44621</v>
      </c>
      <c r="L260" s="399">
        <v>0</v>
      </c>
      <c r="M260" s="399">
        <v>0</v>
      </c>
      <c r="N260" s="399">
        <v>1.7999999999999999E-2</v>
      </c>
      <c r="O260" s="399">
        <v>1.7999999999999999E-2</v>
      </c>
      <c r="P260" s="399">
        <v>1.7999999999999999E-2</v>
      </c>
      <c r="Q260" s="399">
        <v>1.7999999999999999E-2</v>
      </c>
      <c r="R260" s="399"/>
      <c r="S260" s="399">
        <v>2045.69</v>
      </c>
      <c r="T260" s="399">
        <v>185.74</v>
      </c>
      <c r="U260" s="399"/>
      <c r="V260" s="399">
        <v>40.16574</v>
      </c>
      <c r="W260" s="399">
        <v>40.16574</v>
      </c>
      <c r="X260" s="399">
        <v>21.706559999999996</v>
      </c>
      <c r="Y260" s="399">
        <v>0</v>
      </c>
      <c r="Z260" s="399">
        <v>1.1222129895859834</v>
      </c>
      <c r="AA260" s="399">
        <v>0</v>
      </c>
      <c r="AB260" s="399">
        <v>0</v>
      </c>
      <c r="AC260" s="399">
        <v>0</v>
      </c>
      <c r="AD260" s="399">
        <v>6.3370185317694538</v>
      </c>
      <c r="AE260" s="399">
        <v>28.541302531283698</v>
      </c>
      <c r="AF260" s="399">
        <v>3.3433971828924061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0.17343349589631313</v>
      </c>
      <c r="AM260" s="399"/>
      <c r="AN260" s="399">
        <v>4.2675612268809053E-2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0.60570898300336673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3.9491061658957727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24.118400000000001</v>
      </c>
      <c r="CJ260" s="399">
        <v>-16.077339999999992</v>
      </c>
      <c r="CK260" s="399"/>
      <c r="CL260" s="399"/>
      <c r="CM260" s="399"/>
      <c r="CN260" s="399"/>
      <c r="CO260" s="399">
        <v>-18.459180000000003</v>
      </c>
      <c r="CP260" s="399">
        <v>0</v>
      </c>
      <c r="CQ260" s="399">
        <v>31</v>
      </c>
      <c r="CR260" s="399">
        <v>-0.66428641835829616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-0.58336447485139242</v>
      </c>
      <c r="DA260" s="399">
        <v>0</v>
      </c>
      <c r="DB260" s="399">
        <v>0</v>
      </c>
      <c r="DC260" s="399">
        <v>0</v>
      </c>
      <c r="DD260" s="399">
        <v>0</v>
      </c>
      <c r="DE260" s="399">
        <v>0</v>
      </c>
      <c r="DF260" s="399">
        <v>0</v>
      </c>
      <c r="DG260" s="399">
        <v>0</v>
      </c>
      <c r="DH260" s="399">
        <v>0</v>
      </c>
      <c r="DI260" s="399">
        <v>-6.9407397868856302E-2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-9.2981851137919902E-3</v>
      </c>
      <c r="DP260" s="399">
        <v>-2.216360524255015E-3</v>
      </c>
      <c r="DQ260" s="399">
        <v>0</v>
      </c>
      <c r="DR260" s="399">
        <v>0</v>
      </c>
      <c r="DS260" s="399"/>
      <c r="DT260" s="399"/>
      <c r="DU260" s="399"/>
      <c r="DV260" s="399">
        <v>28.541302531283698</v>
      </c>
      <c r="DW260" s="399">
        <v>0</v>
      </c>
      <c r="DX260" s="399">
        <v>0</v>
      </c>
      <c r="DY260" s="399">
        <v>-18.459180000000003</v>
      </c>
      <c r="DZ260" s="399">
        <v>0</v>
      </c>
      <c r="EA260" s="399">
        <v>0</v>
      </c>
      <c r="EB260" s="399">
        <v>0</v>
      </c>
      <c r="EC260" s="399">
        <v>-17.794843301516323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221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260</v>
      </c>
      <c r="B261" s="399" t="s">
        <v>956</v>
      </c>
      <c r="C261" s="399" t="s">
        <v>2335</v>
      </c>
      <c r="D261" s="399" t="s">
        <v>1821</v>
      </c>
      <c r="E261" s="399" t="s">
        <v>889</v>
      </c>
      <c r="F261" s="399" t="s">
        <v>889</v>
      </c>
      <c r="G261" s="399" t="s">
        <v>1239</v>
      </c>
      <c r="H261" s="399" t="s">
        <v>1239</v>
      </c>
      <c r="I261" s="399" t="s">
        <v>2323</v>
      </c>
      <c r="J261" s="399" t="s">
        <v>2326</v>
      </c>
      <c r="K261" s="786">
        <v>44621</v>
      </c>
      <c r="L261" s="399">
        <v>0</v>
      </c>
      <c r="M261" s="399">
        <v>0</v>
      </c>
      <c r="N261" s="399">
        <v>0.64500000000000002</v>
      </c>
      <c r="O261" s="399">
        <v>0.64500000000000002</v>
      </c>
      <c r="P261" s="399">
        <v>0.64500000000000002</v>
      </c>
      <c r="Q261" s="399">
        <v>0.64500000000000002</v>
      </c>
      <c r="R261" s="399"/>
      <c r="S261" s="399">
        <v>495.6</v>
      </c>
      <c r="T261" s="399">
        <v>185.74</v>
      </c>
      <c r="U261" s="399"/>
      <c r="V261" s="399">
        <v>439.46430000000004</v>
      </c>
      <c r="W261" s="399">
        <v>439.46430000000004</v>
      </c>
      <c r="X261" s="399">
        <v>304.8528</v>
      </c>
      <c r="Y261" s="399">
        <v>0</v>
      </c>
      <c r="Z261" s="399">
        <v>40.212632126831082</v>
      </c>
      <c r="AA261" s="399">
        <v>0</v>
      </c>
      <c r="AB261" s="399">
        <v>0</v>
      </c>
      <c r="AC261" s="399">
        <v>0</v>
      </c>
      <c r="AD261" s="399">
        <v>45.456834440699168</v>
      </c>
      <c r="AE261" s="399">
        <v>204.54584193987921</v>
      </c>
      <c r="AF261" s="399">
        <v>119.80506572031122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6.2147002696178877</v>
      </c>
      <c r="AM261" s="399"/>
      <c r="AN261" s="399">
        <v>1.5292094396323246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21.704571890953979</v>
      </c>
      <c r="BH261" s="399">
        <v>0</v>
      </c>
      <c r="BI261" s="399">
        <v>0</v>
      </c>
      <c r="BJ261" s="399">
        <v>0</v>
      </c>
      <c r="BK261" s="399">
        <v>0</v>
      </c>
      <c r="BL261" s="399">
        <v>0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141.50963761126519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307.21600000000001</v>
      </c>
      <c r="CJ261" s="399">
        <v>-132.2783</v>
      </c>
      <c r="CK261" s="399"/>
      <c r="CL261" s="399"/>
      <c r="CM261" s="399"/>
      <c r="CN261" s="399"/>
      <c r="CO261" s="399">
        <v>-134.61150000000004</v>
      </c>
      <c r="CP261" s="399">
        <v>0</v>
      </c>
      <c r="CQ261" s="399">
        <v>31</v>
      </c>
      <c r="CR261" s="399">
        <v>-7.0843052801961619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-4.1846023045321132</v>
      </c>
      <c r="DA261" s="399">
        <v>0</v>
      </c>
      <c r="DB261" s="399">
        <v>0</v>
      </c>
      <c r="DC261" s="399">
        <v>0</v>
      </c>
      <c r="DD261" s="399">
        <v>0</v>
      </c>
      <c r="DE261" s="399">
        <v>0</v>
      </c>
      <c r="DF261" s="399">
        <v>0</v>
      </c>
      <c r="DG261" s="399">
        <v>0</v>
      </c>
      <c r="DH261" s="399">
        <v>0</v>
      </c>
      <c r="DI261" s="399">
        <v>-2.4870984236340234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-0.33318496657754615</v>
      </c>
      <c r="DP261" s="399">
        <v>-7.9419585452471519E-2</v>
      </c>
      <c r="DQ261" s="399">
        <v>0</v>
      </c>
      <c r="DR261" s="399">
        <v>0</v>
      </c>
      <c r="DS261" s="399"/>
      <c r="DT261" s="399"/>
      <c r="DU261" s="399"/>
      <c r="DV261" s="399">
        <v>204.54584193987921</v>
      </c>
      <c r="DW261" s="399">
        <v>0</v>
      </c>
      <c r="DX261" s="399">
        <v>0</v>
      </c>
      <c r="DY261" s="399">
        <v>-134.61150000000004</v>
      </c>
      <c r="DZ261" s="399">
        <v>0</v>
      </c>
      <c r="EA261" s="399">
        <v>0</v>
      </c>
      <c r="EB261" s="399">
        <v>0</v>
      </c>
      <c r="EC261" s="399">
        <v>-127.52961086156755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221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261</v>
      </c>
      <c r="B262" s="399" t="s">
        <v>956</v>
      </c>
      <c r="C262" s="399" t="s">
        <v>2335</v>
      </c>
      <c r="D262" s="399" t="s">
        <v>1821</v>
      </c>
      <c r="E262" s="399" t="s">
        <v>889</v>
      </c>
      <c r="F262" s="399" t="s">
        <v>889</v>
      </c>
      <c r="G262" s="399" t="s">
        <v>1239</v>
      </c>
      <c r="H262" s="399" t="s">
        <v>1239</v>
      </c>
      <c r="I262" s="399" t="s">
        <v>1239</v>
      </c>
      <c r="J262" s="399" t="s">
        <v>2326</v>
      </c>
      <c r="K262" s="786">
        <v>44621</v>
      </c>
      <c r="L262" s="399">
        <v>0</v>
      </c>
      <c r="M262" s="399">
        <v>0</v>
      </c>
      <c r="N262" s="399">
        <v>0</v>
      </c>
      <c r="O262" s="399">
        <v>0</v>
      </c>
      <c r="P262" s="399">
        <v>0</v>
      </c>
      <c r="Q262" s="399">
        <v>0</v>
      </c>
      <c r="R262" s="399"/>
      <c r="S262" s="399"/>
      <c r="T262" s="399"/>
      <c r="U262" s="399"/>
      <c r="V262" s="399"/>
      <c r="W262" s="399"/>
      <c r="X262" s="399"/>
      <c r="Y262" s="399"/>
      <c r="Z262" s="399"/>
      <c r="AA262" s="399">
        <v>0</v>
      </c>
      <c r="AB262" s="399"/>
      <c r="AC262" s="399"/>
      <c r="AD262" s="399"/>
      <c r="AE262" s="399"/>
      <c r="AF262" s="399"/>
      <c r="AG262" s="399"/>
      <c r="AH262" s="399"/>
      <c r="AI262" s="399"/>
      <c r="AJ262" s="399"/>
      <c r="AK262" s="399"/>
      <c r="AL262" s="399"/>
      <c r="AM262" s="399"/>
      <c r="AN262" s="399"/>
      <c r="AO262" s="399"/>
      <c r="AP262" s="399"/>
      <c r="AQ262" s="399"/>
      <c r="AR262" s="399"/>
      <c r="AS262" s="399"/>
      <c r="AT262" s="399"/>
      <c r="AU262" s="399"/>
      <c r="AV262" s="399"/>
      <c r="AW262" s="399"/>
      <c r="AX262" s="399"/>
      <c r="AY262" s="399"/>
      <c r="AZ262" s="399">
        <v>0</v>
      </c>
      <c r="BA262" s="399"/>
      <c r="BB262" s="399"/>
      <c r="BC262" s="399"/>
      <c r="BD262" s="399"/>
      <c r="BE262" s="399"/>
      <c r="BF262" s="399"/>
      <c r="BG262" s="399"/>
      <c r="BH262" s="399"/>
      <c r="BI262" s="399">
        <v>0.16</v>
      </c>
      <c r="BJ262" s="399">
        <v>0.75</v>
      </c>
      <c r="BK262" s="399">
        <v>103.81</v>
      </c>
      <c r="BL262" s="399">
        <v>2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/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/>
      <c r="CJ262" s="399">
        <v>-0.03</v>
      </c>
      <c r="CK262" s="399"/>
      <c r="CL262" s="399"/>
      <c r="CM262" s="399"/>
      <c r="CN262" s="399"/>
      <c r="CO262" s="399">
        <v>0</v>
      </c>
      <c r="CP262" s="399">
        <v>0</v>
      </c>
      <c r="CQ262" s="399">
        <v>31</v>
      </c>
      <c r="CR262" s="399"/>
      <c r="CS262" s="399"/>
      <c r="CT262" s="399"/>
      <c r="CU262" s="399"/>
      <c r="CV262" s="399"/>
      <c r="CW262" s="399"/>
      <c r="CX262" s="399"/>
      <c r="CY262" s="399"/>
      <c r="CZ262" s="399"/>
      <c r="DA262" s="399"/>
      <c r="DB262" s="399"/>
      <c r="DC262" s="399"/>
      <c r="DD262" s="399"/>
      <c r="DE262" s="399"/>
      <c r="DF262" s="399"/>
      <c r="DG262" s="399"/>
      <c r="DH262" s="399"/>
      <c r="DI262" s="399"/>
      <c r="DJ262" s="399"/>
      <c r="DK262" s="399">
        <v>0</v>
      </c>
      <c r="DL262" s="399"/>
      <c r="DM262" s="399"/>
      <c r="DN262" s="399"/>
      <c r="DO262" s="399"/>
      <c r="DP262" s="399"/>
      <c r="DQ262" s="399"/>
      <c r="DR262" s="399"/>
      <c r="DS262" s="399"/>
      <c r="DT262" s="399"/>
      <c r="DU262" s="399"/>
      <c r="DV262" s="399"/>
      <c r="DW262" s="399"/>
      <c r="DX262" s="399"/>
      <c r="DY262" s="399"/>
      <c r="DZ262" s="399"/>
      <c r="EA262" s="399"/>
      <c r="EB262" s="399"/>
      <c r="EC262" s="399"/>
      <c r="ED262" s="399"/>
      <c r="EE262" s="399"/>
      <c r="EF262" s="399"/>
      <c r="EG262" s="399"/>
      <c r="EH262" s="399"/>
      <c r="EI262" s="399"/>
      <c r="EJ262" s="399"/>
      <c r="EK262" s="399"/>
      <c r="EL262" s="399"/>
      <c r="EM262" s="399"/>
      <c r="EN262" s="399"/>
      <c r="EO262" s="399"/>
      <c r="EP262" s="399"/>
      <c r="EQ262" s="399"/>
      <c r="ER262" s="399"/>
      <c r="ES262" s="399"/>
      <c r="ET262" s="399"/>
      <c r="EU262" s="399"/>
      <c r="EV262" s="399">
        <v>221</v>
      </c>
      <c r="EW262" s="399"/>
      <c r="EX262" s="399"/>
      <c r="EY262" s="399"/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262</v>
      </c>
      <c r="B263" s="399" t="s">
        <v>956</v>
      </c>
      <c r="C263" s="399" t="s">
        <v>2328</v>
      </c>
      <c r="D263" s="399" t="s">
        <v>1824</v>
      </c>
      <c r="E263" s="399" t="s">
        <v>890</v>
      </c>
      <c r="F263" s="399" t="s">
        <v>1239</v>
      </c>
      <c r="G263" s="399" t="s">
        <v>1239</v>
      </c>
      <c r="H263" s="399" t="s">
        <v>1239</v>
      </c>
      <c r="I263" s="399" t="s">
        <v>1239</v>
      </c>
      <c r="J263" s="399" t="s">
        <v>2326</v>
      </c>
      <c r="K263" s="786">
        <v>44621</v>
      </c>
      <c r="L263" s="399">
        <v>0</v>
      </c>
      <c r="M263" s="399">
        <v>0</v>
      </c>
      <c r="N263" s="399">
        <v>38.768999999999998</v>
      </c>
      <c r="O263" s="399">
        <v>38.768999999999998</v>
      </c>
      <c r="P263" s="399">
        <v>38.768999999999998</v>
      </c>
      <c r="Q263" s="399">
        <v>38.768999999999998</v>
      </c>
      <c r="R263" s="399"/>
      <c r="S263" s="399">
        <v>825.6</v>
      </c>
      <c r="T263" s="399">
        <v>185.74</v>
      </c>
      <c r="U263" s="399"/>
      <c r="V263" s="399">
        <v>39208.640459999995</v>
      </c>
      <c r="W263" s="399">
        <v>39208.640459999995</v>
      </c>
      <c r="X263" s="399">
        <v>24374.070299999999</v>
      </c>
      <c r="Y263" s="399">
        <v>0</v>
      </c>
      <c r="Z263" s="399">
        <v>2417.0597440699439</v>
      </c>
      <c r="AA263" s="399">
        <v>0</v>
      </c>
      <c r="AB263" s="399">
        <v>0</v>
      </c>
      <c r="AC263" s="399">
        <v>0</v>
      </c>
      <c r="AD263" s="399">
        <v>5052.8299196513772</v>
      </c>
      <c r="AE263" s="399">
        <v>22767.862202548655</v>
      </c>
      <c r="AF263" s="399">
        <v>7201.1202990864276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373.54684457800909</v>
      </c>
      <c r="AM263" s="399"/>
      <c r="AN263" s="399">
        <v>91.91615622496991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1304.5961978920848</v>
      </c>
      <c r="BH263" s="399">
        <v>0</v>
      </c>
      <c r="BI263" s="399">
        <v>11.75</v>
      </c>
      <c r="BJ263" s="399">
        <v>53.88</v>
      </c>
      <c r="BK263" s="399">
        <v>9981.31</v>
      </c>
      <c r="BL263" s="399">
        <v>44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8505.7164969785117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24374.699000000001</v>
      </c>
      <c r="CJ263" s="399">
        <v>-14833.971460000001</v>
      </c>
      <c r="CK263" s="399"/>
      <c r="CL263" s="399"/>
      <c r="CM263" s="399"/>
      <c r="CN263" s="399"/>
      <c r="CO263" s="399">
        <v>-14834.570160000001</v>
      </c>
      <c r="CP263" s="399">
        <v>0</v>
      </c>
      <c r="CQ263" s="399">
        <v>31</v>
      </c>
      <c r="CR263" s="399">
        <v>-639.43879759764241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-465.14641827435662</v>
      </c>
      <c r="DA263" s="399">
        <v>0</v>
      </c>
      <c r="DB263" s="399">
        <v>0</v>
      </c>
      <c r="DC263" s="399">
        <v>0</v>
      </c>
      <c r="DD263" s="399">
        <v>0</v>
      </c>
      <c r="DE263" s="399">
        <v>0</v>
      </c>
      <c r="DF263" s="399">
        <v>0</v>
      </c>
      <c r="DG263" s="399">
        <v>0</v>
      </c>
      <c r="DH263" s="399">
        <v>0</v>
      </c>
      <c r="DI263" s="399">
        <v>-149.49196710987144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-20.026741037588977</v>
      </c>
      <c r="DP263" s="399">
        <v>-4.7736711758246031</v>
      </c>
      <c r="DQ263" s="399">
        <v>0</v>
      </c>
      <c r="DR263" s="399">
        <v>0</v>
      </c>
      <c r="DS263" s="399"/>
      <c r="DT263" s="399"/>
      <c r="DU263" s="399"/>
      <c r="DV263" s="399">
        <v>22767.862202548655</v>
      </c>
      <c r="DW263" s="399">
        <v>0</v>
      </c>
      <c r="DX263" s="399">
        <v>0</v>
      </c>
      <c r="DY263" s="399">
        <v>-14834.570159999999</v>
      </c>
      <c r="DZ263" s="399">
        <v>0</v>
      </c>
      <c r="EA263" s="399">
        <v>0</v>
      </c>
      <c r="EB263" s="399">
        <v>0</v>
      </c>
      <c r="EC263" s="399">
        <v>-14195.236526461635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221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263</v>
      </c>
      <c r="B264" s="399" t="s">
        <v>2330</v>
      </c>
      <c r="C264" s="399" t="s">
        <v>2328</v>
      </c>
      <c r="D264" s="399" t="s">
        <v>1824</v>
      </c>
      <c r="E264" s="399" t="s">
        <v>890</v>
      </c>
      <c r="F264" s="399" t="s">
        <v>1239</v>
      </c>
      <c r="G264" s="399" t="s">
        <v>1239</v>
      </c>
      <c r="H264" s="399" t="s">
        <v>1239</v>
      </c>
      <c r="I264" s="399" t="s">
        <v>1239</v>
      </c>
      <c r="J264" s="399" t="s">
        <v>2326</v>
      </c>
      <c r="K264" s="786">
        <v>44621</v>
      </c>
      <c r="L264" s="399">
        <v>0</v>
      </c>
      <c r="M264" s="399">
        <v>0</v>
      </c>
      <c r="N264" s="399">
        <v>0.3</v>
      </c>
      <c r="O264" s="399">
        <v>0.3</v>
      </c>
      <c r="P264" s="399">
        <v>0.3</v>
      </c>
      <c r="Q264" s="399">
        <v>0.3</v>
      </c>
      <c r="R264" s="399"/>
      <c r="S264" s="399">
        <v>825.6</v>
      </c>
      <c r="T264" s="399">
        <v>185.74</v>
      </c>
      <c r="U264" s="399"/>
      <c r="V264" s="399">
        <v>303.40199999999999</v>
      </c>
      <c r="W264" s="399">
        <v>303.40199999999999</v>
      </c>
      <c r="X264" s="399">
        <v>188.60999999999999</v>
      </c>
      <c r="Y264" s="399">
        <v>0</v>
      </c>
      <c r="Z264" s="399">
        <v>18.703549826433058</v>
      </c>
      <c r="AA264" s="399">
        <v>0</v>
      </c>
      <c r="AB264" s="399">
        <v>0</v>
      </c>
      <c r="AC264" s="399">
        <v>0</v>
      </c>
      <c r="AD264" s="399">
        <v>39.099511875349201</v>
      </c>
      <c r="AE264" s="399">
        <v>176.18093478719069</v>
      </c>
      <c r="AF264" s="399">
        <v>55.723286381540099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2.8905582649385519</v>
      </c>
      <c r="AM264" s="399"/>
      <c r="AN264" s="399">
        <v>0.71126020448015093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10.09514971672278</v>
      </c>
      <c r="BH264" s="399">
        <v>0</v>
      </c>
      <c r="BI264" s="399">
        <v>0.06</v>
      </c>
      <c r="BJ264" s="399">
        <v>0.28999999999999998</v>
      </c>
      <c r="BK264" s="399">
        <v>1572.41</v>
      </c>
      <c r="BL264" s="399">
        <v>3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65.818436098262879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188.60999999999999</v>
      </c>
      <c r="CJ264" s="399">
        <v>-114.82199999999997</v>
      </c>
      <c r="CK264" s="399"/>
      <c r="CL264" s="399"/>
      <c r="CM264" s="399"/>
      <c r="CN264" s="399"/>
      <c r="CO264" s="399">
        <v>-114.79200000000002</v>
      </c>
      <c r="CP264" s="399">
        <v>0</v>
      </c>
      <c r="CQ264" s="399">
        <v>31</v>
      </c>
      <c r="CR264" s="399">
        <v>-4.948067767528002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-3.5993687090795987</v>
      </c>
      <c r="DA264" s="399">
        <v>0</v>
      </c>
      <c r="DB264" s="399">
        <v>0</v>
      </c>
      <c r="DC264" s="399">
        <v>0</v>
      </c>
      <c r="DD264" s="399">
        <v>0</v>
      </c>
      <c r="DE264" s="399">
        <v>0</v>
      </c>
      <c r="DF264" s="399">
        <v>0</v>
      </c>
      <c r="DG264" s="399">
        <v>0</v>
      </c>
      <c r="DH264" s="399">
        <v>0</v>
      </c>
      <c r="DI264" s="399">
        <v>-1.1567899644809394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-0.15496975189653295</v>
      </c>
      <c r="DP264" s="399">
        <v>-3.6939342070916981E-2</v>
      </c>
      <c r="DQ264" s="399">
        <v>0</v>
      </c>
      <c r="DR264" s="399">
        <v>0</v>
      </c>
      <c r="DS264" s="399"/>
      <c r="DT264" s="399"/>
      <c r="DU264" s="399"/>
      <c r="DV264" s="399">
        <v>176.18093478719069</v>
      </c>
      <c r="DW264" s="399">
        <v>0</v>
      </c>
      <c r="DX264" s="399">
        <v>0</v>
      </c>
      <c r="DY264" s="399">
        <v>-114.79200000000003</v>
      </c>
      <c r="DZ264" s="399">
        <v>0</v>
      </c>
      <c r="EA264" s="399">
        <v>0</v>
      </c>
      <c r="EB264" s="399">
        <v>0</v>
      </c>
      <c r="EC264" s="399">
        <v>-109.84474600682219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221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264</v>
      </c>
      <c r="B265" s="399" t="s">
        <v>956</v>
      </c>
      <c r="C265" s="399" t="s">
        <v>2325</v>
      </c>
      <c r="D265" s="399" t="s">
        <v>533</v>
      </c>
      <c r="E265" s="399" t="s">
        <v>890</v>
      </c>
      <c r="F265" s="399" t="s">
        <v>1239</v>
      </c>
      <c r="G265" s="399" t="s">
        <v>1239</v>
      </c>
      <c r="H265" s="399" t="s">
        <v>1239</v>
      </c>
      <c r="I265" s="399" t="s">
        <v>893</v>
      </c>
      <c r="J265" s="399" t="s">
        <v>2326</v>
      </c>
      <c r="K265" s="786">
        <v>44621</v>
      </c>
      <c r="L265" s="399">
        <v>0</v>
      </c>
      <c r="M265" s="399">
        <v>0</v>
      </c>
      <c r="N265" s="399">
        <v>1.3620000000000001</v>
      </c>
      <c r="O265" s="399">
        <v>1.3620000000000001</v>
      </c>
      <c r="P265" s="399">
        <v>1.3620000000000001</v>
      </c>
      <c r="Q265" s="399">
        <v>1.3620000000000001</v>
      </c>
      <c r="R265" s="399"/>
      <c r="S265" s="399">
        <v>4433.21</v>
      </c>
      <c r="T265" s="399">
        <v>185.74</v>
      </c>
      <c r="U265" s="399"/>
      <c r="V265" s="399">
        <v>6291.0099000000009</v>
      </c>
      <c r="W265" s="399">
        <v>6291.0099000000009</v>
      </c>
      <c r="X265" s="399">
        <v>3283.2644400000004</v>
      </c>
      <c r="Y265" s="399">
        <v>0</v>
      </c>
      <c r="Z265" s="399">
        <v>73.875281104445207</v>
      </c>
      <c r="AA265" s="399">
        <v>0</v>
      </c>
      <c r="AB265" s="399">
        <v>0</v>
      </c>
      <c r="AC265" s="399">
        <v>0</v>
      </c>
      <c r="AD265" s="399">
        <v>1309.7304918517548</v>
      </c>
      <c r="AE265" s="399">
        <v>4622.1970038681075</v>
      </c>
      <c r="AF265" s="399">
        <v>252.98372017219208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13.123134522821028</v>
      </c>
      <c r="AM265" s="399"/>
      <c r="AN265" s="399">
        <v>1.4108704988952032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17.695340712154277</v>
      </c>
      <c r="BH265" s="399">
        <v>0</v>
      </c>
      <c r="BI265" s="399">
        <v>0</v>
      </c>
      <c r="BJ265" s="399">
        <v>0</v>
      </c>
      <c r="BK265" s="399">
        <v>0</v>
      </c>
      <c r="BL265" s="399">
        <v>0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270.67906088434637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3278.4432000000006</v>
      </c>
      <c r="CJ265" s="399">
        <v>-3012.596700000001</v>
      </c>
      <c r="CK265" s="399"/>
      <c r="CL265" s="399"/>
      <c r="CM265" s="399"/>
      <c r="CN265" s="399"/>
      <c r="CO265" s="399">
        <v>-3007.7454600000001</v>
      </c>
      <c r="CP265" s="399">
        <v>0</v>
      </c>
      <c r="CQ265" s="399">
        <v>31</v>
      </c>
      <c r="CR265" s="399">
        <v>-125.9152808852034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-120.56935556453391</v>
      </c>
      <c r="DA265" s="399">
        <v>0</v>
      </c>
      <c r="DB265" s="399">
        <v>0</v>
      </c>
      <c r="DC265" s="399">
        <v>0</v>
      </c>
      <c r="DD265" s="399">
        <v>0</v>
      </c>
      <c r="DE265" s="399">
        <v>0</v>
      </c>
      <c r="DF265" s="399">
        <v>0</v>
      </c>
      <c r="DG265" s="399">
        <v>0</v>
      </c>
      <c r="DH265" s="399">
        <v>0</v>
      </c>
      <c r="DI265" s="399">
        <v>-4.5690890017067858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-0.70356267361025893</v>
      </c>
      <c r="DP265" s="399">
        <v>-7.3273645352539551E-2</v>
      </c>
      <c r="DQ265" s="399">
        <v>0</v>
      </c>
      <c r="DR265" s="399">
        <v>0</v>
      </c>
      <c r="DS265" s="399"/>
      <c r="DT265" s="399"/>
      <c r="DU265" s="399"/>
      <c r="DV265" s="399">
        <v>4622.1970038681075</v>
      </c>
      <c r="DW265" s="399">
        <v>0</v>
      </c>
      <c r="DX265" s="399">
        <v>0</v>
      </c>
      <c r="DY265" s="399">
        <v>-3007.7454600000001</v>
      </c>
      <c r="DZ265" s="399">
        <v>0</v>
      </c>
      <c r="EA265" s="399">
        <v>0</v>
      </c>
      <c r="EB265" s="399">
        <v>0</v>
      </c>
      <c r="EC265" s="399">
        <v>-2881.8331364665928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221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265</v>
      </c>
      <c r="B266" s="399" t="s">
        <v>956</v>
      </c>
      <c r="C266" s="399" t="s">
        <v>2325</v>
      </c>
      <c r="D266" s="399" t="s">
        <v>533</v>
      </c>
      <c r="E266" s="399" t="s">
        <v>890</v>
      </c>
      <c r="F266" s="399" t="s">
        <v>1239</v>
      </c>
      <c r="G266" s="399" t="s">
        <v>1239</v>
      </c>
      <c r="H266" s="399" t="s">
        <v>1239</v>
      </c>
      <c r="I266" s="399" t="s">
        <v>2323</v>
      </c>
      <c r="J266" s="399" t="s">
        <v>2326</v>
      </c>
      <c r="K266" s="786">
        <v>44621</v>
      </c>
      <c r="L266" s="399">
        <v>0</v>
      </c>
      <c r="M266" s="399">
        <v>0</v>
      </c>
      <c r="N266" s="399">
        <v>46.277000000000001</v>
      </c>
      <c r="O266" s="399">
        <v>46.277000000000001</v>
      </c>
      <c r="P266" s="399">
        <v>46.277000000000001</v>
      </c>
      <c r="Q266" s="399">
        <v>46.277000000000001</v>
      </c>
      <c r="R266" s="399"/>
      <c r="S266" s="399">
        <v>77.900000000000006</v>
      </c>
      <c r="T266" s="399">
        <v>185.74</v>
      </c>
      <c r="U266" s="399"/>
      <c r="V266" s="399">
        <v>12200.468280000001</v>
      </c>
      <c r="W266" s="399">
        <v>12200.468280000001</v>
      </c>
      <c r="X266" s="399">
        <v>12019.062440000002</v>
      </c>
      <c r="Y266" s="399">
        <v>0</v>
      </c>
      <c r="Z266" s="399">
        <v>2510.0781084217406</v>
      </c>
      <c r="AA266" s="399">
        <v>0</v>
      </c>
      <c r="AB266" s="399">
        <v>0</v>
      </c>
      <c r="AC266" s="399">
        <v>0</v>
      </c>
      <c r="AD266" s="399">
        <v>0</v>
      </c>
      <c r="AE266" s="399">
        <v>0</v>
      </c>
      <c r="AF266" s="399">
        <v>8595.6884129284372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445.8878827552046</v>
      </c>
      <c r="AM266" s="399"/>
      <c r="AN266" s="399">
        <v>47.937484638306401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601.2388268255238</v>
      </c>
      <c r="BH266" s="399">
        <v>0</v>
      </c>
      <c r="BI266" s="399">
        <v>0</v>
      </c>
      <c r="BJ266" s="399">
        <v>0</v>
      </c>
      <c r="BK266" s="399">
        <v>0</v>
      </c>
      <c r="BL266" s="399">
        <v>0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9196.9272397539607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12019.841600000002</v>
      </c>
      <c r="CJ266" s="399">
        <v>-180.65668000000005</v>
      </c>
      <c r="CK266" s="399"/>
      <c r="CL266" s="399"/>
      <c r="CM266" s="399"/>
      <c r="CN266" s="399"/>
      <c r="CO266" s="399">
        <v>-181.40584000000007</v>
      </c>
      <c r="CP266" s="399">
        <v>0</v>
      </c>
      <c r="CQ266" s="399">
        <v>31</v>
      </c>
      <c r="CR266" s="399">
        <v>-181.63978418842089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0</v>
      </c>
      <c r="DA266" s="399">
        <v>0</v>
      </c>
      <c r="DB266" s="399">
        <v>0</v>
      </c>
      <c r="DC266" s="399">
        <v>0</v>
      </c>
      <c r="DD266" s="399">
        <v>0</v>
      </c>
      <c r="DE266" s="399">
        <v>0</v>
      </c>
      <c r="DF266" s="399">
        <v>0</v>
      </c>
      <c r="DG266" s="399">
        <v>0</v>
      </c>
      <c r="DH266" s="399">
        <v>0</v>
      </c>
      <c r="DI266" s="399">
        <v>-155.24503064022383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-23.905117361719533</v>
      </c>
      <c r="DP266" s="399">
        <v>-2.4896361864753871</v>
      </c>
      <c r="DQ266" s="399">
        <v>0</v>
      </c>
      <c r="DR266" s="399">
        <v>0</v>
      </c>
      <c r="DS266" s="399"/>
      <c r="DT266" s="399"/>
      <c r="DU266" s="399"/>
      <c r="DV266" s="399">
        <v>0</v>
      </c>
      <c r="DW266" s="399">
        <v>0</v>
      </c>
      <c r="DX266" s="399">
        <v>0</v>
      </c>
      <c r="DY266" s="399">
        <v>-181.4058399999999</v>
      </c>
      <c r="DZ266" s="399">
        <v>0</v>
      </c>
      <c r="EA266" s="399">
        <v>0</v>
      </c>
      <c r="EB266" s="399">
        <v>0</v>
      </c>
      <c r="EC266" s="399">
        <v>0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221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266</v>
      </c>
      <c r="B267" s="399" t="s">
        <v>956</v>
      </c>
      <c r="C267" s="399" t="s">
        <v>2325</v>
      </c>
      <c r="D267" s="399" t="s">
        <v>533</v>
      </c>
      <c r="E267" s="399" t="s">
        <v>890</v>
      </c>
      <c r="F267" s="399" t="s">
        <v>1239</v>
      </c>
      <c r="G267" s="399" t="s">
        <v>1239</v>
      </c>
      <c r="H267" s="399" t="s">
        <v>1239</v>
      </c>
      <c r="I267" s="399" t="s">
        <v>1239</v>
      </c>
      <c r="J267" s="399" t="s">
        <v>2326</v>
      </c>
      <c r="K267" s="786">
        <v>44621</v>
      </c>
      <c r="L267" s="399">
        <v>339</v>
      </c>
      <c r="M267" s="399">
        <v>339</v>
      </c>
      <c r="N267" s="399">
        <v>0</v>
      </c>
      <c r="O267" s="399">
        <v>0</v>
      </c>
      <c r="P267" s="399">
        <v>0</v>
      </c>
      <c r="Q267" s="399">
        <v>0</v>
      </c>
      <c r="R267" s="399">
        <v>55.59</v>
      </c>
      <c r="S267" s="399"/>
      <c r="T267" s="399"/>
      <c r="U267" s="399">
        <v>18845.010000000002</v>
      </c>
      <c r="V267" s="399"/>
      <c r="W267" s="399">
        <v>18845.010000000002</v>
      </c>
      <c r="X267" s="399">
        <v>10003.890000000001</v>
      </c>
      <c r="Y267" s="399">
        <v>0</v>
      </c>
      <c r="Z267" s="399">
        <v>0</v>
      </c>
      <c r="AA267" s="399">
        <v>0</v>
      </c>
      <c r="AB267" s="399">
        <v>0</v>
      </c>
      <c r="AC267" s="399">
        <v>0</v>
      </c>
      <c r="AD267" s="399">
        <v>5476.4334106159959</v>
      </c>
      <c r="AE267" s="399">
        <v>13367.015143295093</v>
      </c>
      <c r="AF267" s="399"/>
      <c r="AG267" s="399"/>
      <c r="AH267" s="399"/>
      <c r="AI267" s="399">
        <v>0</v>
      </c>
      <c r="AJ267" s="399">
        <v>0</v>
      </c>
      <c r="AK267" s="399">
        <v>0</v>
      </c>
      <c r="AL267" s="399">
        <v>0</v>
      </c>
      <c r="AM267" s="399"/>
      <c r="AN267" s="399">
        <v>0</v>
      </c>
      <c r="AO267" s="399">
        <v>0</v>
      </c>
      <c r="AP267" s="399">
        <v>0</v>
      </c>
      <c r="AQ267" s="399">
        <v>0</v>
      </c>
      <c r="AR267" s="399">
        <v>0</v>
      </c>
      <c r="AS267" s="399"/>
      <c r="AT267" s="399"/>
      <c r="AU267" s="399">
        <v>0</v>
      </c>
      <c r="AV267" s="399">
        <v>0</v>
      </c>
      <c r="AW267" s="399">
        <v>0</v>
      </c>
      <c r="AX267" s="399"/>
      <c r="AY267" s="399"/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/>
      <c r="BG267" s="399">
        <v>0</v>
      </c>
      <c r="BH267" s="399">
        <v>0</v>
      </c>
      <c r="BI267" s="399">
        <v>13.29</v>
      </c>
      <c r="BJ267" s="399">
        <v>59.87</v>
      </c>
      <c r="BK267" s="399">
        <v>10447.67</v>
      </c>
      <c r="BL267" s="399">
        <v>5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0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10003.890000000001</v>
      </c>
      <c r="CJ267" s="399">
        <v>-8841.149999999996</v>
      </c>
      <c r="CK267" s="399"/>
      <c r="CL267" s="399"/>
      <c r="CM267" s="399"/>
      <c r="CN267" s="399"/>
      <c r="CO267" s="399">
        <v>-8841.1200000000008</v>
      </c>
      <c r="CP267" s="399">
        <v>0</v>
      </c>
      <c r="CQ267" s="399">
        <v>31</v>
      </c>
      <c r="CR267" s="399">
        <v>-504.14192172965886</v>
      </c>
      <c r="CS267" s="399">
        <v>0</v>
      </c>
      <c r="CT267" s="399">
        <v>0</v>
      </c>
      <c r="CU267" s="399">
        <v>0</v>
      </c>
      <c r="CV267" s="399">
        <v>0</v>
      </c>
      <c r="CW267" s="399"/>
      <c r="CX267" s="399"/>
      <c r="CY267" s="399"/>
      <c r="CZ267" s="399">
        <v>-504.14192172965886</v>
      </c>
      <c r="DA267" s="399">
        <v>0</v>
      </c>
      <c r="DB267" s="399">
        <v>0</v>
      </c>
      <c r="DC267" s="399"/>
      <c r="DD267" s="399"/>
      <c r="DE267" s="399">
        <v>0</v>
      </c>
      <c r="DF267" s="399">
        <v>0</v>
      </c>
      <c r="DG267" s="399">
        <v>0</v>
      </c>
      <c r="DH267" s="399">
        <v>0</v>
      </c>
      <c r="DI267" s="399">
        <v>0</v>
      </c>
      <c r="DJ267" s="399"/>
      <c r="DK267" s="399">
        <v>0</v>
      </c>
      <c r="DL267" s="399">
        <v>0</v>
      </c>
      <c r="DM267" s="399"/>
      <c r="DN267" s="399">
        <v>0</v>
      </c>
      <c r="DO267" s="399">
        <v>0</v>
      </c>
      <c r="DP267" s="399">
        <v>0</v>
      </c>
      <c r="DQ267" s="399">
        <v>0</v>
      </c>
      <c r="DR267" s="399">
        <v>0</v>
      </c>
      <c r="DS267" s="399"/>
      <c r="DT267" s="399"/>
      <c r="DU267" s="399">
        <v>13367.015143295093</v>
      </c>
      <c r="DV267" s="399"/>
      <c r="DW267" s="399">
        <v>0</v>
      </c>
      <c r="DX267" s="399">
        <v>0</v>
      </c>
      <c r="DY267" s="399">
        <v>-8841.1200000000008</v>
      </c>
      <c r="DZ267" s="399"/>
      <c r="EA267" s="399">
        <v>0</v>
      </c>
      <c r="EB267" s="399"/>
      <c r="EC267" s="399">
        <v>-8334.0253873561924</v>
      </c>
      <c r="ED267" s="399"/>
      <c r="EE267" s="399">
        <v>0</v>
      </c>
      <c r="EF267" s="399">
        <v>0</v>
      </c>
      <c r="EG267" s="399"/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/>
      <c r="EN267" s="399"/>
      <c r="EO267" s="399">
        <v>0</v>
      </c>
      <c r="EP267" s="399">
        <v>0</v>
      </c>
      <c r="EQ267" s="399"/>
      <c r="ER267" s="399">
        <v>0</v>
      </c>
      <c r="ES267" s="399"/>
      <c r="ET267" s="399">
        <v>0</v>
      </c>
      <c r="EU267" s="399"/>
      <c r="EV267" s="399">
        <v>221</v>
      </c>
      <c r="EW267" s="399"/>
      <c r="EX267" s="399"/>
      <c r="EY267" s="399"/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267</v>
      </c>
      <c r="B268" s="399" t="s">
        <v>956</v>
      </c>
      <c r="C268" s="399" t="s">
        <v>2328</v>
      </c>
      <c r="D268" s="399" t="s">
        <v>1824</v>
      </c>
      <c r="E268" s="399" t="s">
        <v>918</v>
      </c>
      <c r="F268" s="399" t="s">
        <v>1239</v>
      </c>
      <c r="G268" s="399" t="s">
        <v>1239</v>
      </c>
      <c r="H268" s="399" t="s">
        <v>1239</v>
      </c>
      <c r="I268" s="399" t="s">
        <v>1239</v>
      </c>
      <c r="J268" s="399" t="s">
        <v>2326</v>
      </c>
      <c r="K268" s="786">
        <v>44621</v>
      </c>
      <c r="L268" s="399">
        <v>0</v>
      </c>
      <c r="M268" s="399">
        <v>0</v>
      </c>
      <c r="N268" s="399">
        <v>174.095</v>
      </c>
      <c r="O268" s="399">
        <v>174.095</v>
      </c>
      <c r="P268" s="399">
        <v>174.095</v>
      </c>
      <c r="Q268" s="399">
        <v>174.095</v>
      </c>
      <c r="R268" s="399"/>
      <c r="S268" s="399">
        <v>825.6</v>
      </c>
      <c r="T268" s="399">
        <v>185.74</v>
      </c>
      <c r="U268" s="399"/>
      <c r="V268" s="399">
        <v>176069.23730000001</v>
      </c>
      <c r="W268" s="399">
        <v>176069.23730000001</v>
      </c>
      <c r="X268" s="399">
        <v>109453.52649999999</v>
      </c>
      <c r="Y268" s="399">
        <v>0</v>
      </c>
      <c r="Z268" s="399">
        <v>10853.981690109546</v>
      </c>
      <c r="AA268" s="399">
        <v>0</v>
      </c>
      <c r="AB268" s="399">
        <v>0</v>
      </c>
      <c r="AC268" s="399">
        <v>0</v>
      </c>
      <c r="AD268" s="399">
        <v>22690.098399796399</v>
      </c>
      <c r="AE268" s="399">
        <v>102240.73280591989</v>
      </c>
      <c r="AF268" s="399">
        <v>32337.151808647413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1677.4391371149241</v>
      </c>
      <c r="AM268" s="399"/>
      <c r="AN268" s="399">
        <v>412.75615099657296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5858.3836331095081</v>
      </c>
      <c r="BH268" s="399">
        <v>0</v>
      </c>
      <c r="BI268" s="399">
        <v>51.89</v>
      </c>
      <c r="BJ268" s="399">
        <v>242.14</v>
      </c>
      <c r="BK268" s="399">
        <v>43330.27</v>
      </c>
      <c r="BL268" s="399">
        <v>365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38195.535441756918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109456.67</v>
      </c>
      <c r="CJ268" s="399">
        <v>-66612.597300000038</v>
      </c>
      <c r="CK268" s="399"/>
      <c r="CL268" s="399"/>
      <c r="CM268" s="399"/>
      <c r="CN268" s="399"/>
      <c r="CO268" s="399">
        <v>-66615.710800000001</v>
      </c>
      <c r="CP268" s="399">
        <v>0</v>
      </c>
      <c r="CQ268" s="399">
        <v>31</v>
      </c>
      <c r="CR268" s="399">
        <v>-2871.4461932926206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-2088.77365135738</v>
      </c>
      <c r="DA268" s="399">
        <v>0</v>
      </c>
      <c r="DB268" s="399">
        <v>0</v>
      </c>
      <c r="DC268" s="399">
        <v>0</v>
      </c>
      <c r="DD268" s="399">
        <v>0</v>
      </c>
      <c r="DE268" s="399">
        <v>0</v>
      </c>
      <c r="DF268" s="399">
        <v>0</v>
      </c>
      <c r="DG268" s="399">
        <v>0</v>
      </c>
      <c r="DH268" s="399">
        <v>0</v>
      </c>
      <c r="DI268" s="399">
        <v>-671.30449622103151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-89.931529854756263</v>
      </c>
      <c r="DP268" s="399">
        <v>-21.436515859454346</v>
      </c>
      <c r="DQ268" s="399">
        <v>0</v>
      </c>
      <c r="DR268" s="399">
        <v>0</v>
      </c>
      <c r="DS268" s="399"/>
      <c r="DT268" s="399"/>
      <c r="DU268" s="399"/>
      <c r="DV268" s="399">
        <v>102240.73280591989</v>
      </c>
      <c r="DW268" s="399">
        <v>0</v>
      </c>
      <c r="DX268" s="399">
        <v>0</v>
      </c>
      <c r="DY268" s="399">
        <v>-66615.710800000001</v>
      </c>
      <c r="DZ268" s="399">
        <v>0</v>
      </c>
      <c r="EA268" s="399">
        <v>0</v>
      </c>
      <c r="EB268" s="399">
        <v>0</v>
      </c>
      <c r="EC268" s="399">
        <v>-63744.736853525712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221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268</v>
      </c>
      <c r="B269" s="399" t="s">
        <v>2329</v>
      </c>
      <c r="C269" s="399" t="s">
        <v>2328</v>
      </c>
      <c r="D269" s="399" t="s">
        <v>1824</v>
      </c>
      <c r="E269" s="399" t="s">
        <v>918</v>
      </c>
      <c r="F269" s="399" t="s">
        <v>1239</v>
      </c>
      <c r="G269" s="399" t="s">
        <v>1239</v>
      </c>
      <c r="H269" s="399" t="s">
        <v>1239</v>
      </c>
      <c r="I269" s="399" t="s">
        <v>1239</v>
      </c>
      <c r="J269" s="399" t="s">
        <v>2326</v>
      </c>
      <c r="K269" s="786">
        <v>44621</v>
      </c>
      <c r="L269" s="399">
        <v>0</v>
      </c>
      <c r="M269" s="399">
        <v>0</v>
      </c>
      <c r="N269" s="399">
        <v>0.60699999999999998</v>
      </c>
      <c r="O269" s="399">
        <v>0.60699999999999998</v>
      </c>
      <c r="P269" s="399">
        <v>0.60699999999999998</v>
      </c>
      <c r="Q269" s="399">
        <v>0.60699999999999998</v>
      </c>
      <c r="R269" s="399"/>
      <c r="S269" s="399">
        <v>825.6</v>
      </c>
      <c r="T269" s="399">
        <v>185.74</v>
      </c>
      <c r="U269" s="399"/>
      <c r="V269" s="399">
        <v>613.88337999999999</v>
      </c>
      <c r="W269" s="399">
        <v>613.88337999999999</v>
      </c>
      <c r="X269" s="399">
        <v>381.62090000000001</v>
      </c>
      <c r="Y269" s="399">
        <v>0</v>
      </c>
      <c r="Z269" s="399">
        <v>37.843515815482888</v>
      </c>
      <c r="AA269" s="399">
        <v>0</v>
      </c>
      <c r="AB269" s="399">
        <v>0</v>
      </c>
      <c r="AC269" s="399">
        <v>0</v>
      </c>
      <c r="AD269" s="399">
        <v>79.111345694456546</v>
      </c>
      <c r="AE269" s="399">
        <v>356.47275805274921</v>
      </c>
      <c r="AF269" s="399">
        <v>112.74678277864948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5.8485628893923369</v>
      </c>
      <c r="AM269" s="399"/>
      <c r="AN269" s="399">
        <v>1.439116480398172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20.425852926835759</v>
      </c>
      <c r="BH269" s="399">
        <v>0</v>
      </c>
      <c r="BI269" s="399">
        <v>0.24</v>
      </c>
      <c r="BJ269" s="399">
        <v>0.98</v>
      </c>
      <c r="BK269" s="399">
        <v>0</v>
      </c>
      <c r="BL269" s="399">
        <v>0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133.17263570548522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383.50700000000001</v>
      </c>
      <c r="CJ269" s="399">
        <v>-230.40637999999996</v>
      </c>
      <c r="CK269" s="399"/>
      <c r="CL269" s="399"/>
      <c r="CM269" s="399"/>
      <c r="CN269" s="399"/>
      <c r="CO269" s="399">
        <v>-232.26248000000001</v>
      </c>
      <c r="CP269" s="399">
        <v>0</v>
      </c>
      <c r="CQ269" s="399">
        <v>31</v>
      </c>
      <c r="CR269" s="399">
        <v>-10.011590449631655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-7.2827226880377225</v>
      </c>
      <c r="DA269" s="399">
        <v>0</v>
      </c>
      <c r="DB269" s="399">
        <v>0</v>
      </c>
      <c r="DC269" s="399">
        <v>0</v>
      </c>
      <c r="DD269" s="399">
        <v>0</v>
      </c>
      <c r="DE269" s="399">
        <v>0</v>
      </c>
      <c r="DF269" s="399">
        <v>0</v>
      </c>
      <c r="DG269" s="399">
        <v>0</v>
      </c>
      <c r="DH269" s="399">
        <v>0</v>
      </c>
      <c r="DI269" s="399">
        <v>-2.3405716947997703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-0.31355546467065132</v>
      </c>
      <c r="DP269" s="399">
        <v>-7.4740602123488653E-2</v>
      </c>
      <c r="DQ269" s="399">
        <v>0</v>
      </c>
      <c r="DR269" s="399">
        <v>0</v>
      </c>
      <c r="DS269" s="399"/>
      <c r="DT269" s="399"/>
      <c r="DU269" s="399"/>
      <c r="DV269" s="399">
        <v>356.47275805274921</v>
      </c>
      <c r="DW269" s="399">
        <v>0</v>
      </c>
      <c r="DX269" s="399">
        <v>0</v>
      </c>
      <c r="DY269" s="399">
        <v>-232.26248000000004</v>
      </c>
      <c r="DZ269" s="399">
        <v>0</v>
      </c>
      <c r="EA269" s="399">
        <v>0</v>
      </c>
      <c r="EB269" s="399">
        <v>0</v>
      </c>
      <c r="EC269" s="399">
        <v>-222.25253608713695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221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269</v>
      </c>
      <c r="B270" s="399" t="s">
        <v>2330</v>
      </c>
      <c r="C270" s="399" t="s">
        <v>2328</v>
      </c>
      <c r="D270" s="399" t="s">
        <v>1824</v>
      </c>
      <c r="E270" s="399" t="s">
        <v>918</v>
      </c>
      <c r="F270" s="399" t="s">
        <v>1239</v>
      </c>
      <c r="G270" s="399" t="s">
        <v>1239</v>
      </c>
      <c r="H270" s="399" t="s">
        <v>1239</v>
      </c>
      <c r="I270" s="399" t="s">
        <v>1239</v>
      </c>
      <c r="J270" s="399" t="s">
        <v>2326</v>
      </c>
      <c r="K270" s="786">
        <v>44621</v>
      </c>
      <c r="L270" s="399">
        <v>0</v>
      </c>
      <c r="M270" s="399">
        <v>0</v>
      </c>
      <c r="N270" s="399">
        <v>3.4049999999999998</v>
      </c>
      <c r="O270" s="399">
        <v>3.4049999999999998</v>
      </c>
      <c r="P270" s="399">
        <v>3.4049999999999998</v>
      </c>
      <c r="Q270" s="399">
        <v>3.4049999999999998</v>
      </c>
      <c r="R270" s="399"/>
      <c r="S270" s="399">
        <v>825.6</v>
      </c>
      <c r="T270" s="399">
        <v>185.74</v>
      </c>
      <c r="U270" s="399"/>
      <c r="V270" s="399">
        <v>3443.6127000000001</v>
      </c>
      <c r="W270" s="399">
        <v>3443.6127000000001</v>
      </c>
      <c r="X270" s="399">
        <v>2140.7235000000001</v>
      </c>
      <c r="Y270" s="399">
        <v>0</v>
      </c>
      <c r="Z270" s="399">
        <v>212.2852905300152</v>
      </c>
      <c r="AA270" s="399">
        <v>0</v>
      </c>
      <c r="AB270" s="399">
        <v>0</v>
      </c>
      <c r="AC270" s="399">
        <v>0</v>
      </c>
      <c r="AD270" s="399">
        <v>443.77945978521342</v>
      </c>
      <c r="AE270" s="399">
        <v>1999.6536098346144</v>
      </c>
      <c r="AF270" s="399">
        <v>632.45930043048008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32.807836307052568</v>
      </c>
      <c r="AM270" s="399"/>
      <c r="AN270" s="399">
        <v>8.0728033208497134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114.57994928480355</v>
      </c>
      <c r="BH270" s="399">
        <v>0</v>
      </c>
      <c r="BI270" s="399">
        <v>0.95</v>
      </c>
      <c r="BJ270" s="399">
        <v>4.43</v>
      </c>
      <c r="BK270" s="399">
        <v>2557.5100000000002</v>
      </c>
      <c r="BL270" s="399">
        <v>13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747.03924971528363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2143.8670000000002</v>
      </c>
      <c r="CJ270" s="399">
        <v>-1299.7757000000006</v>
      </c>
      <c r="CK270" s="399"/>
      <c r="CL270" s="399"/>
      <c r="CM270" s="399"/>
      <c r="CN270" s="399"/>
      <c r="CO270" s="399">
        <v>-1302.8892000000001</v>
      </c>
      <c r="CP270" s="399">
        <v>0</v>
      </c>
      <c r="CQ270" s="399">
        <v>31</v>
      </c>
      <c r="CR270" s="399">
        <v>-56.160569161442709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-40.852834848053476</v>
      </c>
      <c r="DA270" s="399">
        <v>0</v>
      </c>
      <c r="DB270" s="399">
        <v>0</v>
      </c>
      <c r="DC270" s="399">
        <v>0</v>
      </c>
      <c r="DD270" s="399">
        <v>0</v>
      </c>
      <c r="DE270" s="399">
        <v>0</v>
      </c>
      <c r="DF270" s="399">
        <v>0</v>
      </c>
      <c r="DG270" s="399">
        <v>0</v>
      </c>
      <c r="DH270" s="399">
        <v>0</v>
      </c>
      <c r="DI270" s="399">
        <v>-13.129566096858667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-1.75890668402565</v>
      </c>
      <c r="DP270" s="399">
        <v>-0.41926153250490827</v>
      </c>
      <c r="DQ270" s="399">
        <v>0</v>
      </c>
      <c r="DR270" s="399">
        <v>0</v>
      </c>
      <c r="DS270" s="399"/>
      <c r="DT270" s="399"/>
      <c r="DU270" s="399"/>
      <c r="DV270" s="399">
        <v>1999.6536098346144</v>
      </c>
      <c r="DW270" s="399">
        <v>0</v>
      </c>
      <c r="DX270" s="399">
        <v>0</v>
      </c>
      <c r="DY270" s="399">
        <v>-1302.8892000000003</v>
      </c>
      <c r="DZ270" s="399">
        <v>0</v>
      </c>
      <c r="EA270" s="399">
        <v>0</v>
      </c>
      <c r="EB270" s="399">
        <v>0</v>
      </c>
      <c r="EC270" s="399">
        <v>-1246.7378671774318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221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270</v>
      </c>
      <c r="B271" s="399" t="s">
        <v>956</v>
      </c>
      <c r="C271" s="399" t="s">
        <v>2577</v>
      </c>
      <c r="D271" s="399" t="s">
        <v>533</v>
      </c>
      <c r="E271" s="399" t="s">
        <v>918</v>
      </c>
      <c r="F271" s="399" t="s">
        <v>1239</v>
      </c>
      <c r="G271" s="399" t="s">
        <v>1239</v>
      </c>
      <c r="H271" s="399" t="s">
        <v>1239</v>
      </c>
      <c r="I271" s="399" t="s">
        <v>893</v>
      </c>
      <c r="J271" s="399" t="s">
        <v>2326</v>
      </c>
      <c r="K271" s="786">
        <v>44621</v>
      </c>
      <c r="L271" s="399">
        <v>527</v>
      </c>
      <c r="M271" s="399">
        <v>527</v>
      </c>
      <c r="N271" s="399">
        <v>33.256</v>
      </c>
      <c r="O271" s="399">
        <v>33.256</v>
      </c>
      <c r="P271" s="399">
        <v>33.256</v>
      </c>
      <c r="Q271" s="399">
        <v>33.256</v>
      </c>
      <c r="R271" s="399">
        <v>181.08</v>
      </c>
      <c r="S271" s="399">
        <v>77.900000000000006</v>
      </c>
      <c r="T271" s="399">
        <v>185.74</v>
      </c>
      <c r="U271" s="399">
        <v>95429.16</v>
      </c>
      <c r="V271" s="399">
        <v>8767.6118400000014</v>
      </c>
      <c r="W271" s="399">
        <v>104196.77184</v>
      </c>
      <c r="X271" s="399">
        <v>55761.588320000003</v>
      </c>
      <c r="Y271" s="399">
        <v>0</v>
      </c>
      <c r="Z271" s="399">
        <v>1803.8152337807853</v>
      </c>
      <c r="AA271" s="399">
        <v>0</v>
      </c>
      <c r="AB271" s="399">
        <v>0</v>
      </c>
      <c r="AC271" s="399">
        <v>0</v>
      </c>
      <c r="AD271" s="399">
        <v>21063.356254952323</v>
      </c>
      <c r="AE271" s="399">
        <v>74364.653716145869</v>
      </c>
      <c r="AF271" s="399">
        <v>6177.1120396816586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320.42801886265499</v>
      </c>
      <c r="AM271" s="399"/>
      <c r="AN271" s="399">
        <v>34.449272622069657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432.06773180866566</v>
      </c>
      <c r="BH271" s="399">
        <v>0</v>
      </c>
      <c r="BI271" s="399">
        <v>0</v>
      </c>
      <c r="BJ271" s="399">
        <v>0</v>
      </c>
      <c r="BK271" s="399">
        <v>0</v>
      </c>
      <c r="BL271" s="399">
        <v>0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6609.1797714903241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55762.627200000003</v>
      </c>
      <c r="CJ271" s="399">
        <v>-48434.174639999983</v>
      </c>
      <c r="CK271" s="399"/>
      <c r="CL271" s="399"/>
      <c r="CM271" s="399"/>
      <c r="CN271" s="399"/>
      <c r="CO271" s="399">
        <v>-48435.183520000006</v>
      </c>
      <c r="CP271" s="399">
        <v>0</v>
      </c>
      <c r="CQ271" s="399">
        <v>31</v>
      </c>
      <c r="CR271" s="399">
        <v>-2069.5529152289891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-1939.0212761216571</v>
      </c>
      <c r="DA271" s="399">
        <v>0</v>
      </c>
      <c r="DB271" s="399">
        <v>0</v>
      </c>
      <c r="DC271" s="399">
        <v>0</v>
      </c>
      <c r="DD271" s="399">
        <v>0</v>
      </c>
      <c r="DE271" s="399">
        <v>0</v>
      </c>
      <c r="DF271" s="399">
        <v>0</v>
      </c>
      <c r="DG271" s="399">
        <v>0</v>
      </c>
      <c r="DH271" s="399">
        <v>0</v>
      </c>
      <c r="DI271" s="399">
        <v>-111.56360047045564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-17.178913563570347</v>
      </c>
      <c r="DP271" s="399">
        <v>-1.7891250733069413</v>
      </c>
      <c r="DQ271" s="399">
        <v>0</v>
      </c>
      <c r="DR271" s="399">
        <v>0</v>
      </c>
      <c r="DS271" s="399"/>
      <c r="DT271" s="399"/>
      <c r="DU271" s="399">
        <v>74364.653716145869</v>
      </c>
      <c r="DV271" s="399">
        <v>0</v>
      </c>
      <c r="DW271" s="399">
        <v>0</v>
      </c>
      <c r="DX271" s="399">
        <v>0</v>
      </c>
      <c r="DY271" s="399">
        <v>-48435.183519999999</v>
      </c>
      <c r="DZ271" s="399">
        <v>0</v>
      </c>
      <c r="EA271" s="399">
        <v>0</v>
      </c>
      <c r="EB271" s="399">
        <v>0</v>
      </c>
      <c r="EC271" s="399">
        <v>-46364.645012254943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221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271</v>
      </c>
      <c r="B272" s="399" t="s">
        <v>956</v>
      </c>
      <c r="C272" s="399" t="s">
        <v>2577</v>
      </c>
      <c r="D272" s="399" t="s">
        <v>533</v>
      </c>
      <c r="E272" s="399" t="s">
        <v>918</v>
      </c>
      <c r="F272" s="399" t="s">
        <v>1239</v>
      </c>
      <c r="G272" s="399" t="s">
        <v>1239</v>
      </c>
      <c r="H272" s="399" t="s">
        <v>1239</v>
      </c>
      <c r="I272" s="399" t="s">
        <v>2323</v>
      </c>
      <c r="J272" s="399" t="s">
        <v>2326</v>
      </c>
      <c r="K272" s="786">
        <v>44621</v>
      </c>
      <c r="L272" s="399">
        <v>527</v>
      </c>
      <c r="M272" s="399">
        <v>527</v>
      </c>
      <c r="N272" s="399">
        <v>308.38099999999997</v>
      </c>
      <c r="O272" s="399">
        <v>308.38099999999997</v>
      </c>
      <c r="P272" s="399">
        <v>308.38099999999997</v>
      </c>
      <c r="Q272" s="399">
        <v>308.38099999999997</v>
      </c>
      <c r="R272" s="399">
        <v>55.59</v>
      </c>
      <c r="S272" s="399">
        <v>77.900000000000006</v>
      </c>
      <c r="T272" s="399">
        <v>185.74</v>
      </c>
      <c r="U272" s="399">
        <v>29295.93</v>
      </c>
      <c r="V272" s="399">
        <v>81301.56684</v>
      </c>
      <c r="W272" s="399">
        <v>110597.49684000001</v>
      </c>
      <c r="X272" s="399">
        <v>95644.483319999999</v>
      </c>
      <c r="Y272" s="399">
        <v>0</v>
      </c>
      <c r="Z272" s="399">
        <v>16726.676257173211</v>
      </c>
      <c r="AA272" s="399">
        <v>0</v>
      </c>
      <c r="AB272" s="399">
        <v>0</v>
      </c>
      <c r="AC272" s="399">
        <v>0</v>
      </c>
      <c r="AD272" s="399">
        <v>8513.5115262378458</v>
      </c>
      <c r="AE272" s="399">
        <v>20779.99109296907</v>
      </c>
      <c r="AF272" s="399">
        <v>57280.00925875239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2971.3108276667185</v>
      </c>
      <c r="AM272" s="399"/>
      <c r="AN272" s="399">
        <v>319.44614928032422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4006.5395478376267</v>
      </c>
      <c r="BH272" s="399">
        <v>0</v>
      </c>
      <c r="BI272" s="399">
        <v>0</v>
      </c>
      <c r="BJ272" s="399">
        <v>0</v>
      </c>
      <c r="BK272" s="399">
        <v>0</v>
      </c>
      <c r="BL272" s="399">
        <v>0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61286.548806590014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95644.223599999998</v>
      </c>
      <c r="CJ272" s="399">
        <v>-14953.303239999994</v>
      </c>
      <c r="CK272" s="399"/>
      <c r="CL272" s="399"/>
      <c r="CM272" s="399"/>
      <c r="CN272" s="399"/>
      <c r="CO272" s="399">
        <v>-14953.013520000002</v>
      </c>
      <c r="CP272" s="399">
        <v>0</v>
      </c>
      <c r="CQ272" s="399">
        <v>31</v>
      </c>
      <c r="CR272" s="399">
        <v>-1994.1375313023018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-783.7250523643952</v>
      </c>
      <c r="DA272" s="399">
        <v>0</v>
      </c>
      <c r="DB272" s="399">
        <v>0</v>
      </c>
      <c r="DC272" s="399">
        <v>0</v>
      </c>
      <c r="DD272" s="399">
        <v>0</v>
      </c>
      <c r="DE272" s="399">
        <v>0</v>
      </c>
      <c r="DF272" s="399">
        <v>0</v>
      </c>
      <c r="DG272" s="399">
        <v>0</v>
      </c>
      <c r="DH272" s="399">
        <v>0</v>
      </c>
      <c r="DI272" s="399">
        <v>-1034.5229335061213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-159.29909019868228</v>
      </c>
      <c r="DP272" s="399">
        <v>-16.590455233084811</v>
      </c>
      <c r="DQ272" s="399">
        <v>0</v>
      </c>
      <c r="DR272" s="399">
        <v>0</v>
      </c>
      <c r="DS272" s="399"/>
      <c r="DT272" s="399"/>
      <c r="DU272" s="399">
        <v>20779.99109296907</v>
      </c>
      <c r="DV272" s="399">
        <v>0</v>
      </c>
      <c r="DW272" s="399">
        <v>0</v>
      </c>
      <c r="DX272" s="399">
        <v>0</v>
      </c>
      <c r="DY272" s="399">
        <v>-14953.01352</v>
      </c>
      <c r="DZ272" s="399">
        <v>0</v>
      </c>
      <c r="EA272" s="399">
        <v>0</v>
      </c>
      <c r="EB272" s="399">
        <v>0</v>
      </c>
      <c r="EC272" s="399">
        <v>-12955.844776214497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221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272</v>
      </c>
      <c r="B273" s="399" t="s">
        <v>956</v>
      </c>
      <c r="C273" s="399" t="s">
        <v>2577</v>
      </c>
      <c r="D273" s="399" t="s">
        <v>533</v>
      </c>
      <c r="E273" s="399" t="s">
        <v>918</v>
      </c>
      <c r="F273" s="399" t="s">
        <v>1239</v>
      </c>
      <c r="G273" s="399" t="s">
        <v>1239</v>
      </c>
      <c r="H273" s="399" t="s">
        <v>1239</v>
      </c>
      <c r="I273" s="399" t="s">
        <v>1239</v>
      </c>
      <c r="J273" s="399" t="s">
        <v>2326</v>
      </c>
      <c r="K273" s="786">
        <v>44621</v>
      </c>
      <c r="L273" s="399">
        <v>0</v>
      </c>
      <c r="M273" s="399">
        <v>0</v>
      </c>
      <c r="N273" s="399">
        <v>0</v>
      </c>
      <c r="O273" s="399">
        <v>0</v>
      </c>
      <c r="P273" s="399">
        <v>0</v>
      </c>
      <c r="Q273" s="399">
        <v>0</v>
      </c>
      <c r="R273" s="399"/>
      <c r="S273" s="399"/>
      <c r="T273" s="399"/>
      <c r="U273" s="399"/>
      <c r="V273" s="399"/>
      <c r="W273" s="399"/>
      <c r="X273" s="399"/>
      <c r="Y273" s="399"/>
      <c r="Z273" s="399"/>
      <c r="AA273" s="399">
        <v>0</v>
      </c>
      <c r="AB273" s="399"/>
      <c r="AC273" s="399"/>
      <c r="AD273" s="399"/>
      <c r="AE273" s="399"/>
      <c r="AF273" s="399"/>
      <c r="AG273" s="399"/>
      <c r="AH273" s="399"/>
      <c r="AI273" s="399"/>
      <c r="AJ273" s="399"/>
      <c r="AK273" s="399"/>
      <c r="AL273" s="399"/>
      <c r="AM273" s="399"/>
      <c r="AN273" s="399"/>
      <c r="AO273" s="399"/>
      <c r="AP273" s="399"/>
      <c r="AQ273" s="399"/>
      <c r="AR273" s="399"/>
      <c r="AS273" s="399"/>
      <c r="AT273" s="399"/>
      <c r="AU273" s="399"/>
      <c r="AV273" s="399"/>
      <c r="AW273" s="399"/>
      <c r="AX273" s="399"/>
      <c r="AY273" s="399"/>
      <c r="AZ273" s="399">
        <v>0</v>
      </c>
      <c r="BA273" s="399"/>
      <c r="BB273" s="399"/>
      <c r="BC273" s="399"/>
      <c r="BD273" s="399"/>
      <c r="BE273" s="399"/>
      <c r="BF273" s="399"/>
      <c r="BG273" s="399"/>
      <c r="BH273" s="399"/>
      <c r="BI273" s="399">
        <v>80.14</v>
      </c>
      <c r="BJ273" s="399">
        <v>360.64</v>
      </c>
      <c r="BK273" s="399">
        <v>66378.37</v>
      </c>
      <c r="BL273" s="399">
        <v>1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/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/>
      <c r="CJ273" s="399">
        <v>-0.03</v>
      </c>
      <c r="CK273" s="399"/>
      <c r="CL273" s="399"/>
      <c r="CM273" s="399"/>
      <c r="CN273" s="399"/>
      <c r="CO273" s="399">
        <v>0</v>
      </c>
      <c r="CP273" s="399">
        <v>0</v>
      </c>
      <c r="CQ273" s="399">
        <v>31</v>
      </c>
      <c r="CR273" s="399"/>
      <c r="CS273" s="399"/>
      <c r="CT273" s="399"/>
      <c r="CU273" s="399"/>
      <c r="CV273" s="399"/>
      <c r="CW273" s="399"/>
      <c r="CX273" s="399"/>
      <c r="CY273" s="399"/>
      <c r="CZ273" s="399"/>
      <c r="DA273" s="399"/>
      <c r="DB273" s="399"/>
      <c r="DC273" s="399"/>
      <c r="DD273" s="399"/>
      <c r="DE273" s="399"/>
      <c r="DF273" s="399"/>
      <c r="DG273" s="399"/>
      <c r="DH273" s="399"/>
      <c r="DI273" s="399"/>
      <c r="DJ273" s="399"/>
      <c r="DK273" s="399">
        <v>0</v>
      </c>
      <c r="DL273" s="399"/>
      <c r="DM273" s="399"/>
      <c r="DN273" s="399"/>
      <c r="DO273" s="399"/>
      <c r="DP273" s="399"/>
      <c r="DQ273" s="399"/>
      <c r="DR273" s="399"/>
      <c r="DS273" s="399"/>
      <c r="DT273" s="399"/>
      <c r="DU273" s="399"/>
      <c r="DV273" s="399"/>
      <c r="DW273" s="399"/>
      <c r="DX273" s="399"/>
      <c r="DY273" s="399"/>
      <c r="DZ273" s="399"/>
      <c r="EA273" s="399"/>
      <c r="EB273" s="399"/>
      <c r="EC273" s="399"/>
      <c r="ED273" s="399"/>
      <c r="EE273" s="399"/>
      <c r="EF273" s="399"/>
      <c r="EG273" s="399"/>
      <c r="EH273" s="399"/>
      <c r="EI273" s="399"/>
      <c r="EJ273" s="399"/>
      <c r="EK273" s="399"/>
      <c r="EL273" s="399"/>
      <c r="EM273" s="399"/>
      <c r="EN273" s="399"/>
      <c r="EO273" s="399"/>
      <c r="EP273" s="399"/>
      <c r="EQ273" s="399"/>
      <c r="ER273" s="399"/>
      <c r="ES273" s="399"/>
      <c r="ET273" s="399"/>
      <c r="EU273" s="399"/>
      <c r="EV273" s="399">
        <v>221</v>
      </c>
      <c r="EW273" s="399"/>
      <c r="EX273" s="399"/>
      <c r="EY273" s="399"/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273</v>
      </c>
      <c r="B274" s="399" t="s">
        <v>956</v>
      </c>
      <c r="C274" s="399" t="s">
        <v>2325</v>
      </c>
      <c r="D274" s="399" t="s">
        <v>533</v>
      </c>
      <c r="E274" s="399" t="s">
        <v>918</v>
      </c>
      <c r="F274" s="399" t="s">
        <v>1239</v>
      </c>
      <c r="G274" s="399" t="s">
        <v>1239</v>
      </c>
      <c r="H274" s="399" t="s">
        <v>1239</v>
      </c>
      <c r="I274" s="399" t="s">
        <v>893</v>
      </c>
      <c r="J274" s="399" t="s">
        <v>2326</v>
      </c>
      <c r="K274" s="786">
        <v>44621</v>
      </c>
      <c r="L274" s="399">
        <v>0</v>
      </c>
      <c r="M274" s="399">
        <v>0</v>
      </c>
      <c r="N274" s="399">
        <v>6.6360000000000001</v>
      </c>
      <c r="O274" s="399">
        <v>6.6360000000000001</v>
      </c>
      <c r="P274" s="399">
        <v>6.6360000000000001</v>
      </c>
      <c r="Q274" s="399">
        <v>6.6360000000000001</v>
      </c>
      <c r="R274" s="399"/>
      <c r="S274" s="399">
        <v>4433.21</v>
      </c>
      <c r="T274" s="399">
        <v>185.74</v>
      </c>
      <c r="U274" s="399"/>
      <c r="V274" s="399">
        <v>30651.352200000001</v>
      </c>
      <c r="W274" s="399">
        <v>30651.352200000001</v>
      </c>
      <c r="X274" s="399">
        <v>15996.874320000001</v>
      </c>
      <c r="Y274" s="399">
        <v>0</v>
      </c>
      <c r="Z274" s="399">
        <v>359.93859427980789</v>
      </c>
      <c r="AA274" s="399">
        <v>0</v>
      </c>
      <c r="AB274" s="399">
        <v>0</v>
      </c>
      <c r="AC274" s="399">
        <v>0</v>
      </c>
      <c r="AD274" s="399">
        <v>6381.3300616213255</v>
      </c>
      <c r="AE274" s="399">
        <v>22520.484080520378</v>
      </c>
      <c r="AF274" s="399">
        <v>1232.5990947596672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63.939148820440778</v>
      </c>
      <c r="AM274" s="399"/>
      <c r="AN274" s="399">
        <v>6.874109126775747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86.21606532001158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1318.8151600796787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16006.516799999999</v>
      </c>
      <c r="CJ274" s="399">
        <v>-14644.865399999997</v>
      </c>
      <c r="CK274" s="399"/>
      <c r="CL274" s="399"/>
      <c r="CM274" s="399"/>
      <c r="CN274" s="399"/>
      <c r="CO274" s="399">
        <v>-14654.47788</v>
      </c>
      <c r="CP274" s="399">
        <v>0</v>
      </c>
      <c r="CQ274" s="399">
        <v>31</v>
      </c>
      <c r="CR274" s="399">
        <v>-613.49031127328271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-587.44364429239977</v>
      </c>
      <c r="DA274" s="399">
        <v>0</v>
      </c>
      <c r="DB274" s="399">
        <v>0</v>
      </c>
      <c r="DC274" s="399">
        <v>0</v>
      </c>
      <c r="DD274" s="399">
        <v>0</v>
      </c>
      <c r="DE274" s="399">
        <v>0</v>
      </c>
      <c r="DF274" s="399">
        <v>0</v>
      </c>
      <c r="DG274" s="399">
        <v>0</v>
      </c>
      <c r="DH274" s="399">
        <v>0</v>
      </c>
      <c r="DI274" s="399">
        <v>-22.261728792456779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-3.4279309119513073</v>
      </c>
      <c r="DP274" s="399">
        <v>-0.35700727647536912</v>
      </c>
      <c r="DQ274" s="399">
        <v>0</v>
      </c>
      <c r="DR274" s="399">
        <v>0</v>
      </c>
      <c r="DS274" s="399"/>
      <c r="DT274" s="399"/>
      <c r="DU274" s="399"/>
      <c r="DV274" s="399">
        <v>22520.484080520378</v>
      </c>
      <c r="DW274" s="399">
        <v>0</v>
      </c>
      <c r="DX274" s="399">
        <v>0</v>
      </c>
      <c r="DY274" s="399">
        <v>-14654.477879999999</v>
      </c>
      <c r="DZ274" s="399">
        <v>0</v>
      </c>
      <c r="EA274" s="399">
        <v>0</v>
      </c>
      <c r="EB274" s="399">
        <v>0</v>
      </c>
      <c r="EC274" s="399">
        <v>-14041.001977674232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221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274</v>
      </c>
      <c r="B275" s="399" t="s">
        <v>956</v>
      </c>
      <c r="C275" s="399" t="s">
        <v>2325</v>
      </c>
      <c r="D275" s="399" t="s">
        <v>533</v>
      </c>
      <c r="E275" s="399" t="s">
        <v>918</v>
      </c>
      <c r="F275" s="399" t="s">
        <v>1239</v>
      </c>
      <c r="G275" s="399" t="s">
        <v>1239</v>
      </c>
      <c r="H275" s="399" t="s">
        <v>1239</v>
      </c>
      <c r="I275" s="399" t="s">
        <v>2323</v>
      </c>
      <c r="J275" s="399" t="s">
        <v>2326</v>
      </c>
      <c r="K275" s="786">
        <v>44621</v>
      </c>
      <c r="L275" s="399">
        <v>0</v>
      </c>
      <c r="M275" s="399">
        <v>0</v>
      </c>
      <c r="N275" s="399">
        <v>341.32</v>
      </c>
      <c r="O275" s="399">
        <v>341.32</v>
      </c>
      <c r="P275" s="399">
        <v>341.32</v>
      </c>
      <c r="Q275" s="399">
        <v>341.32</v>
      </c>
      <c r="R275" s="399"/>
      <c r="S275" s="399">
        <v>77.900000000000006</v>
      </c>
      <c r="T275" s="399">
        <v>185.74</v>
      </c>
      <c r="U275" s="399"/>
      <c r="V275" s="399">
        <v>89985.604800000001</v>
      </c>
      <c r="W275" s="399">
        <v>89985.604800000001</v>
      </c>
      <c r="X275" s="399">
        <v>88647.630399999995</v>
      </c>
      <c r="Y275" s="399">
        <v>0</v>
      </c>
      <c r="Z275" s="399">
        <v>18513.297317598557</v>
      </c>
      <c r="AA275" s="399">
        <v>0</v>
      </c>
      <c r="AB275" s="399">
        <v>0</v>
      </c>
      <c r="AC275" s="399">
        <v>0</v>
      </c>
      <c r="AD275" s="399">
        <v>0</v>
      </c>
      <c r="AE275" s="399">
        <v>0</v>
      </c>
      <c r="AF275" s="399">
        <v>63398.240359157557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3288.6844899627554</v>
      </c>
      <c r="AM275" s="399"/>
      <c r="AN275" s="399">
        <v>353.56704749112384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4434.4887605524946</v>
      </c>
      <c r="BH275" s="399">
        <v>0</v>
      </c>
      <c r="BI275" s="399">
        <v>0</v>
      </c>
      <c r="BJ275" s="399">
        <v>0</v>
      </c>
      <c r="BK275" s="399">
        <v>0</v>
      </c>
      <c r="BL275" s="399">
        <v>0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67832.729119710057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88647.630399999995</v>
      </c>
      <c r="CJ275" s="399">
        <v>-1338.0043999999907</v>
      </c>
      <c r="CK275" s="399"/>
      <c r="CL275" s="399"/>
      <c r="CM275" s="399"/>
      <c r="CN275" s="399"/>
      <c r="CO275" s="399">
        <v>-1337.9744000000005</v>
      </c>
      <c r="CP275" s="399">
        <v>0</v>
      </c>
      <c r="CQ275" s="399">
        <v>31</v>
      </c>
      <c r="CR275" s="399">
        <v>-1339.6998755146487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0</v>
      </c>
      <c r="DA275" s="399">
        <v>0</v>
      </c>
      <c r="DB275" s="399">
        <v>0</v>
      </c>
      <c r="DC275" s="399">
        <v>0</v>
      </c>
      <c r="DD275" s="399">
        <v>0</v>
      </c>
      <c r="DE275" s="399">
        <v>0</v>
      </c>
      <c r="DF275" s="399">
        <v>0</v>
      </c>
      <c r="DG275" s="399">
        <v>0</v>
      </c>
      <c r="DH275" s="399">
        <v>0</v>
      </c>
      <c r="DI275" s="399">
        <v>-1145.0230969622316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-176.31425239108194</v>
      </c>
      <c r="DP275" s="399">
        <v>-18.362526161328049</v>
      </c>
      <c r="DQ275" s="399">
        <v>0</v>
      </c>
      <c r="DR275" s="399">
        <v>0</v>
      </c>
      <c r="DS275" s="399"/>
      <c r="DT275" s="399"/>
      <c r="DU275" s="399"/>
      <c r="DV275" s="399">
        <v>0</v>
      </c>
      <c r="DW275" s="399">
        <v>0</v>
      </c>
      <c r="DX275" s="399">
        <v>0</v>
      </c>
      <c r="DY275" s="399">
        <v>-1337.9743999999992</v>
      </c>
      <c r="DZ275" s="399">
        <v>0</v>
      </c>
      <c r="EA275" s="399">
        <v>0</v>
      </c>
      <c r="EB275" s="399">
        <v>0</v>
      </c>
      <c r="EC275" s="399">
        <v>0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221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275</v>
      </c>
      <c r="B276" s="399" t="s">
        <v>956</v>
      </c>
      <c r="C276" s="399" t="s">
        <v>2325</v>
      </c>
      <c r="D276" s="399" t="s">
        <v>533</v>
      </c>
      <c r="E276" s="399" t="s">
        <v>918</v>
      </c>
      <c r="F276" s="399" t="s">
        <v>1239</v>
      </c>
      <c r="G276" s="399" t="s">
        <v>1239</v>
      </c>
      <c r="H276" s="399" t="s">
        <v>1239</v>
      </c>
      <c r="I276" s="399" t="s">
        <v>1239</v>
      </c>
      <c r="J276" s="399" t="s">
        <v>2326</v>
      </c>
      <c r="K276" s="786">
        <v>44621</v>
      </c>
      <c r="L276" s="399">
        <v>1122</v>
      </c>
      <c r="M276" s="399">
        <v>1122</v>
      </c>
      <c r="N276" s="399">
        <v>0</v>
      </c>
      <c r="O276" s="399">
        <v>0</v>
      </c>
      <c r="P276" s="399">
        <v>0</v>
      </c>
      <c r="Q276" s="399">
        <v>0</v>
      </c>
      <c r="R276" s="399">
        <v>55.59</v>
      </c>
      <c r="S276" s="399"/>
      <c r="T276" s="399"/>
      <c r="U276" s="399">
        <v>62371.98</v>
      </c>
      <c r="V276" s="399"/>
      <c r="W276" s="399">
        <v>62371.98</v>
      </c>
      <c r="X276" s="399">
        <v>33110.22</v>
      </c>
      <c r="Y276" s="399">
        <v>0</v>
      </c>
      <c r="Z276" s="399">
        <v>0</v>
      </c>
      <c r="AA276" s="399">
        <v>0</v>
      </c>
      <c r="AB276" s="399">
        <v>0</v>
      </c>
      <c r="AC276" s="399">
        <v>0</v>
      </c>
      <c r="AD276" s="399">
        <v>18125.540668764446</v>
      </c>
      <c r="AE276" s="399">
        <v>44241.271359224469</v>
      </c>
      <c r="AF276" s="399"/>
      <c r="AG276" s="399"/>
      <c r="AH276" s="399"/>
      <c r="AI276" s="399">
        <v>0</v>
      </c>
      <c r="AJ276" s="399">
        <v>0</v>
      </c>
      <c r="AK276" s="399">
        <v>0</v>
      </c>
      <c r="AL276" s="399">
        <v>0</v>
      </c>
      <c r="AM276" s="399"/>
      <c r="AN276" s="399">
        <v>0</v>
      </c>
      <c r="AO276" s="399">
        <v>0</v>
      </c>
      <c r="AP276" s="399">
        <v>0</v>
      </c>
      <c r="AQ276" s="399">
        <v>0</v>
      </c>
      <c r="AR276" s="399">
        <v>0</v>
      </c>
      <c r="AS276" s="399"/>
      <c r="AT276" s="399"/>
      <c r="AU276" s="399">
        <v>0</v>
      </c>
      <c r="AV276" s="399">
        <v>0</v>
      </c>
      <c r="AW276" s="399">
        <v>0</v>
      </c>
      <c r="AX276" s="399"/>
      <c r="AY276" s="399"/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/>
      <c r="BG276" s="399">
        <v>0</v>
      </c>
      <c r="BH276" s="399">
        <v>0</v>
      </c>
      <c r="BI276" s="399">
        <v>75.319999999999993</v>
      </c>
      <c r="BJ276" s="399">
        <v>339.14</v>
      </c>
      <c r="BK276" s="399">
        <v>60879.32</v>
      </c>
      <c r="BL276" s="399">
        <v>5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>
        <v>0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33110.22</v>
      </c>
      <c r="CJ276" s="399">
        <v>-29261.790000000008</v>
      </c>
      <c r="CK276" s="399"/>
      <c r="CL276" s="399"/>
      <c r="CM276" s="399"/>
      <c r="CN276" s="399"/>
      <c r="CO276" s="399">
        <v>-29261.760000000002</v>
      </c>
      <c r="CP276" s="399">
        <v>0</v>
      </c>
      <c r="CQ276" s="399">
        <v>31</v>
      </c>
      <c r="CR276" s="399">
        <v>-1668.5759179371016</v>
      </c>
      <c r="CS276" s="399">
        <v>0</v>
      </c>
      <c r="CT276" s="399">
        <v>0</v>
      </c>
      <c r="CU276" s="399">
        <v>0</v>
      </c>
      <c r="CV276" s="399">
        <v>0</v>
      </c>
      <c r="CW276" s="399"/>
      <c r="CX276" s="399"/>
      <c r="CY276" s="399"/>
      <c r="CZ276" s="399">
        <v>-1668.5759179371016</v>
      </c>
      <c r="DA276" s="399">
        <v>0</v>
      </c>
      <c r="DB276" s="399">
        <v>0</v>
      </c>
      <c r="DC276" s="399"/>
      <c r="DD276" s="399"/>
      <c r="DE276" s="399">
        <v>0</v>
      </c>
      <c r="DF276" s="399">
        <v>0</v>
      </c>
      <c r="DG276" s="399">
        <v>0</v>
      </c>
      <c r="DH276" s="399">
        <v>0</v>
      </c>
      <c r="DI276" s="399">
        <v>0</v>
      </c>
      <c r="DJ276" s="399"/>
      <c r="DK276" s="399">
        <v>0</v>
      </c>
      <c r="DL276" s="399">
        <v>0</v>
      </c>
      <c r="DM276" s="399"/>
      <c r="DN276" s="399">
        <v>0</v>
      </c>
      <c r="DO276" s="399">
        <v>0</v>
      </c>
      <c r="DP276" s="399">
        <v>0</v>
      </c>
      <c r="DQ276" s="399">
        <v>0</v>
      </c>
      <c r="DR276" s="399">
        <v>0</v>
      </c>
      <c r="DS276" s="399"/>
      <c r="DT276" s="399"/>
      <c r="DU276" s="399">
        <v>44241.271359224469</v>
      </c>
      <c r="DV276" s="399"/>
      <c r="DW276" s="399">
        <v>0</v>
      </c>
      <c r="DX276" s="399">
        <v>0</v>
      </c>
      <c r="DY276" s="399">
        <v>-29261.760000000002</v>
      </c>
      <c r="DZ276" s="399"/>
      <c r="EA276" s="399">
        <v>0</v>
      </c>
      <c r="EB276" s="399"/>
      <c r="EC276" s="399">
        <v>-27583.41145903731</v>
      </c>
      <c r="ED276" s="399"/>
      <c r="EE276" s="399">
        <v>0</v>
      </c>
      <c r="EF276" s="399">
        <v>0</v>
      </c>
      <c r="EG276" s="399"/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/>
      <c r="EN276" s="399"/>
      <c r="EO276" s="399">
        <v>0</v>
      </c>
      <c r="EP276" s="399">
        <v>0</v>
      </c>
      <c r="EQ276" s="399"/>
      <c r="ER276" s="399">
        <v>0</v>
      </c>
      <c r="ES276" s="399"/>
      <c r="ET276" s="399">
        <v>0</v>
      </c>
      <c r="EU276" s="399"/>
      <c r="EV276" s="399">
        <v>221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276</v>
      </c>
      <c r="B277" s="399" t="s">
        <v>956</v>
      </c>
      <c r="C277" s="399" t="s">
        <v>2335</v>
      </c>
      <c r="D277" s="399" t="s">
        <v>1824</v>
      </c>
      <c r="E277" s="399" t="s">
        <v>918</v>
      </c>
      <c r="F277" s="399" t="s">
        <v>1239</v>
      </c>
      <c r="G277" s="399" t="s">
        <v>1239</v>
      </c>
      <c r="H277" s="399" t="s">
        <v>1239</v>
      </c>
      <c r="I277" s="399" t="s">
        <v>2323</v>
      </c>
      <c r="J277" s="399" t="s">
        <v>2326</v>
      </c>
      <c r="K277" s="786">
        <v>44621</v>
      </c>
      <c r="L277" s="399">
        <v>0</v>
      </c>
      <c r="M277" s="399">
        <v>0</v>
      </c>
      <c r="N277" s="399">
        <v>0.12</v>
      </c>
      <c r="O277" s="399">
        <v>0.12</v>
      </c>
      <c r="P277" s="399">
        <v>0.12</v>
      </c>
      <c r="Q277" s="399">
        <v>0.12</v>
      </c>
      <c r="R277" s="399"/>
      <c r="S277" s="399">
        <v>603.13</v>
      </c>
      <c r="T277" s="399">
        <v>185.74</v>
      </c>
      <c r="U277" s="399"/>
      <c r="V277" s="399">
        <v>94.664400000000001</v>
      </c>
      <c r="W277" s="399">
        <v>94.664400000000001</v>
      </c>
      <c r="X277" s="399">
        <v>62.815200000000004</v>
      </c>
      <c r="Y277" s="399">
        <v>0</v>
      </c>
      <c r="Z277" s="399">
        <v>7.4814199305732236</v>
      </c>
      <c r="AA277" s="399">
        <v>0</v>
      </c>
      <c r="AB277" s="399">
        <v>0</v>
      </c>
      <c r="AC277" s="399">
        <v>0</v>
      </c>
      <c r="AD277" s="399">
        <v>10.789536181223232</v>
      </c>
      <c r="AE277" s="399">
        <v>48.62596660276656</v>
      </c>
      <c r="AF277" s="399">
        <v>22.289314552616041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1.1562233059754208</v>
      </c>
      <c r="AM277" s="399"/>
      <c r="AN277" s="399">
        <v>0.28450408179206038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4.038059886689112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26.327374439305153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62.815200000000004</v>
      </c>
      <c r="CJ277" s="399">
        <v>-31.879200000000012</v>
      </c>
      <c r="CK277" s="399"/>
      <c r="CL277" s="399"/>
      <c r="CM277" s="399"/>
      <c r="CN277" s="399"/>
      <c r="CO277" s="399">
        <v>-31.849199999999996</v>
      </c>
      <c r="CP277" s="399">
        <v>0</v>
      </c>
      <c r="CQ277" s="399">
        <v>31</v>
      </c>
      <c r="CR277" s="399">
        <v>-1.5327278010033396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-0.99324817762397899</v>
      </c>
      <c r="DA277" s="399">
        <v>0</v>
      </c>
      <c r="DB277" s="399">
        <v>0</v>
      </c>
      <c r="DC277" s="399">
        <v>0</v>
      </c>
      <c r="DD277" s="399">
        <v>0</v>
      </c>
      <c r="DE277" s="399">
        <v>0</v>
      </c>
      <c r="DF277" s="399">
        <v>0</v>
      </c>
      <c r="DG277" s="399">
        <v>0</v>
      </c>
      <c r="DH277" s="399">
        <v>0</v>
      </c>
      <c r="DI277" s="399">
        <v>-0.46271598579237594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-6.1987900758613046E-2</v>
      </c>
      <c r="DP277" s="399">
        <v>-1.4775736828366803E-2</v>
      </c>
      <c r="DQ277" s="399">
        <v>0</v>
      </c>
      <c r="DR277" s="399">
        <v>0</v>
      </c>
      <c r="DS277" s="399"/>
      <c r="DT277" s="399"/>
      <c r="DU277" s="399"/>
      <c r="DV277" s="399">
        <v>48.62596660276656</v>
      </c>
      <c r="DW277" s="399">
        <v>0</v>
      </c>
      <c r="DX277" s="399">
        <v>0</v>
      </c>
      <c r="DY277" s="399">
        <v>-31.849199999999989</v>
      </c>
      <c r="DZ277" s="399">
        <v>0</v>
      </c>
      <c r="EA277" s="399">
        <v>0</v>
      </c>
      <c r="EB277" s="399">
        <v>0</v>
      </c>
      <c r="EC277" s="399">
        <v>-30.317167730259118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221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277</v>
      </c>
      <c r="B278" s="399" t="s">
        <v>956</v>
      </c>
      <c r="C278" s="399" t="s">
        <v>2335</v>
      </c>
      <c r="D278" s="399" t="s">
        <v>1824</v>
      </c>
      <c r="E278" s="399" t="s">
        <v>918</v>
      </c>
      <c r="F278" s="399" t="s">
        <v>1239</v>
      </c>
      <c r="G278" s="399" t="s">
        <v>1239</v>
      </c>
      <c r="H278" s="399" t="s">
        <v>1239</v>
      </c>
      <c r="I278" s="399" t="s">
        <v>1239</v>
      </c>
      <c r="J278" s="399" t="s">
        <v>2326</v>
      </c>
      <c r="K278" s="786">
        <v>44621</v>
      </c>
      <c r="L278" s="399">
        <v>0</v>
      </c>
      <c r="M278" s="399">
        <v>0</v>
      </c>
      <c r="N278" s="399">
        <v>0</v>
      </c>
      <c r="O278" s="399">
        <v>0</v>
      </c>
      <c r="P278" s="399">
        <v>0</v>
      </c>
      <c r="Q278" s="399">
        <v>0</v>
      </c>
      <c r="R278" s="399"/>
      <c r="S278" s="399"/>
      <c r="T278" s="399"/>
      <c r="U278" s="399"/>
      <c r="V278" s="399"/>
      <c r="W278" s="399"/>
      <c r="X278" s="399"/>
      <c r="Y278" s="399"/>
      <c r="Z278" s="399"/>
      <c r="AA278" s="399">
        <v>0</v>
      </c>
      <c r="AB278" s="399"/>
      <c r="AC278" s="399"/>
      <c r="AD278" s="399"/>
      <c r="AE278" s="399"/>
      <c r="AF278" s="399"/>
      <c r="AG278" s="399"/>
      <c r="AH278" s="399"/>
      <c r="AI278" s="399"/>
      <c r="AJ278" s="399"/>
      <c r="AK278" s="399"/>
      <c r="AL278" s="399"/>
      <c r="AM278" s="399"/>
      <c r="AN278" s="399"/>
      <c r="AO278" s="399"/>
      <c r="AP278" s="399"/>
      <c r="AQ278" s="399"/>
      <c r="AR278" s="399"/>
      <c r="AS278" s="399"/>
      <c r="AT278" s="399"/>
      <c r="AU278" s="399"/>
      <c r="AV278" s="399"/>
      <c r="AW278" s="399"/>
      <c r="AX278" s="399"/>
      <c r="AY278" s="399"/>
      <c r="AZ278" s="399">
        <v>0</v>
      </c>
      <c r="BA278" s="399"/>
      <c r="BB278" s="399"/>
      <c r="BC278" s="399"/>
      <c r="BD278" s="399"/>
      <c r="BE278" s="399"/>
      <c r="BF278" s="399"/>
      <c r="BG278" s="399"/>
      <c r="BH278" s="399"/>
      <c r="BI278" s="399">
        <v>0.03</v>
      </c>
      <c r="BJ278" s="399">
        <v>0.14000000000000001</v>
      </c>
      <c r="BK278" s="399">
        <v>26.67</v>
      </c>
      <c r="BL278" s="399">
        <v>1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/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/>
      <c r="CJ278" s="399">
        <v>-0.03</v>
      </c>
      <c r="CK278" s="399"/>
      <c r="CL278" s="399"/>
      <c r="CM278" s="399"/>
      <c r="CN278" s="399"/>
      <c r="CO278" s="399">
        <v>0</v>
      </c>
      <c r="CP278" s="399">
        <v>0</v>
      </c>
      <c r="CQ278" s="399">
        <v>31</v>
      </c>
      <c r="CR278" s="399"/>
      <c r="CS278" s="399"/>
      <c r="CT278" s="399"/>
      <c r="CU278" s="399"/>
      <c r="CV278" s="399"/>
      <c r="CW278" s="399"/>
      <c r="CX278" s="399"/>
      <c r="CY278" s="399"/>
      <c r="CZ278" s="399"/>
      <c r="DA278" s="399"/>
      <c r="DB278" s="399"/>
      <c r="DC278" s="399"/>
      <c r="DD278" s="399"/>
      <c r="DE278" s="399"/>
      <c r="DF278" s="399"/>
      <c r="DG278" s="399"/>
      <c r="DH278" s="399"/>
      <c r="DI278" s="399"/>
      <c r="DJ278" s="399"/>
      <c r="DK278" s="399">
        <v>0</v>
      </c>
      <c r="DL278" s="399"/>
      <c r="DM278" s="399"/>
      <c r="DN278" s="399"/>
      <c r="DO278" s="399"/>
      <c r="DP278" s="399"/>
      <c r="DQ278" s="399"/>
      <c r="DR278" s="399"/>
      <c r="DS278" s="399"/>
      <c r="DT278" s="399"/>
      <c r="DU278" s="399"/>
      <c r="DV278" s="399"/>
      <c r="DW278" s="399"/>
      <c r="DX278" s="399"/>
      <c r="DY278" s="399"/>
      <c r="DZ278" s="399"/>
      <c r="EA278" s="399"/>
      <c r="EB278" s="399"/>
      <c r="EC278" s="399"/>
      <c r="ED278" s="399"/>
      <c r="EE278" s="399"/>
      <c r="EF278" s="399"/>
      <c r="EG278" s="399"/>
      <c r="EH278" s="399"/>
      <c r="EI278" s="399"/>
      <c r="EJ278" s="399"/>
      <c r="EK278" s="399"/>
      <c r="EL278" s="399"/>
      <c r="EM278" s="399"/>
      <c r="EN278" s="399"/>
      <c r="EO278" s="399"/>
      <c r="EP278" s="399"/>
      <c r="EQ278" s="399"/>
      <c r="ER278" s="399"/>
      <c r="ES278" s="399"/>
      <c r="ET278" s="399"/>
      <c r="EU278" s="399"/>
      <c r="EV278" s="399">
        <v>221</v>
      </c>
      <c r="EW278" s="399"/>
      <c r="EX278" s="399"/>
      <c r="EY278" s="399"/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278</v>
      </c>
      <c r="B279" s="399" t="s">
        <v>956</v>
      </c>
      <c r="C279" s="399" t="s">
        <v>2328</v>
      </c>
      <c r="D279" s="399" t="s">
        <v>2337</v>
      </c>
      <c r="E279" s="399" t="s">
        <v>894</v>
      </c>
      <c r="F279" s="399" t="s">
        <v>1239</v>
      </c>
      <c r="G279" s="399" t="s">
        <v>1239</v>
      </c>
      <c r="H279" s="399" t="s">
        <v>1239</v>
      </c>
      <c r="I279" s="399" t="s">
        <v>1239</v>
      </c>
      <c r="J279" s="399" t="s">
        <v>2326</v>
      </c>
      <c r="K279" s="786">
        <v>44621</v>
      </c>
      <c r="L279" s="399">
        <v>0</v>
      </c>
      <c r="M279" s="399">
        <v>0</v>
      </c>
      <c r="N279" s="399">
        <v>1703.5640000000001</v>
      </c>
      <c r="O279" s="399">
        <v>1703.5640000000001</v>
      </c>
      <c r="P279" s="399">
        <v>1703.5640000000001</v>
      </c>
      <c r="Q279" s="399">
        <v>1703.5640000000001</v>
      </c>
      <c r="R279" s="399"/>
      <c r="S279" s="399">
        <v>825.6</v>
      </c>
      <c r="T279" s="399">
        <v>185.74</v>
      </c>
      <c r="U279" s="399"/>
      <c r="V279" s="399">
        <v>1722882.4157600002</v>
      </c>
      <c r="W279" s="399">
        <v>1722882.4157600002</v>
      </c>
      <c r="X279" s="399">
        <v>1071030.6868</v>
      </c>
      <c r="Y279" s="399">
        <v>0</v>
      </c>
      <c r="Z279" s="399">
        <v>106208.98052172536</v>
      </c>
      <c r="AA279" s="399">
        <v>0</v>
      </c>
      <c r="AB279" s="399">
        <v>0</v>
      </c>
      <c r="AC279" s="399">
        <v>0</v>
      </c>
      <c r="AD279" s="399">
        <v>222028.40282805797</v>
      </c>
      <c r="AE279" s="399">
        <v>1000451.6599660192</v>
      </c>
      <c r="AF279" s="399">
        <v>316427.28213760664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16414.170000172599</v>
      </c>
      <c r="AM279" s="399"/>
      <c r="AN279" s="399">
        <v>4038.924263283413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57325.778773397091</v>
      </c>
      <c r="BH279" s="399">
        <v>0</v>
      </c>
      <c r="BI279" s="399">
        <v>444.23</v>
      </c>
      <c r="BJ279" s="399">
        <v>2138.23</v>
      </c>
      <c r="BK279" s="399">
        <v>239234.79</v>
      </c>
      <c r="BL279" s="399">
        <v>5664</v>
      </c>
      <c r="BM279" s="399"/>
      <c r="BN279" s="399"/>
      <c r="BO279" s="399"/>
      <c r="BP279" s="399"/>
      <c r="BQ279" s="399"/>
      <c r="BR279" s="399">
        <v>128516.86816</v>
      </c>
      <c r="BS279" s="399"/>
      <c r="BT279" s="399"/>
      <c r="BU279" s="399"/>
      <c r="BV279" s="399">
        <v>373753.06091100373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942511.60560000001</v>
      </c>
      <c r="CJ279" s="399">
        <v>-573626.31311999995</v>
      </c>
      <c r="CK279" s="399"/>
      <c r="CL279" s="399"/>
      <c r="CM279" s="399"/>
      <c r="CN279" s="399"/>
      <c r="CO279" s="399">
        <v>-651851.72896000009</v>
      </c>
      <c r="CP279" s="399">
        <v>0</v>
      </c>
      <c r="CQ279" s="399">
        <v>31</v>
      </c>
      <c r="CR279" s="399">
        <v>-28097.833727736725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-20439.183185048256</v>
      </c>
      <c r="DA279" s="399">
        <v>0</v>
      </c>
      <c r="DB279" s="399">
        <v>0</v>
      </c>
      <c r="DC279" s="399">
        <v>0</v>
      </c>
      <c r="DD279" s="399">
        <v>0</v>
      </c>
      <c r="DE279" s="399">
        <v>0</v>
      </c>
      <c r="DF279" s="399">
        <v>0</v>
      </c>
      <c r="DG279" s="399">
        <v>0</v>
      </c>
      <c r="DH279" s="399">
        <v>0</v>
      </c>
      <c r="DI279" s="399">
        <v>-6568.8857968366792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-880.00296806621554</v>
      </c>
      <c r="DP279" s="399">
        <v>-209.76177778566534</v>
      </c>
      <c r="DQ279" s="399">
        <v>0</v>
      </c>
      <c r="DR279" s="399">
        <v>0</v>
      </c>
      <c r="DS279" s="399"/>
      <c r="DT279" s="399"/>
      <c r="DU279" s="399"/>
      <c r="DV279" s="399">
        <v>1000451.6599660192</v>
      </c>
      <c r="DW279" s="399">
        <v>0</v>
      </c>
      <c r="DX279" s="399">
        <v>0</v>
      </c>
      <c r="DY279" s="399">
        <v>-651851.72896000009</v>
      </c>
      <c r="DZ279" s="399">
        <v>0</v>
      </c>
      <c r="EA279" s="399">
        <v>0</v>
      </c>
      <c r="EB279" s="399">
        <v>0</v>
      </c>
      <c r="EC279" s="399">
        <v>-623758.516287887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221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279</v>
      </c>
      <c r="B280" s="399" t="s">
        <v>2329</v>
      </c>
      <c r="C280" s="399" t="s">
        <v>2328</v>
      </c>
      <c r="D280" s="399" t="s">
        <v>2337</v>
      </c>
      <c r="E280" s="399" t="s">
        <v>894</v>
      </c>
      <c r="F280" s="399" t="s">
        <v>1239</v>
      </c>
      <c r="G280" s="399" t="s">
        <v>1239</v>
      </c>
      <c r="H280" s="399" t="s">
        <v>1239</v>
      </c>
      <c r="I280" s="399" t="s">
        <v>1239</v>
      </c>
      <c r="J280" s="399" t="s">
        <v>2326</v>
      </c>
      <c r="K280" s="786">
        <v>44621</v>
      </c>
      <c r="L280" s="399">
        <v>0</v>
      </c>
      <c r="M280" s="399">
        <v>0</v>
      </c>
      <c r="N280" s="399">
        <v>-14.714</v>
      </c>
      <c r="O280" s="399">
        <v>-14.714</v>
      </c>
      <c r="P280" s="399">
        <v>-14.714</v>
      </c>
      <c r="Q280" s="399">
        <v>-14.714</v>
      </c>
      <c r="R280" s="399"/>
      <c r="S280" s="399">
        <v>825.6</v>
      </c>
      <c r="T280" s="399">
        <v>185.74</v>
      </c>
      <c r="U280" s="399"/>
      <c r="V280" s="399">
        <v>-14880.856760000002</v>
      </c>
      <c r="W280" s="399">
        <v>-14880.856760000002</v>
      </c>
      <c r="X280" s="399">
        <v>-9250.6918000000005</v>
      </c>
      <c r="Y280" s="399">
        <v>0</v>
      </c>
      <c r="Z280" s="399">
        <v>-917.34677382045345</v>
      </c>
      <c r="AA280" s="399">
        <v>0</v>
      </c>
      <c r="AB280" s="399">
        <v>0</v>
      </c>
      <c r="AC280" s="399">
        <v>0</v>
      </c>
      <c r="AD280" s="399">
        <v>-1917.7007257796272</v>
      </c>
      <c r="AE280" s="399">
        <v>-8641.0875815290801</v>
      </c>
      <c r="AF280" s="399">
        <v>-2733.0414527266039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-141.77224770101952</v>
      </c>
      <c r="AM280" s="399"/>
      <c r="AN280" s="399">
        <v>-34.884942162403135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-495.13344310619664</v>
      </c>
      <c r="BH280" s="399">
        <v>0</v>
      </c>
      <c r="BI280" s="399">
        <v>-4.09</v>
      </c>
      <c r="BJ280" s="399">
        <v>-18.38</v>
      </c>
      <c r="BK280" s="399">
        <v>-3840.39</v>
      </c>
      <c r="BL280" s="399">
        <v>0</v>
      </c>
      <c r="BM280" s="399"/>
      <c r="BN280" s="399"/>
      <c r="BO280" s="399"/>
      <c r="BP280" s="399"/>
      <c r="BQ280" s="399"/>
      <c r="BR280" s="399">
        <v>-1110.0241599999999</v>
      </c>
      <c r="BS280" s="399"/>
      <c r="BT280" s="399"/>
      <c r="BU280" s="399"/>
      <c r="BV280" s="399">
        <v>-3228.1748958328008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-8138.4546000000009</v>
      </c>
      <c r="CJ280" s="399">
        <v>4956.6811199999993</v>
      </c>
      <c r="CK280" s="399"/>
      <c r="CL280" s="399"/>
      <c r="CM280" s="399"/>
      <c r="CN280" s="399"/>
      <c r="CO280" s="399">
        <v>5630.164960000001</v>
      </c>
      <c r="CP280" s="399">
        <v>0</v>
      </c>
      <c r="CQ280" s="399">
        <v>31</v>
      </c>
      <c r="CR280" s="399">
        <v>242.68623043802381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176.53703728465757</v>
      </c>
      <c r="DA280" s="399">
        <v>0</v>
      </c>
      <c r="DB280" s="399">
        <v>0</v>
      </c>
      <c r="DC280" s="399">
        <v>0</v>
      </c>
      <c r="DD280" s="399">
        <v>0</v>
      </c>
      <c r="DE280" s="399">
        <v>0</v>
      </c>
      <c r="DF280" s="399">
        <v>0</v>
      </c>
      <c r="DG280" s="399">
        <v>0</v>
      </c>
      <c r="DH280" s="399">
        <v>0</v>
      </c>
      <c r="DI280" s="399">
        <v>56.73669179124181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7.6007497646852755</v>
      </c>
      <c r="DP280" s="399">
        <v>1.8117515974382385</v>
      </c>
      <c r="DQ280" s="399">
        <v>0</v>
      </c>
      <c r="DR280" s="399">
        <v>0</v>
      </c>
      <c r="DS280" s="399"/>
      <c r="DT280" s="399"/>
      <c r="DU280" s="399"/>
      <c r="DV280" s="399">
        <v>-8641.0875815290801</v>
      </c>
      <c r="DW280" s="399">
        <v>0</v>
      </c>
      <c r="DX280" s="399">
        <v>0</v>
      </c>
      <c r="DY280" s="399">
        <v>5630.1649600000019</v>
      </c>
      <c r="DZ280" s="399">
        <v>0</v>
      </c>
      <c r="EA280" s="399">
        <v>0</v>
      </c>
      <c r="EB280" s="399">
        <v>0</v>
      </c>
      <c r="EC280" s="399">
        <v>5387.5186424812728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221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280</v>
      </c>
      <c r="B281" s="399" t="s">
        <v>2330</v>
      </c>
      <c r="C281" s="399" t="s">
        <v>2328</v>
      </c>
      <c r="D281" s="399" t="s">
        <v>2337</v>
      </c>
      <c r="E281" s="399" t="s">
        <v>894</v>
      </c>
      <c r="F281" s="399" t="s">
        <v>1239</v>
      </c>
      <c r="G281" s="399" t="s">
        <v>1239</v>
      </c>
      <c r="H281" s="399" t="s">
        <v>1239</v>
      </c>
      <c r="I281" s="399" t="s">
        <v>1239</v>
      </c>
      <c r="J281" s="399" t="s">
        <v>2326</v>
      </c>
      <c r="K281" s="786">
        <v>44621</v>
      </c>
      <c r="L281" s="399">
        <v>0</v>
      </c>
      <c r="M281" s="399">
        <v>0</v>
      </c>
      <c r="N281" s="399">
        <v>29.56</v>
      </c>
      <c r="O281" s="399">
        <v>29.56</v>
      </c>
      <c r="P281" s="399">
        <v>29.56</v>
      </c>
      <c r="Q281" s="399">
        <v>29.56</v>
      </c>
      <c r="R281" s="399"/>
      <c r="S281" s="399">
        <v>825.6</v>
      </c>
      <c r="T281" s="399">
        <v>185.74</v>
      </c>
      <c r="U281" s="399"/>
      <c r="V281" s="399">
        <v>29895.2104</v>
      </c>
      <c r="W281" s="399">
        <v>29895.2104</v>
      </c>
      <c r="X281" s="399">
        <v>18584.371999999999</v>
      </c>
      <c r="Y281" s="399">
        <v>0</v>
      </c>
      <c r="Z281" s="399">
        <v>1842.9231095645373</v>
      </c>
      <c r="AA281" s="399">
        <v>0</v>
      </c>
      <c r="AB281" s="399">
        <v>0</v>
      </c>
      <c r="AC281" s="399">
        <v>0</v>
      </c>
      <c r="AD281" s="399">
        <v>3852.6052367844077</v>
      </c>
      <c r="AE281" s="399">
        <v>17359.694774364525</v>
      </c>
      <c r="AF281" s="399">
        <v>5490.6011514610846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284.81634103861199</v>
      </c>
      <c r="AM281" s="399"/>
      <c r="AN281" s="399">
        <v>70.082838814777531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994.70875208775124</v>
      </c>
      <c r="BH281" s="399">
        <v>0</v>
      </c>
      <c r="BI281" s="399">
        <v>6.39</v>
      </c>
      <c r="BJ281" s="399">
        <v>32.14</v>
      </c>
      <c r="BK281" s="399">
        <v>13049.61</v>
      </c>
      <c r="BL281" s="399">
        <v>140</v>
      </c>
      <c r="BM281" s="399"/>
      <c r="BN281" s="399"/>
      <c r="BO281" s="399"/>
      <c r="BP281" s="399"/>
      <c r="BQ281" s="399"/>
      <c r="BR281" s="399">
        <v>2230.0063999999998</v>
      </c>
      <c r="BS281" s="399"/>
      <c r="BT281" s="399"/>
      <c r="BU281" s="399"/>
      <c r="BV281" s="399">
        <v>6485.3099035488358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16354.365599999997</v>
      </c>
      <c r="CJ281" s="399">
        <v>-9953.4731999999931</v>
      </c>
      <c r="CK281" s="399"/>
      <c r="CL281" s="399"/>
      <c r="CM281" s="399"/>
      <c r="CN281" s="399"/>
      <c r="CO281" s="399">
        <v>-11310.838400000001</v>
      </c>
      <c r="CP281" s="399">
        <v>0</v>
      </c>
      <c r="CQ281" s="399">
        <v>31</v>
      </c>
      <c r="CR281" s="399">
        <v>-487.54961069375895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-354.65779680130981</v>
      </c>
      <c r="DA281" s="399">
        <v>0</v>
      </c>
      <c r="DB281" s="399">
        <v>0</v>
      </c>
      <c r="DC281" s="399">
        <v>0</v>
      </c>
      <c r="DD281" s="399">
        <v>0</v>
      </c>
      <c r="DE281" s="399">
        <v>0</v>
      </c>
      <c r="DF281" s="399">
        <v>0</v>
      </c>
      <c r="DG281" s="399">
        <v>0</v>
      </c>
      <c r="DH281" s="399">
        <v>0</v>
      </c>
      <c r="DI281" s="399">
        <v>-113.98237116685527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-15.269686220205017</v>
      </c>
      <c r="DP281" s="399">
        <v>-3.6397565053876804</v>
      </c>
      <c r="DQ281" s="399">
        <v>0</v>
      </c>
      <c r="DR281" s="399">
        <v>0</v>
      </c>
      <c r="DS281" s="399"/>
      <c r="DT281" s="399"/>
      <c r="DU281" s="399"/>
      <c r="DV281" s="399">
        <v>17359.694774364525</v>
      </c>
      <c r="DW281" s="399">
        <v>0</v>
      </c>
      <c r="DX281" s="399">
        <v>0</v>
      </c>
      <c r="DY281" s="399">
        <v>-11310.838400000002</v>
      </c>
      <c r="DZ281" s="399">
        <v>0</v>
      </c>
      <c r="EA281" s="399">
        <v>0</v>
      </c>
      <c r="EB281" s="399">
        <v>0</v>
      </c>
      <c r="EC281" s="399">
        <v>-10823.36897320555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221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281</v>
      </c>
      <c r="B282" s="399" t="s">
        <v>2330</v>
      </c>
      <c r="C282" s="399" t="s">
        <v>2328</v>
      </c>
      <c r="D282" s="399" t="s">
        <v>2337</v>
      </c>
      <c r="E282" s="399" t="s">
        <v>894</v>
      </c>
      <c r="F282" s="399" t="s">
        <v>1239</v>
      </c>
      <c r="G282" s="399" t="s">
        <v>1239</v>
      </c>
      <c r="H282" s="399" t="s">
        <v>1239</v>
      </c>
      <c r="I282" s="399" t="s">
        <v>1239</v>
      </c>
      <c r="J282" s="399" t="s">
        <v>2326</v>
      </c>
      <c r="K282" s="786">
        <v>44621</v>
      </c>
      <c r="L282" s="399">
        <v>0</v>
      </c>
      <c r="M282" s="399">
        <v>0</v>
      </c>
      <c r="N282" s="399">
        <v>0</v>
      </c>
      <c r="O282" s="399">
        <v>0</v>
      </c>
      <c r="P282" s="399">
        <v>0</v>
      </c>
      <c r="Q282" s="399">
        <v>0</v>
      </c>
      <c r="R282" s="399"/>
      <c r="S282" s="399"/>
      <c r="T282" s="399"/>
      <c r="U282" s="399"/>
      <c r="V282" s="399"/>
      <c r="W282" s="399"/>
      <c r="X282" s="399"/>
      <c r="Y282" s="399"/>
      <c r="Z282" s="399"/>
      <c r="AA282" s="399">
        <v>0</v>
      </c>
      <c r="AB282" s="399"/>
      <c r="AC282" s="399"/>
      <c r="AD282" s="399"/>
      <c r="AE282" s="399"/>
      <c r="AF282" s="399"/>
      <c r="AG282" s="399"/>
      <c r="AH282" s="399"/>
      <c r="AI282" s="399"/>
      <c r="AJ282" s="399"/>
      <c r="AK282" s="399"/>
      <c r="AL282" s="399"/>
      <c r="AM282" s="399"/>
      <c r="AN282" s="399"/>
      <c r="AO282" s="399"/>
      <c r="AP282" s="399"/>
      <c r="AQ282" s="399"/>
      <c r="AR282" s="399"/>
      <c r="AS282" s="399"/>
      <c r="AT282" s="399"/>
      <c r="AU282" s="399"/>
      <c r="AV282" s="399"/>
      <c r="AW282" s="399"/>
      <c r="AX282" s="399"/>
      <c r="AY282" s="399"/>
      <c r="AZ282" s="399">
        <v>0</v>
      </c>
      <c r="BA282" s="399"/>
      <c r="BB282" s="399"/>
      <c r="BC282" s="399"/>
      <c r="BD282" s="399"/>
      <c r="BE282" s="399"/>
      <c r="BF282" s="399"/>
      <c r="BG282" s="399"/>
      <c r="BH282" s="399"/>
      <c r="BI282" s="399">
        <v>0</v>
      </c>
      <c r="BJ282" s="399">
        <v>0</v>
      </c>
      <c r="BK282" s="399">
        <v>-21.51</v>
      </c>
      <c r="BL282" s="399">
        <v>2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/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/>
      <c r="CJ282" s="399">
        <v>-0.03</v>
      </c>
      <c r="CK282" s="399"/>
      <c r="CL282" s="399"/>
      <c r="CM282" s="399"/>
      <c r="CN282" s="399"/>
      <c r="CO282" s="399">
        <v>0</v>
      </c>
      <c r="CP282" s="399">
        <v>0</v>
      </c>
      <c r="CQ282" s="399">
        <v>31</v>
      </c>
      <c r="CR282" s="399"/>
      <c r="CS282" s="399"/>
      <c r="CT282" s="399"/>
      <c r="CU282" s="399"/>
      <c r="CV282" s="399"/>
      <c r="CW282" s="399"/>
      <c r="CX282" s="399"/>
      <c r="CY282" s="399"/>
      <c r="CZ282" s="399"/>
      <c r="DA282" s="399"/>
      <c r="DB282" s="399"/>
      <c r="DC282" s="399"/>
      <c r="DD282" s="399"/>
      <c r="DE282" s="399"/>
      <c r="DF282" s="399"/>
      <c r="DG282" s="399"/>
      <c r="DH282" s="399"/>
      <c r="DI282" s="399"/>
      <c r="DJ282" s="399"/>
      <c r="DK282" s="399">
        <v>0</v>
      </c>
      <c r="DL282" s="399"/>
      <c r="DM282" s="399"/>
      <c r="DN282" s="399"/>
      <c r="DO282" s="399"/>
      <c r="DP282" s="399"/>
      <c r="DQ282" s="399"/>
      <c r="DR282" s="399"/>
      <c r="DS282" s="399"/>
      <c r="DT282" s="399"/>
      <c r="DU282" s="399"/>
      <c r="DV282" s="399"/>
      <c r="DW282" s="399"/>
      <c r="DX282" s="399"/>
      <c r="DY282" s="399"/>
      <c r="DZ282" s="399"/>
      <c r="EA282" s="399"/>
      <c r="EB282" s="399"/>
      <c r="EC282" s="399"/>
      <c r="ED282" s="399"/>
      <c r="EE282" s="399"/>
      <c r="EF282" s="399"/>
      <c r="EG282" s="399"/>
      <c r="EH282" s="399"/>
      <c r="EI282" s="399"/>
      <c r="EJ282" s="399"/>
      <c r="EK282" s="399"/>
      <c r="EL282" s="399"/>
      <c r="EM282" s="399"/>
      <c r="EN282" s="399"/>
      <c r="EO282" s="399"/>
      <c r="EP282" s="399"/>
      <c r="EQ282" s="399"/>
      <c r="ER282" s="399"/>
      <c r="ES282" s="399"/>
      <c r="ET282" s="399"/>
      <c r="EU282" s="399"/>
      <c r="EV282" s="399">
        <v>221</v>
      </c>
      <c r="EW282" s="399"/>
      <c r="EX282" s="399"/>
      <c r="EY282" s="399"/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282</v>
      </c>
      <c r="B283" s="399" t="s">
        <v>956</v>
      </c>
      <c r="C283" s="399" t="s">
        <v>2328</v>
      </c>
      <c r="D283" s="399" t="s">
        <v>1824</v>
      </c>
      <c r="E283" s="399" t="s">
        <v>2338</v>
      </c>
      <c r="F283" s="399" t="s">
        <v>1239</v>
      </c>
      <c r="G283" s="399" t="s">
        <v>1239</v>
      </c>
      <c r="H283" s="399" t="s">
        <v>1239</v>
      </c>
      <c r="I283" s="399" t="s">
        <v>1239</v>
      </c>
      <c r="J283" s="399" t="s">
        <v>2326</v>
      </c>
      <c r="K283" s="786">
        <v>44621</v>
      </c>
      <c r="L283" s="399">
        <v>0</v>
      </c>
      <c r="M283" s="399">
        <v>0</v>
      </c>
      <c r="N283" s="399">
        <v>30.733000000000001</v>
      </c>
      <c r="O283" s="399">
        <v>30.733000000000001</v>
      </c>
      <c r="P283" s="399">
        <v>30.733000000000001</v>
      </c>
      <c r="Q283" s="399">
        <v>30.733000000000001</v>
      </c>
      <c r="R283" s="399"/>
      <c r="S283" s="399">
        <v>825.6</v>
      </c>
      <c r="T283" s="399">
        <v>185.74</v>
      </c>
      <c r="U283" s="399"/>
      <c r="V283" s="399">
        <v>31081.512220000004</v>
      </c>
      <c r="W283" s="399">
        <v>31081.512220000004</v>
      </c>
      <c r="X283" s="399">
        <v>19321.837099999997</v>
      </c>
      <c r="Y283" s="399">
        <v>0</v>
      </c>
      <c r="Z283" s="399">
        <v>1916.0539893858906</v>
      </c>
      <c r="AA283" s="399">
        <v>0</v>
      </c>
      <c r="AB283" s="399">
        <v>0</v>
      </c>
      <c r="AC283" s="399">
        <v>0</v>
      </c>
      <c r="AD283" s="399">
        <v>4005.4843282170236</v>
      </c>
      <c r="AE283" s="399">
        <v>18048.562229382442</v>
      </c>
      <c r="AF283" s="399">
        <v>5708.4792012129064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296.11842385452178</v>
      </c>
      <c r="AM283" s="399"/>
      <c r="AN283" s="399">
        <v>72.86386621429493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1034.1807874801373</v>
      </c>
      <c r="BH283" s="399">
        <v>0</v>
      </c>
      <c r="BI283" s="399">
        <v>8.8800000000000008</v>
      </c>
      <c r="BJ283" s="399">
        <v>43.04</v>
      </c>
      <c r="BK283" s="399">
        <v>5757.64</v>
      </c>
      <c r="BL283" s="399">
        <v>93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6742.6599886930435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19319.951000000001</v>
      </c>
      <c r="CJ283" s="399">
        <v>-11761.591219999998</v>
      </c>
      <c r="CK283" s="399"/>
      <c r="CL283" s="399"/>
      <c r="CM283" s="399"/>
      <c r="CN283" s="399"/>
      <c r="CO283" s="399">
        <v>-11759.675120000002</v>
      </c>
      <c r="CP283" s="399">
        <v>0</v>
      </c>
      <c r="CQ283" s="399">
        <v>31</v>
      </c>
      <c r="CR283" s="399">
        <v>-506.89655566479269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-368.73132845381133</v>
      </c>
      <c r="DA283" s="399">
        <v>0</v>
      </c>
      <c r="DB283" s="399">
        <v>0</v>
      </c>
      <c r="DC283" s="399">
        <v>0</v>
      </c>
      <c r="DD283" s="399">
        <v>0</v>
      </c>
      <c r="DE283" s="399">
        <v>0</v>
      </c>
      <c r="DF283" s="399">
        <v>0</v>
      </c>
      <c r="DG283" s="399">
        <v>0</v>
      </c>
      <c r="DH283" s="399">
        <v>0</v>
      </c>
      <c r="DI283" s="399">
        <v>-118.50541992797571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-15.8756179501205</v>
      </c>
      <c r="DP283" s="399">
        <v>-3.7841893328849636</v>
      </c>
      <c r="DQ283" s="399">
        <v>0</v>
      </c>
      <c r="DR283" s="399">
        <v>0</v>
      </c>
      <c r="DS283" s="399"/>
      <c r="DT283" s="399"/>
      <c r="DU283" s="399"/>
      <c r="DV283" s="399">
        <v>18048.562229382442</v>
      </c>
      <c r="DW283" s="399">
        <v>0</v>
      </c>
      <c r="DX283" s="399">
        <v>0</v>
      </c>
      <c r="DY283" s="399">
        <v>-11759.675120000004</v>
      </c>
      <c r="DZ283" s="399">
        <v>0</v>
      </c>
      <c r="EA283" s="399">
        <v>0</v>
      </c>
      <c r="EB283" s="399">
        <v>0</v>
      </c>
      <c r="EC283" s="399">
        <v>-11252.861930092226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221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283</v>
      </c>
      <c r="B284" s="399" t="s">
        <v>956</v>
      </c>
      <c r="C284" s="399" t="s">
        <v>2328</v>
      </c>
      <c r="D284" s="399" t="s">
        <v>2339</v>
      </c>
      <c r="E284" s="399" t="s">
        <v>2340</v>
      </c>
      <c r="F284" s="399" t="s">
        <v>2341</v>
      </c>
      <c r="G284" s="399" t="s">
        <v>1239</v>
      </c>
      <c r="H284" s="399" t="s">
        <v>1239</v>
      </c>
      <c r="I284" s="399" t="s">
        <v>1239</v>
      </c>
      <c r="J284" s="399" t="s">
        <v>2326</v>
      </c>
      <c r="K284" s="786">
        <v>44621</v>
      </c>
      <c r="L284" s="399">
        <v>0</v>
      </c>
      <c r="M284" s="399">
        <v>0</v>
      </c>
      <c r="N284" s="399">
        <v>191.27699999999999</v>
      </c>
      <c r="O284" s="399">
        <v>191.27699999999999</v>
      </c>
      <c r="P284" s="399">
        <v>191.27699999999999</v>
      </c>
      <c r="Q284" s="399">
        <v>191.27699999999999</v>
      </c>
      <c r="R284" s="399"/>
      <c r="S284" s="399">
        <v>454.08</v>
      </c>
      <c r="T284" s="399">
        <v>102.16</v>
      </c>
      <c r="U284" s="399"/>
      <c r="V284" s="399">
        <v>106395.91847999999</v>
      </c>
      <c r="W284" s="399">
        <v>106395.91847999999</v>
      </c>
      <c r="X284" s="399">
        <v>66141.673829999985</v>
      </c>
      <c r="Y284" s="399">
        <v>0</v>
      </c>
      <c r="Z284" s="399">
        <v>6558.8579836094978</v>
      </c>
      <c r="AA284" s="399">
        <v>0</v>
      </c>
      <c r="AB284" s="399">
        <v>0</v>
      </c>
      <c r="AC284" s="399">
        <v>0</v>
      </c>
      <c r="AD284" s="399">
        <v>13711.201777132179</v>
      </c>
      <c r="AE284" s="399">
        <v>61782.161216030712</v>
      </c>
      <c r="AF284" s="399">
        <v>19540.735590203411</v>
      </c>
      <c r="AG284" s="399">
        <v>0</v>
      </c>
      <c r="AH284" s="399">
        <v>0</v>
      </c>
      <c r="AI284" s="399">
        <v>0</v>
      </c>
      <c r="AJ284" s="399">
        <v>0</v>
      </c>
      <c r="AK284" s="399">
        <v>0</v>
      </c>
      <c r="AL284" s="399">
        <v>1013.6450742781938</v>
      </c>
      <c r="AM284" s="399"/>
      <c r="AN284" s="399">
        <v>249.42081657597595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3540.1115793368967</v>
      </c>
      <c r="BH284" s="399">
        <v>0</v>
      </c>
      <c r="BI284" s="399">
        <v>37.35</v>
      </c>
      <c r="BJ284" s="399">
        <v>168.32</v>
      </c>
      <c r="BK284" s="399">
        <v>31169.48</v>
      </c>
      <c r="BL284" s="399">
        <v>9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23080.847169540306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66142.711199999991</v>
      </c>
      <c r="CJ284" s="399">
        <v>-40253.237279999987</v>
      </c>
      <c r="CK284" s="399"/>
      <c r="CL284" s="399"/>
      <c r="CM284" s="399"/>
      <c r="CN284" s="399"/>
      <c r="CO284" s="399">
        <v>-40254.244649999993</v>
      </c>
      <c r="CP284" s="399">
        <v>0</v>
      </c>
      <c r="CQ284" s="399">
        <v>31</v>
      </c>
      <c r="CR284" s="399">
        <v>-1735.1611903440207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-1262.2068223721526</v>
      </c>
      <c r="DA284" s="399">
        <v>0</v>
      </c>
      <c r="DB284" s="399">
        <v>0</v>
      </c>
      <c r="DC284" s="399">
        <v>0</v>
      </c>
      <c r="DD284" s="399">
        <v>0</v>
      </c>
      <c r="DE284" s="399">
        <v>0</v>
      </c>
      <c r="DF284" s="399">
        <v>0</v>
      </c>
      <c r="DG284" s="399">
        <v>0</v>
      </c>
      <c r="DH284" s="399">
        <v>0</v>
      </c>
      <c r="DI284" s="399">
        <v>-405.6567423993738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-54.343940261440594</v>
      </c>
      <c r="DP284" s="399">
        <v>-12.953685311048872</v>
      </c>
      <c r="DQ284" s="399">
        <v>0</v>
      </c>
      <c r="DR284" s="399">
        <v>0</v>
      </c>
      <c r="DS284" s="399"/>
      <c r="DT284" s="399"/>
      <c r="DU284" s="399"/>
      <c r="DV284" s="399">
        <v>61782.161216030712</v>
      </c>
      <c r="DW284" s="399">
        <v>0</v>
      </c>
      <c r="DX284" s="399">
        <v>0</v>
      </c>
      <c r="DY284" s="399">
        <v>-40254.244650000001</v>
      </c>
      <c r="DZ284" s="399">
        <v>0</v>
      </c>
      <c r="EA284" s="399">
        <v>0</v>
      </c>
      <c r="EB284" s="399">
        <v>0</v>
      </c>
      <c r="EC284" s="399">
        <v>-38519.751383569426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221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284</v>
      </c>
      <c r="B285" s="399" t="s">
        <v>956</v>
      </c>
      <c r="C285" s="399" t="s">
        <v>2328</v>
      </c>
      <c r="D285" s="399" t="s">
        <v>2339</v>
      </c>
      <c r="E285" s="399" t="s">
        <v>2340</v>
      </c>
      <c r="F285" s="399" t="s">
        <v>2578</v>
      </c>
      <c r="G285" s="399" t="s">
        <v>1239</v>
      </c>
      <c r="H285" s="399" t="s">
        <v>1239</v>
      </c>
      <c r="I285" s="399" t="s">
        <v>1239</v>
      </c>
      <c r="J285" s="399" t="s">
        <v>2326</v>
      </c>
      <c r="K285" s="786">
        <v>44621</v>
      </c>
      <c r="L285" s="399">
        <v>0</v>
      </c>
      <c r="M285" s="399">
        <v>0</v>
      </c>
      <c r="N285" s="399">
        <v>130.57300000000001</v>
      </c>
      <c r="O285" s="399">
        <v>130.57300000000001</v>
      </c>
      <c r="P285" s="399">
        <v>130.57300000000001</v>
      </c>
      <c r="Q285" s="399">
        <v>130.57300000000001</v>
      </c>
      <c r="R285" s="399"/>
      <c r="S285" s="399">
        <v>495.36</v>
      </c>
      <c r="T285" s="399">
        <v>111.45</v>
      </c>
      <c r="U285" s="399"/>
      <c r="V285" s="399">
        <v>79233.002130000008</v>
      </c>
      <c r="W285" s="399">
        <v>79233.002130000008</v>
      </c>
      <c r="X285" s="399">
        <v>49256.052790000002</v>
      </c>
      <c r="Y285" s="399">
        <v>0</v>
      </c>
      <c r="Z285" s="399">
        <v>4884.3572229736856</v>
      </c>
      <c r="AA285" s="399">
        <v>0</v>
      </c>
      <c r="AB285" s="399">
        <v>0</v>
      </c>
      <c r="AC285" s="399">
        <v>0</v>
      </c>
      <c r="AD285" s="399">
        <v>10210.681128199969</v>
      </c>
      <c r="AE285" s="399">
        <v>46008.946395935782</v>
      </c>
      <c r="AF285" s="399">
        <v>14551.913345393645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754.85772865564263</v>
      </c>
      <c r="AM285" s="399"/>
      <c r="AN285" s="399">
        <v>185.74275735917328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2636.3079679232792</v>
      </c>
      <c r="BH285" s="399">
        <v>0</v>
      </c>
      <c r="BI285" s="399">
        <v>27.13</v>
      </c>
      <c r="BJ285" s="399">
        <v>122.31</v>
      </c>
      <c r="BK285" s="399">
        <v>22648.9</v>
      </c>
      <c r="BL285" s="399">
        <v>6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17188.221313316924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49254.921099999992</v>
      </c>
      <c r="CJ285" s="399">
        <v>-29978.111030000015</v>
      </c>
      <c r="CK285" s="399"/>
      <c r="CL285" s="399"/>
      <c r="CM285" s="399"/>
      <c r="CN285" s="399"/>
      <c r="CO285" s="399">
        <v>-29976.949340000006</v>
      </c>
      <c r="CP285" s="399">
        <v>0</v>
      </c>
      <c r="CQ285" s="399">
        <v>31</v>
      </c>
      <c r="CR285" s="399">
        <v>-1292.1681052188724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-939.96074090131333</v>
      </c>
      <c r="DA285" s="399">
        <v>0</v>
      </c>
      <c r="DB285" s="399">
        <v>0</v>
      </c>
      <c r="DC285" s="399">
        <v>0</v>
      </c>
      <c r="DD285" s="399">
        <v>0</v>
      </c>
      <c r="DE285" s="399">
        <v>0</v>
      </c>
      <c r="DF285" s="399">
        <v>0</v>
      </c>
      <c r="DG285" s="399">
        <v>0</v>
      </c>
      <c r="DH285" s="399">
        <v>0</v>
      </c>
      <c r="DI285" s="399">
        <v>-302.09107206434237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-40.469730828771276</v>
      </c>
      <c r="DP285" s="399">
        <v>-9.6465614244511926</v>
      </c>
      <c r="DQ285" s="399">
        <v>0</v>
      </c>
      <c r="DR285" s="399">
        <v>0</v>
      </c>
      <c r="DS285" s="399"/>
      <c r="DT285" s="399"/>
      <c r="DU285" s="399"/>
      <c r="DV285" s="399">
        <v>46008.946395935782</v>
      </c>
      <c r="DW285" s="399">
        <v>0</v>
      </c>
      <c r="DX285" s="399">
        <v>0</v>
      </c>
      <c r="DY285" s="399">
        <v>-29976.949340000006</v>
      </c>
      <c r="DZ285" s="399">
        <v>0</v>
      </c>
      <c r="EA285" s="399">
        <v>0</v>
      </c>
      <c r="EB285" s="399">
        <v>0</v>
      </c>
      <c r="EC285" s="399">
        <v>-28685.516040697668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221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285</v>
      </c>
      <c r="B286" s="399" t="s">
        <v>956</v>
      </c>
      <c r="C286" s="399" t="s">
        <v>2328</v>
      </c>
      <c r="D286" s="399" t="s">
        <v>1824</v>
      </c>
      <c r="E286" s="399" t="s">
        <v>921</v>
      </c>
      <c r="F286" s="399" t="s">
        <v>2327</v>
      </c>
      <c r="G286" s="399" t="s">
        <v>1239</v>
      </c>
      <c r="H286" s="399" t="s">
        <v>1239</v>
      </c>
      <c r="I286" s="399" t="s">
        <v>1239</v>
      </c>
      <c r="J286" s="399" t="s">
        <v>2326</v>
      </c>
      <c r="K286" s="786">
        <v>44621</v>
      </c>
      <c r="L286" s="399">
        <v>0</v>
      </c>
      <c r="M286" s="399">
        <v>0</v>
      </c>
      <c r="N286" s="399">
        <v>3.2589999999999999</v>
      </c>
      <c r="O286" s="399">
        <v>3.0634599999999996</v>
      </c>
      <c r="P286" s="399">
        <v>3.2589999999999999</v>
      </c>
      <c r="Q286" s="399">
        <v>3.0634599999999996</v>
      </c>
      <c r="R286" s="399"/>
      <c r="S286" s="399">
        <v>825.6</v>
      </c>
      <c r="T286" s="399">
        <v>185.74</v>
      </c>
      <c r="U286" s="399"/>
      <c r="V286" s="399">
        <v>3295.9570600000002</v>
      </c>
      <c r="W286" s="399">
        <v>3295.9570600000002</v>
      </c>
      <c r="X286" s="399">
        <v>2048.9333000000001</v>
      </c>
      <c r="Y286" s="399">
        <v>0</v>
      </c>
      <c r="Z286" s="399">
        <v>203.18289628115113</v>
      </c>
      <c r="AA286" s="399">
        <v>0</v>
      </c>
      <c r="AB286" s="399">
        <v>0</v>
      </c>
      <c r="AC286" s="399">
        <v>0</v>
      </c>
      <c r="AD286" s="399">
        <v>424.75103067254349</v>
      </c>
      <c r="AE286" s="399">
        <v>1913.9122215715149</v>
      </c>
      <c r="AF286" s="399">
        <v>605.34063439146394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31.401097951449138</v>
      </c>
      <c r="AM286" s="399"/>
      <c r="AN286" s="399">
        <v>7.7266566880027066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109.66697642266513</v>
      </c>
      <c r="BH286" s="399">
        <v>0</v>
      </c>
      <c r="BI286" s="399">
        <v>0.86</v>
      </c>
      <c r="BJ286" s="399">
        <v>3.98</v>
      </c>
      <c r="BK286" s="399">
        <v>0</v>
      </c>
      <c r="BL286" s="399">
        <v>5</v>
      </c>
      <c r="BM286" s="399"/>
      <c r="BN286" s="399"/>
      <c r="BO286" s="399"/>
      <c r="BP286" s="399"/>
      <c r="BQ286" s="399">
        <v>122.93599800000018</v>
      </c>
      <c r="BR286" s="399"/>
      <c r="BS286" s="399"/>
      <c r="BT286" s="399"/>
      <c r="BU286" s="399"/>
      <c r="BV286" s="399">
        <v>715.00761081412907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1923.8220000000001</v>
      </c>
      <c r="CJ286" s="399">
        <v>-1174.4076364000002</v>
      </c>
      <c r="CK286" s="399"/>
      <c r="CL286" s="399"/>
      <c r="CM286" s="399"/>
      <c r="CN286" s="399"/>
      <c r="CO286" s="399">
        <v>-1247.02376</v>
      </c>
      <c r="CP286" s="399">
        <v>0</v>
      </c>
      <c r="CQ286" s="399">
        <v>31</v>
      </c>
      <c r="CR286" s="399">
        <v>-53.752509514579287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-39.101142076301414</v>
      </c>
      <c r="DA286" s="399">
        <v>0</v>
      </c>
      <c r="DB286" s="399">
        <v>0</v>
      </c>
      <c r="DC286" s="399">
        <v>0</v>
      </c>
      <c r="DD286" s="399">
        <v>0</v>
      </c>
      <c r="DE286" s="399">
        <v>0</v>
      </c>
      <c r="DF286" s="399">
        <v>0</v>
      </c>
      <c r="DG286" s="399">
        <v>0</v>
      </c>
      <c r="DH286" s="399">
        <v>0</v>
      </c>
      <c r="DI286" s="399">
        <v>-12.566594980811288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-1.6834880714360025</v>
      </c>
      <c r="DP286" s="399">
        <v>-0.40128438603039474</v>
      </c>
      <c r="DQ286" s="399">
        <v>0</v>
      </c>
      <c r="DR286" s="399">
        <v>0</v>
      </c>
      <c r="DS286" s="399"/>
      <c r="DT286" s="399"/>
      <c r="DU286" s="399"/>
      <c r="DV286" s="399">
        <v>1913.9122215715149</v>
      </c>
      <c r="DW286" s="399">
        <v>0</v>
      </c>
      <c r="DX286" s="399">
        <v>0</v>
      </c>
      <c r="DY286" s="399">
        <v>-1247.02376</v>
      </c>
      <c r="DZ286" s="399">
        <v>0</v>
      </c>
      <c r="EA286" s="399">
        <v>0</v>
      </c>
      <c r="EB286" s="399">
        <v>0</v>
      </c>
      <c r="EC286" s="399">
        <v>-1193.2800907874453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221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286</v>
      </c>
      <c r="B287" s="399" t="s">
        <v>956</v>
      </c>
      <c r="C287" s="399" t="s">
        <v>2328</v>
      </c>
      <c r="D287" s="399" t="s">
        <v>1824</v>
      </c>
      <c r="E287" s="399" t="s">
        <v>2579</v>
      </c>
      <c r="F287" s="399" t="s">
        <v>1239</v>
      </c>
      <c r="G287" s="399" t="s">
        <v>1239</v>
      </c>
      <c r="H287" s="399" t="s">
        <v>1239</v>
      </c>
      <c r="I287" s="399" t="s">
        <v>1239</v>
      </c>
      <c r="J287" s="399" t="s">
        <v>2326</v>
      </c>
      <c r="K287" s="786">
        <v>44621</v>
      </c>
      <c r="L287" s="399">
        <v>0</v>
      </c>
      <c r="M287" s="399">
        <v>0</v>
      </c>
      <c r="N287" s="399">
        <v>0.78800000000000003</v>
      </c>
      <c r="O287" s="399">
        <v>0.78800000000000003</v>
      </c>
      <c r="P287" s="399">
        <v>0.78800000000000003</v>
      </c>
      <c r="Q287" s="399">
        <v>0.78800000000000003</v>
      </c>
      <c r="R287" s="399"/>
      <c r="S287" s="399">
        <v>825.6</v>
      </c>
      <c r="T287" s="399">
        <v>185.74</v>
      </c>
      <c r="U287" s="399"/>
      <c r="V287" s="399">
        <v>796.93592000000001</v>
      </c>
      <c r="W287" s="399">
        <v>796.93592000000001</v>
      </c>
      <c r="X287" s="399">
        <v>495.41560000000004</v>
      </c>
      <c r="Y287" s="399">
        <v>0</v>
      </c>
      <c r="Z287" s="399">
        <v>49.12799087743084</v>
      </c>
      <c r="AA287" s="399">
        <v>0</v>
      </c>
      <c r="AB287" s="399">
        <v>0</v>
      </c>
      <c r="AC287" s="399">
        <v>0</v>
      </c>
      <c r="AD287" s="399">
        <v>102.70138452591725</v>
      </c>
      <c r="AE287" s="399">
        <v>462.76858870768763</v>
      </c>
      <c r="AF287" s="399">
        <v>146.36649889551202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7.5925330425719304</v>
      </c>
      <c r="AM287" s="399"/>
      <c r="AN287" s="399">
        <v>1.8682434704345299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26.516593255925169</v>
      </c>
      <c r="BH287" s="399">
        <v>0</v>
      </c>
      <c r="BI287" s="399">
        <v>0.22</v>
      </c>
      <c r="BJ287" s="399">
        <v>1.1000000000000001</v>
      </c>
      <c r="BK287" s="399">
        <v>202.85</v>
      </c>
      <c r="BL287" s="399">
        <v>4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172.88309215143718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496.673</v>
      </c>
      <c r="CJ287" s="399">
        <v>-300.29291999999998</v>
      </c>
      <c r="CK287" s="399"/>
      <c r="CL287" s="399"/>
      <c r="CM287" s="399"/>
      <c r="CN287" s="399"/>
      <c r="CO287" s="399">
        <v>-301.52032000000003</v>
      </c>
      <c r="CP287" s="399">
        <v>0</v>
      </c>
      <c r="CQ287" s="399">
        <v>31</v>
      </c>
      <c r="CR287" s="399">
        <v>-12.996924669373527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-9.4543418091824236</v>
      </c>
      <c r="DA287" s="399">
        <v>0</v>
      </c>
      <c r="DB287" s="399">
        <v>0</v>
      </c>
      <c r="DC287" s="399">
        <v>0</v>
      </c>
      <c r="DD287" s="399">
        <v>0</v>
      </c>
      <c r="DE287" s="399">
        <v>0</v>
      </c>
      <c r="DF287" s="399">
        <v>0</v>
      </c>
      <c r="DG287" s="399">
        <v>0</v>
      </c>
      <c r="DH287" s="399">
        <v>0</v>
      </c>
      <c r="DI287" s="399">
        <v>-3.0385016400365998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-0.40705388164822587</v>
      </c>
      <c r="DP287" s="399">
        <v>-9.7027338506275207E-2</v>
      </c>
      <c r="DQ287" s="399">
        <v>0</v>
      </c>
      <c r="DR287" s="399">
        <v>0</v>
      </c>
      <c r="DS287" s="399"/>
      <c r="DT287" s="399"/>
      <c r="DU287" s="399"/>
      <c r="DV287" s="399">
        <v>462.76858870768763</v>
      </c>
      <c r="DW287" s="399">
        <v>0</v>
      </c>
      <c r="DX287" s="399">
        <v>0</v>
      </c>
      <c r="DY287" s="399">
        <v>-301.52032000000003</v>
      </c>
      <c r="DZ287" s="399">
        <v>0</v>
      </c>
      <c r="EA287" s="399">
        <v>0</v>
      </c>
      <c r="EB287" s="399">
        <v>0</v>
      </c>
      <c r="EC287" s="399">
        <v>-288.52553284458634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221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287</v>
      </c>
      <c r="B288" s="399" t="s">
        <v>956</v>
      </c>
      <c r="C288" s="399" t="s">
        <v>2328</v>
      </c>
      <c r="D288" s="399" t="s">
        <v>1824</v>
      </c>
      <c r="E288" s="399" t="s">
        <v>921</v>
      </c>
      <c r="F288" s="399" t="s">
        <v>2580</v>
      </c>
      <c r="G288" s="399" t="s">
        <v>1239</v>
      </c>
      <c r="H288" s="399" t="s">
        <v>1239</v>
      </c>
      <c r="I288" s="399" t="s">
        <v>1239</v>
      </c>
      <c r="J288" s="399" t="s">
        <v>2326</v>
      </c>
      <c r="K288" s="786">
        <v>44621</v>
      </c>
      <c r="L288" s="399">
        <v>0</v>
      </c>
      <c r="M288" s="399">
        <v>0</v>
      </c>
      <c r="N288" s="399">
        <v>7.0000000000000007E-2</v>
      </c>
      <c r="O288" s="399">
        <v>7.0000000000000007E-2</v>
      </c>
      <c r="P288" s="399">
        <v>7.0000000000000007E-2</v>
      </c>
      <c r="Q288" s="399">
        <v>7.0000000000000007E-2</v>
      </c>
      <c r="R288" s="399"/>
      <c r="S288" s="399">
        <v>825.6</v>
      </c>
      <c r="T288" s="399">
        <v>185.74</v>
      </c>
      <c r="U288" s="399"/>
      <c r="V288" s="399">
        <v>70.793800000000005</v>
      </c>
      <c r="W288" s="399">
        <v>70.793800000000005</v>
      </c>
      <c r="X288" s="399">
        <v>44.009</v>
      </c>
      <c r="Y288" s="399">
        <v>0</v>
      </c>
      <c r="Z288" s="399">
        <v>4.3641616261677143</v>
      </c>
      <c r="AA288" s="399">
        <v>0</v>
      </c>
      <c r="AB288" s="399">
        <v>0</v>
      </c>
      <c r="AC288" s="399">
        <v>0</v>
      </c>
      <c r="AD288" s="399">
        <v>9.123219437581481</v>
      </c>
      <c r="AE288" s="399">
        <v>41.108884783677837</v>
      </c>
      <c r="AF288" s="399">
        <v>13.002100155692691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0.6744635951523289</v>
      </c>
      <c r="AM288" s="399"/>
      <c r="AN288" s="399">
        <v>0.16596071437870191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2.3555349339019824</v>
      </c>
      <c r="BH288" s="399">
        <v>0</v>
      </c>
      <c r="BI288" s="399">
        <v>0.02</v>
      </c>
      <c r="BJ288" s="399">
        <v>0.09</v>
      </c>
      <c r="BK288" s="399">
        <v>0</v>
      </c>
      <c r="BL288" s="399">
        <v>1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15.357635089594673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44.009</v>
      </c>
      <c r="CJ288" s="399">
        <v>-26.814800000000005</v>
      </c>
      <c r="CK288" s="399"/>
      <c r="CL288" s="399"/>
      <c r="CM288" s="399"/>
      <c r="CN288" s="399"/>
      <c r="CO288" s="399">
        <v>-26.784800000000004</v>
      </c>
      <c r="CP288" s="399">
        <v>0</v>
      </c>
      <c r="CQ288" s="399">
        <v>31</v>
      </c>
      <c r="CR288" s="399">
        <v>-1.1545491457565369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-0.83985269878523994</v>
      </c>
      <c r="DA288" s="399">
        <v>0</v>
      </c>
      <c r="DB288" s="399">
        <v>0</v>
      </c>
      <c r="DC288" s="399">
        <v>0</v>
      </c>
      <c r="DD288" s="399">
        <v>0</v>
      </c>
      <c r="DE288" s="399">
        <v>0</v>
      </c>
      <c r="DF288" s="399">
        <v>0</v>
      </c>
      <c r="DG288" s="399">
        <v>0</v>
      </c>
      <c r="DH288" s="399">
        <v>0</v>
      </c>
      <c r="DI288" s="399">
        <v>-0.26991765837888604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-3.6159608775857666E-2</v>
      </c>
      <c r="DP288" s="399">
        <v>-8.6191798165473066E-3</v>
      </c>
      <c r="DQ288" s="399">
        <v>0</v>
      </c>
      <c r="DR288" s="399">
        <v>0</v>
      </c>
      <c r="DS288" s="399"/>
      <c r="DT288" s="399"/>
      <c r="DU288" s="399"/>
      <c r="DV288" s="399">
        <v>41.108884783677837</v>
      </c>
      <c r="DW288" s="399">
        <v>0</v>
      </c>
      <c r="DX288" s="399">
        <v>0</v>
      </c>
      <c r="DY288" s="399">
        <v>-26.784800000000008</v>
      </c>
      <c r="DZ288" s="399">
        <v>0</v>
      </c>
      <c r="EA288" s="399">
        <v>0</v>
      </c>
      <c r="EB288" s="399">
        <v>0</v>
      </c>
      <c r="EC288" s="399">
        <v>-25.630440734925187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221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288</v>
      </c>
      <c r="B289" s="399" t="s">
        <v>956</v>
      </c>
      <c r="C289" s="399" t="s">
        <v>2328</v>
      </c>
      <c r="D289" s="399" t="s">
        <v>1821</v>
      </c>
      <c r="E289" s="399" t="s">
        <v>889</v>
      </c>
      <c r="F289" s="399" t="s">
        <v>889</v>
      </c>
      <c r="G289" s="399" t="s">
        <v>1239</v>
      </c>
      <c r="H289" s="399" t="s">
        <v>1239</v>
      </c>
      <c r="I289" s="399" t="s">
        <v>1239</v>
      </c>
      <c r="J289" s="399" t="s">
        <v>2326</v>
      </c>
      <c r="K289" s="786">
        <v>44652</v>
      </c>
      <c r="L289" s="399">
        <v>0</v>
      </c>
      <c r="M289" s="399">
        <v>0</v>
      </c>
      <c r="N289" s="399">
        <v>1364.9770000000001</v>
      </c>
      <c r="O289" s="399">
        <v>1364.9770000000001</v>
      </c>
      <c r="P289" s="399">
        <v>1364.9770000000001</v>
      </c>
      <c r="Q289" s="399">
        <v>1364.9770000000001</v>
      </c>
      <c r="R289" s="399"/>
      <c r="S289" s="399">
        <v>825.6</v>
      </c>
      <c r="T289" s="399">
        <v>185.74</v>
      </c>
      <c r="U289" s="399"/>
      <c r="V289" s="399">
        <v>1380455.8391800001</v>
      </c>
      <c r="W289" s="399">
        <v>1380455.8391800001</v>
      </c>
      <c r="X289" s="399">
        <v>858161.03990000009</v>
      </c>
      <c r="Y289" s="399">
        <v>0</v>
      </c>
      <c r="Z289" s="399">
        <v>85099.717771450392</v>
      </c>
      <c r="AA289" s="399">
        <v>0</v>
      </c>
      <c r="AB289" s="399">
        <v>0</v>
      </c>
      <c r="AC289" s="399">
        <v>0</v>
      </c>
      <c r="AD289" s="399">
        <v>177899.78140359512</v>
      </c>
      <c r="AE289" s="399">
        <v>801609.74607671739</v>
      </c>
      <c r="AF289" s="399">
        <v>253536.68091738489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13151.818496003434</v>
      </c>
      <c r="AM289" s="399"/>
      <c r="AN289" s="399">
        <v>3236.1794004356771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45932.157249610369</v>
      </c>
      <c r="BH289" s="399">
        <v>0</v>
      </c>
      <c r="BI289" s="399">
        <v>370.05</v>
      </c>
      <c r="BJ289" s="399">
        <v>1770.98</v>
      </c>
      <c r="BK289" s="399">
        <v>221514.73</v>
      </c>
      <c r="BL289" s="399">
        <v>8104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299468.83816699527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858162.92599999998</v>
      </c>
      <c r="CJ289" s="399">
        <v>-522292.94318000018</v>
      </c>
      <c r="CK289" s="399"/>
      <c r="CL289" s="399"/>
      <c r="CM289" s="399"/>
      <c r="CN289" s="399"/>
      <c r="CO289" s="399">
        <v>-522294.79928000009</v>
      </c>
      <c r="CP289" s="399">
        <v>0</v>
      </c>
      <c r="CQ289" s="399">
        <v>30</v>
      </c>
      <c r="CR289" s="399">
        <v>-22513.328990390175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-16376.851674711157</v>
      </c>
      <c r="DA289" s="399">
        <v>0</v>
      </c>
      <c r="DB289" s="399">
        <v>0</v>
      </c>
      <c r="DC289" s="399">
        <v>0</v>
      </c>
      <c r="DD289" s="399">
        <v>0</v>
      </c>
      <c r="DE289" s="399">
        <v>0</v>
      </c>
      <c r="DF289" s="399">
        <v>0</v>
      </c>
      <c r="DG289" s="399">
        <v>0</v>
      </c>
      <c r="DH289" s="399">
        <v>0</v>
      </c>
      <c r="DI289" s="399">
        <v>-5263.3056511576578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-705.10049011491174</v>
      </c>
      <c r="DP289" s="399">
        <v>-168.07117440644697</v>
      </c>
      <c r="DQ289" s="399">
        <v>0</v>
      </c>
      <c r="DR289" s="399">
        <v>0</v>
      </c>
      <c r="DS289" s="399"/>
      <c r="DT289" s="399"/>
      <c r="DU289" s="399"/>
      <c r="DV289" s="399">
        <v>801609.74607671739</v>
      </c>
      <c r="DW289" s="399">
        <v>0</v>
      </c>
      <c r="DX289" s="399">
        <v>0</v>
      </c>
      <c r="DY289" s="399">
        <v>-522294.79928000004</v>
      </c>
      <c r="DZ289" s="399">
        <v>0</v>
      </c>
      <c r="EA289" s="399">
        <v>0</v>
      </c>
      <c r="EB289" s="399">
        <v>0</v>
      </c>
      <c r="EC289" s="399">
        <v>-499785.17290051386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221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289</v>
      </c>
      <c r="B290" s="399" t="s">
        <v>2329</v>
      </c>
      <c r="C290" s="399" t="s">
        <v>2328</v>
      </c>
      <c r="D290" s="399" t="s">
        <v>1821</v>
      </c>
      <c r="E290" s="399" t="s">
        <v>889</v>
      </c>
      <c r="F290" s="399" t="s">
        <v>889</v>
      </c>
      <c r="G290" s="399" t="s">
        <v>1239</v>
      </c>
      <c r="H290" s="399" t="s">
        <v>1239</v>
      </c>
      <c r="I290" s="399" t="s">
        <v>1239</v>
      </c>
      <c r="J290" s="399" t="s">
        <v>2326</v>
      </c>
      <c r="K290" s="786">
        <v>44652</v>
      </c>
      <c r="L290" s="399">
        <v>0</v>
      </c>
      <c r="M290" s="399">
        <v>0</v>
      </c>
      <c r="N290" s="399">
        <v>5.3970000000000002</v>
      </c>
      <c r="O290" s="399">
        <v>5.3970000000000002</v>
      </c>
      <c r="P290" s="399">
        <v>5.3970000000000002</v>
      </c>
      <c r="Q290" s="399">
        <v>5.3970000000000002</v>
      </c>
      <c r="R290" s="399"/>
      <c r="S290" s="399">
        <v>825.6</v>
      </c>
      <c r="T290" s="399">
        <v>185.74</v>
      </c>
      <c r="U290" s="399"/>
      <c r="V290" s="399">
        <v>5458.2019800000007</v>
      </c>
      <c r="W290" s="399">
        <v>5458.2019800000007</v>
      </c>
      <c r="X290" s="399">
        <v>3393.0938999999998</v>
      </c>
      <c r="Y290" s="399">
        <v>0</v>
      </c>
      <c r="Z290" s="399">
        <v>336.47686137753072</v>
      </c>
      <c r="AA290" s="399">
        <v>0</v>
      </c>
      <c r="AB290" s="399">
        <v>0</v>
      </c>
      <c r="AC290" s="399">
        <v>0</v>
      </c>
      <c r="AD290" s="399">
        <v>703.40021863753213</v>
      </c>
      <c r="AE290" s="399">
        <v>3169.495016821561</v>
      </c>
      <c r="AF290" s="399">
        <v>1002.4619220039065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52.001143186244555</v>
      </c>
      <c r="AM290" s="399"/>
      <c r="AN290" s="399">
        <v>12.795571078597916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181.61174340384281</v>
      </c>
      <c r="BH290" s="399">
        <v>0</v>
      </c>
      <c r="BI290" s="399">
        <v>1.65</v>
      </c>
      <c r="BJ290" s="399">
        <v>6.91</v>
      </c>
      <c r="BK290" s="399">
        <v>1444.6</v>
      </c>
      <c r="BL290" s="399">
        <v>0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1184.0736654077493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3394.98</v>
      </c>
      <c r="CJ290" s="399">
        <v>-2063.2519800000014</v>
      </c>
      <c r="CK290" s="399"/>
      <c r="CL290" s="399"/>
      <c r="CM290" s="399"/>
      <c r="CN290" s="399"/>
      <c r="CO290" s="399">
        <v>-2065.1080800000004</v>
      </c>
      <c r="CP290" s="399">
        <v>0</v>
      </c>
      <c r="CQ290" s="399">
        <v>30</v>
      </c>
      <c r="CR290" s="399">
        <v>-89.01573913782795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-64.752643076341997</v>
      </c>
      <c r="DA290" s="399">
        <v>0</v>
      </c>
      <c r="DB290" s="399">
        <v>0</v>
      </c>
      <c r="DC290" s="399">
        <v>0</v>
      </c>
      <c r="DD290" s="399">
        <v>0</v>
      </c>
      <c r="DE290" s="399">
        <v>0</v>
      </c>
      <c r="DF290" s="399">
        <v>0</v>
      </c>
      <c r="DG290" s="399">
        <v>0</v>
      </c>
      <c r="DH290" s="399">
        <v>0</v>
      </c>
      <c r="DI290" s="399">
        <v>-20.810651461012071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-2.7879058366186271</v>
      </c>
      <c r="DP290" s="399">
        <v>-0.66453876385579669</v>
      </c>
      <c r="DQ290" s="399">
        <v>0</v>
      </c>
      <c r="DR290" s="399">
        <v>0</v>
      </c>
      <c r="DS290" s="399"/>
      <c r="DT290" s="399"/>
      <c r="DU290" s="399"/>
      <c r="DV290" s="399">
        <v>3169.495016821561</v>
      </c>
      <c r="DW290" s="399">
        <v>0</v>
      </c>
      <c r="DX290" s="399">
        <v>0</v>
      </c>
      <c r="DY290" s="399">
        <v>-2065.1080800000004</v>
      </c>
      <c r="DZ290" s="399">
        <v>0</v>
      </c>
      <c r="EA290" s="399">
        <v>0</v>
      </c>
      <c r="EB290" s="399">
        <v>0</v>
      </c>
      <c r="EC290" s="399">
        <v>-1976.1069806627315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221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290</v>
      </c>
      <c r="B291" s="399" t="s">
        <v>2330</v>
      </c>
      <c r="C291" s="399" t="s">
        <v>2328</v>
      </c>
      <c r="D291" s="399" t="s">
        <v>1821</v>
      </c>
      <c r="E291" s="399" t="s">
        <v>889</v>
      </c>
      <c r="F291" s="399" t="s">
        <v>889</v>
      </c>
      <c r="G291" s="399" t="s">
        <v>1239</v>
      </c>
      <c r="H291" s="399" t="s">
        <v>1239</v>
      </c>
      <c r="I291" s="399" t="s">
        <v>1239</v>
      </c>
      <c r="J291" s="399" t="s">
        <v>2326</v>
      </c>
      <c r="K291" s="786">
        <v>44652</v>
      </c>
      <c r="L291" s="399">
        <v>0</v>
      </c>
      <c r="M291" s="399">
        <v>0</v>
      </c>
      <c r="N291" s="399">
        <v>31.420999999999999</v>
      </c>
      <c r="O291" s="399">
        <v>31.420999999999999</v>
      </c>
      <c r="P291" s="399">
        <v>31.420999999999999</v>
      </c>
      <c r="Q291" s="399">
        <v>31.420999999999999</v>
      </c>
      <c r="R291" s="399"/>
      <c r="S291" s="399">
        <v>825.6</v>
      </c>
      <c r="T291" s="399">
        <v>185.74</v>
      </c>
      <c r="U291" s="399"/>
      <c r="V291" s="399">
        <v>31777.314139999999</v>
      </c>
      <c r="W291" s="399">
        <v>31777.314139999999</v>
      </c>
      <c r="X291" s="399">
        <v>19754.382699999998</v>
      </c>
      <c r="Y291" s="399">
        <v>0</v>
      </c>
      <c r="Z291" s="399">
        <v>1958.9474636545106</v>
      </c>
      <c r="AA291" s="399">
        <v>0</v>
      </c>
      <c r="AB291" s="399">
        <v>0</v>
      </c>
      <c r="AC291" s="399">
        <v>0</v>
      </c>
      <c r="AD291" s="399">
        <v>4095.1525421178244</v>
      </c>
      <c r="AE291" s="399">
        <v>18452.603839827731</v>
      </c>
      <c r="AF291" s="399">
        <v>5836.271271314572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302.7474374754475</v>
      </c>
      <c r="AM291" s="399"/>
      <c r="AN291" s="399">
        <v>74.495022949902747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1057.3323308304882</v>
      </c>
      <c r="BH291" s="399">
        <v>0</v>
      </c>
      <c r="BI291" s="399">
        <v>8.8699999999999992</v>
      </c>
      <c r="BJ291" s="399">
        <v>39.22</v>
      </c>
      <c r="BK291" s="399">
        <v>10834.61</v>
      </c>
      <c r="BL291" s="399">
        <v>78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6893.60360214506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19753.754000000001</v>
      </c>
      <c r="CJ291" s="399">
        <v>-12023.590139999993</v>
      </c>
      <c r="CK291" s="399"/>
      <c r="CL291" s="399"/>
      <c r="CM291" s="399"/>
      <c r="CN291" s="399"/>
      <c r="CO291" s="399">
        <v>-12022.93144</v>
      </c>
      <c r="CP291" s="399">
        <v>0</v>
      </c>
      <c r="CQ291" s="399">
        <v>30</v>
      </c>
      <c r="CR291" s="399">
        <v>-518.24412441165805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-376.98588069330071</v>
      </c>
      <c r="DA291" s="399">
        <v>0</v>
      </c>
      <c r="DB291" s="399">
        <v>0</v>
      </c>
      <c r="DC291" s="399">
        <v>0</v>
      </c>
      <c r="DD291" s="399">
        <v>0</v>
      </c>
      <c r="DE291" s="399">
        <v>0</v>
      </c>
      <c r="DF291" s="399">
        <v>0</v>
      </c>
      <c r="DG291" s="399">
        <v>0</v>
      </c>
      <c r="DH291" s="399">
        <v>0</v>
      </c>
      <c r="DI291" s="399">
        <v>-121.15832491318542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-16.231015247803214</v>
      </c>
      <c r="DP291" s="399">
        <v>-3.8689035573676165</v>
      </c>
      <c r="DQ291" s="399">
        <v>0</v>
      </c>
      <c r="DR291" s="399">
        <v>0</v>
      </c>
      <c r="DS291" s="399"/>
      <c r="DT291" s="399"/>
      <c r="DU291" s="399"/>
      <c r="DV291" s="399">
        <v>18452.603839827731</v>
      </c>
      <c r="DW291" s="399">
        <v>0</v>
      </c>
      <c r="DX291" s="399">
        <v>0</v>
      </c>
      <c r="DY291" s="399">
        <v>-12022.93144</v>
      </c>
      <c r="DZ291" s="399">
        <v>0</v>
      </c>
      <c r="EA291" s="399">
        <v>0</v>
      </c>
      <c r="EB291" s="399">
        <v>0</v>
      </c>
      <c r="EC291" s="399">
        <v>-11504.772547601202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221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291</v>
      </c>
      <c r="B292" s="399" t="s">
        <v>2330</v>
      </c>
      <c r="C292" s="399" t="s">
        <v>2328</v>
      </c>
      <c r="D292" s="399" t="s">
        <v>1821</v>
      </c>
      <c r="E292" s="399" t="s">
        <v>889</v>
      </c>
      <c r="F292" s="399" t="s">
        <v>889</v>
      </c>
      <c r="G292" s="399" t="s">
        <v>1239</v>
      </c>
      <c r="H292" s="399" t="s">
        <v>1239</v>
      </c>
      <c r="I292" s="399" t="s">
        <v>1239</v>
      </c>
      <c r="J292" s="399" t="s">
        <v>2326</v>
      </c>
      <c r="K292" s="786">
        <v>44652</v>
      </c>
      <c r="L292" s="399">
        <v>0</v>
      </c>
      <c r="M292" s="399">
        <v>0</v>
      </c>
      <c r="N292" s="399">
        <v>-12.362</v>
      </c>
      <c r="O292" s="399">
        <v>-12.362</v>
      </c>
      <c r="P292" s="399">
        <v>-12.362</v>
      </c>
      <c r="Q292" s="399">
        <v>-12.362</v>
      </c>
      <c r="R292" s="399"/>
      <c r="S292" s="399">
        <v>825.6</v>
      </c>
      <c r="T292" s="399">
        <v>185.74</v>
      </c>
      <c r="U292" s="399"/>
      <c r="V292" s="399">
        <v>-12502.185079999999</v>
      </c>
      <c r="W292" s="399">
        <v>-12502.185079999999</v>
      </c>
      <c r="X292" s="399">
        <v>-7771.9894000000004</v>
      </c>
      <c r="Y292" s="399">
        <v>0</v>
      </c>
      <c r="Z292" s="399">
        <v>-770.71094318121823</v>
      </c>
      <c r="AA292" s="399">
        <v>0</v>
      </c>
      <c r="AB292" s="399">
        <v>0</v>
      </c>
      <c r="AC292" s="399">
        <v>0</v>
      </c>
      <c r="AD292" s="399">
        <v>-1611.1605526768894</v>
      </c>
      <c r="AE292" s="399">
        <v>-7259.829052797505</v>
      </c>
      <c r="AF292" s="399">
        <v>-2296.1708874953292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-119.11027090390128</v>
      </c>
      <c r="AM292" s="399"/>
      <c r="AN292" s="399">
        <v>-29.308662159278754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-415.98746932709003</v>
      </c>
      <c r="BH292" s="399">
        <v>0</v>
      </c>
      <c r="BI292" s="399">
        <v>-3.81</v>
      </c>
      <c r="BJ292" s="399">
        <v>-17.190000000000001</v>
      </c>
      <c r="BK292" s="399">
        <v>-3394.51</v>
      </c>
      <c r="BL292" s="399">
        <v>1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-2712.1583568224191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-7770.7319999999991</v>
      </c>
      <c r="CJ292" s="399">
        <v>4731.4230799999996</v>
      </c>
      <c r="CK292" s="399"/>
      <c r="CL292" s="399"/>
      <c r="CM292" s="399"/>
      <c r="CN292" s="399"/>
      <c r="CO292" s="399">
        <v>4730.1956800000007</v>
      </c>
      <c r="CP292" s="399">
        <v>0</v>
      </c>
      <c r="CQ292" s="399">
        <v>30</v>
      </c>
      <c r="CR292" s="399">
        <v>203.89337914060252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148.31798660547338</v>
      </c>
      <c r="DA292" s="399">
        <v>0</v>
      </c>
      <c r="DB292" s="399">
        <v>0</v>
      </c>
      <c r="DC292" s="399">
        <v>0</v>
      </c>
      <c r="DD292" s="399">
        <v>0</v>
      </c>
      <c r="DE292" s="399">
        <v>0</v>
      </c>
      <c r="DF292" s="399">
        <v>0</v>
      </c>
      <c r="DG292" s="399">
        <v>0</v>
      </c>
      <c r="DH292" s="399">
        <v>0</v>
      </c>
      <c r="DI292" s="399">
        <v>47.667458469711164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6.3857869098164741</v>
      </c>
      <c r="DP292" s="399">
        <v>1.5221471556022514</v>
      </c>
      <c r="DQ292" s="399">
        <v>0</v>
      </c>
      <c r="DR292" s="399">
        <v>0</v>
      </c>
      <c r="DS292" s="399"/>
      <c r="DT292" s="399"/>
      <c r="DU292" s="399"/>
      <c r="DV292" s="399">
        <v>-7259.829052797505</v>
      </c>
      <c r="DW292" s="399">
        <v>0</v>
      </c>
      <c r="DX292" s="399">
        <v>0</v>
      </c>
      <c r="DY292" s="399">
        <v>4730.1956799999998</v>
      </c>
      <c r="DZ292" s="399">
        <v>0</v>
      </c>
      <c r="EA292" s="399">
        <v>0</v>
      </c>
      <c r="EB292" s="399">
        <v>0</v>
      </c>
      <c r="EC292" s="399">
        <v>4526.3358337877871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221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292</v>
      </c>
      <c r="B293" s="399" t="s">
        <v>956</v>
      </c>
      <c r="C293" s="399" t="s">
        <v>2328</v>
      </c>
      <c r="D293" s="399" t="s">
        <v>1821</v>
      </c>
      <c r="E293" s="399" t="s">
        <v>889</v>
      </c>
      <c r="F293" s="399" t="s">
        <v>2331</v>
      </c>
      <c r="G293" s="399" t="s">
        <v>1239</v>
      </c>
      <c r="H293" s="399" t="s">
        <v>1239</v>
      </c>
      <c r="I293" s="399" t="s">
        <v>1239</v>
      </c>
      <c r="J293" s="399" t="s">
        <v>2326</v>
      </c>
      <c r="K293" s="786">
        <v>44652</v>
      </c>
      <c r="L293" s="399">
        <v>0</v>
      </c>
      <c r="M293" s="399">
        <v>0</v>
      </c>
      <c r="N293" s="399">
        <v>11.1</v>
      </c>
      <c r="O293" s="399">
        <v>11.1</v>
      </c>
      <c r="P293" s="399">
        <v>11.1</v>
      </c>
      <c r="Q293" s="399">
        <v>11.1</v>
      </c>
      <c r="R293" s="399"/>
      <c r="S293" s="399">
        <v>753.62</v>
      </c>
      <c r="T293" s="399">
        <v>185.74</v>
      </c>
      <c r="U293" s="399"/>
      <c r="V293" s="399">
        <v>10426.895999999999</v>
      </c>
      <c r="W293" s="399">
        <v>10426.895999999999</v>
      </c>
      <c r="X293" s="399">
        <v>6228.0990000000002</v>
      </c>
      <c r="Y293" s="399">
        <v>0</v>
      </c>
      <c r="Z293" s="399">
        <v>0</v>
      </c>
      <c r="AA293" s="399">
        <v>0</v>
      </c>
      <c r="AB293" s="399">
        <v>0</v>
      </c>
      <c r="AC293" s="399">
        <v>0</v>
      </c>
      <c r="AD293" s="399">
        <v>1446.6819393879205</v>
      </c>
      <c r="AE293" s="399">
        <v>6518.6945871260559</v>
      </c>
      <c r="AF293" s="399">
        <v>2061.7615961169836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0</v>
      </c>
      <c r="AM293" s="399"/>
      <c r="AN293" s="399">
        <v>26.316627565765586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373.52053951874285</v>
      </c>
      <c r="BH293" s="399">
        <v>0</v>
      </c>
      <c r="BI293" s="399">
        <v>0</v>
      </c>
      <c r="BJ293" s="399">
        <v>3.7</v>
      </c>
      <c r="BK293" s="399">
        <v>296</v>
      </c>
      <c r="BL293" s="399">
        <v>31</v>
      </c>
      <c r="BM293" s="399"/>
      <c r="BN293" s="399"/>
      <c r="BO293" s="399"/>
      <c r="BP293" s="399"/>
      <c r="BQ293" s="399"/>
      <c r="BR293" s="399"/>
      <c r="BS293" s="399"/>
      <c r="BT293" s="399">
        <v>4048.2810000000004</v>
      </c>
      <c r="BU293" s="399"/>
      <c r="BV293" s="399">
        <v>2435.2821356357263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2179.8180000000002</v>
      </c>
      <c r="CJ293" s="399">
        <v>-1469.67</v>
      </c>
      <c r="CK293" s="399"/>
      <c r="CL293" s="399"/>
      <c r="CM293" s="399"/>
      <c r="CN293" s="399"/>
      <c r="CO293" s="399">
        <v>-4198.7969999999996</v>
      </c>
      <c r="CP293" s="399">
        <v>0</v>
      </c>
      <c r="CQ293" s="399">
        <v>30</v>
      </c>
      <c r="CR293" s="399">
        <v>-134.54339789256892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-133.17664223594534</v>
      </c>
      <c r="DA293" s="399">
        <v>0</v>
      </c>
      <c r="DB293" s="399">
        <v>0</v>
      </c>
      <c r="DC293" s="399">
        <v>0</v>
      </c>
      <c r="DD293" s="399">
        <v>0</v>
      </c>
      <c r="DE293" s="399">
        <v>0</v>
      </c>
      <c r="DF293" s="399">
        <v>0</v>
      </c>
      <c r="DG293" s="399">
        <v>0</v>
      </c>
      <c r="DH293" s="399">
        <v>0</v>
      </c>
      <c r="DI293" s="399">
        <v>0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0</v>
      </c>
      <c r="DP293" s="399">
        <v>-1.3667556566239298</v>
      </c>
      <c r="DQ293" s="399">
        <v>0</v>
      </c>
      <c r="DR293" s="399">
        <v>0</v>
      </c>
      <c r="DS293" s="399"/>
      <c r="DT293" s="399"/>
      <c r="DU293" s="399"/>
      <c r="DV293" s="399">
        <v>6518.6945871260559</v>
      </c>
      <c r="DW293" s="399">
        <v>0</v>
      </c>
      <c r="DX293" s="399">
        <v>0</v>
      </c>
      <c r="DY293" s="399">
        <v>-4198.7969999999987</v>
      </c>
      <c r="DZ293" s="399">
        <v>0</v>
      </c>
      <c r="EA293" s="399">
        <v>0</v>
      </c>
      <c r="EB293" s="399">
        <v>0</v>
      </c>
      <c r="EC293" s="399">
        <v>-4064.2556022524213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221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293</v>
      </c>
      <c r="B294" s="399" t="s">
        <v>2329</v>
      </c>
      <c r="C294" s="399" t="s">
        <v>2328</v>
      </c>
      <c r="D294" s="399" t="s">
        <v>1821</v>
      </c>
      <c r="E294" s="399" t="s">
        <v>889</v>
      </c>
      <c r="F294" s="399" t="s">
        <v>2331</v>
      </c>
      <c r="G294" s="399" t="s">
        <v>1239</v>
      </c>
      <c r="H294" s="399" t="s">
        <v>1239</v>
      </c>
      <c r="I294" s="399" t="s">
        <v>1239</v>
      </c>
      <c r="J294" s="399" t="s">
        <v>2326</v>
      </c>
      <c r="K294" s="786">
        <v>44652</v>
      </c>
      <c r="L294" s="399">
        <v>0</v>
      </c>
      <c r="M294" s="399">
        <v>0</v>
      </c>
      <c r="N294" s="399">
        <v>-0.03</v>
      </c>
      <c r="O294" s="399">
        <v>-0.03</v>
      </c>
      <c r="P294" s="399">
        <v>-0.03</v>
      </c>
      <c r="Q294" s="399">
        <v>-0.03</v>
      </c>
      <c r="R294" s="399"/>
      <c r="S294" s="399">
        <v>753.62</v>
      </c>
      <c r="T294" s="399">
        <v>185.74</v>
      </c>
      <c r="U294" s="399"/>
      <c r="V294" s="399">
        <v>-28.180799999999998</v>
      </c>
      <c r="W294" s="399">
        <v>-28.180799999999998</v>
      </c>
      <c r="X294" s="399">
        <v>-16.832700000000003</v>
      </c>
      <c r="Y294" s="399">
        <v>0</v>
      </c>
      <c r="Z294" s="399">
        <v>0</v>
      </c>
      <c r="AA294" s="399">
        <v>0</v>
      </c>
      <c r="AB294" s="399">
        <v>0</v>
      </c>
      <c r="AC294" s="399">
        <v>0</v>
      </c>
      <c r="AD294" s="399">
        <v>-3.90995118753492</v>
      </c>
      <c r="AE294" s="399">
        <v>-17.618093478719071</v>
      </c>
      <c r="AF294" s="399">
        <v>-5.5723286381540102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0</v>
      </c>
      <c r="AM294" s="399"/>
      <c r="AN294" s="399">
        <v>-7.1126020448015095E-2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-1.009514971672278</v>
      </c>
      <c r="BH294" s="399">
        <v>0</v>
      </c>
      <c r="BI294" s="399">
        <v>0</v>
      </c>
      <c r="BJ294" s="399">
        <v>-0.01</v>
      </c>
      <c r="BK294" s="399">
        <v>-0.8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>
        <v>-10.9413</v>
      </c>
      <c r="BU294" s="399"/>
      <c r="BV294" s="399">
        <v>-6.5818436098262882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-5.8914</v>
      </c>
      <c r="CJ294" s="399">
        <v>3.9419999999999993</v>
      </c>
      <c r="CK294" s="399"/>
      <c r="CL294" s="399"/>
      <c r="CM294" s="399"/>
      <c r="CN294" s="399"/>
      <c r="CO294" s="399">
        <v>11.348099999999999</v>
      </c>
      <c r="CP294" s="399">
        <v>0</v>
      </c>
      <c r="CQ294" s="399">
        <v>30</v>
      </c>
      <c r="CR294" s="399">
        <v>0.36363080511505075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0.35993687090796023</v>
      </c>
      <c r="DA294" s="399">
        <v>0</v>
      </c>
      <c r="DB294" s="399">
        <v>0</v>
      </c>
      <c r="DC294" s="399">
        <v>0</v>
      </c>
      <c r="DD294" s="399">
        <v>0</v>
      </c>
      <c r="DE294" s="399">
        <v>0</v>
      </c>
      <c r="DF294" s="399">
        <v>0</v>
      </c>
      <c r="DG294" s="399">
        <v>0</v>
      </c>
      <c r="DH294" s="399">
        <v>0</v>
      </c>
      <c r="DI294" s="399">
        <v>0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0</v>
      </c>
      <c r="DP294" s="399">
        <v>3.6939342070917008E-3</v>
      </c>
      <c r="DQ294" s="399">
        <v>0</v>
      </c>
      <c r="DR294" s="399">
        <v>0</v>
      </c>
      <c r="DS294" s="399"/>
      <c r="DT294" s="399"/>
      <c r="DU294" s="399"/>
      <c r="DV294" s="399">
        <v>-17.618093478719071</v>
      </c>
      <c r="DW294" s="399">
        <v>0</v>
      </c>
      <c r="DX294" s="399">
        <v>0</v>
      </c>
      <c r="DY294" s="399">
        <v>11.348099999999999</v>
      </c>
      <c r="DZ294" s="399">
        <v>0</v>
      </c>
      <c r="EA294" s="399">
        <v>0</v>
      </c>
      <c r="EB294" s="399">
        <v>0</v>
      </c>
      <c r="EC294" s="399">
        <v>10.984474600682223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221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294</v>
      </c>
      <c r="B295" s="399" t="s">
        <v>2330</v>
      </c>
      <c r="C295" s="399" t="s">
        <v>2328</v>
      </c>
      <c r="D295" s="399" t="s">
        <v>1821</v>
      </c>
      <c r="E295" s="399" t="s">
        <v>889</v>
      </c>
      <c r="F295" s="399" t="s">
        <v>2331</v>
      </c>
      <c r="G295" s="399" t="s">
        <v>1239</v>
      </c>
      <c r="H295" s="399" t="s">
        <v>1239</v>
      </c>
      <c r="I295" s="399" t="s">
        <v>1239</v>
      </c>
      <c r="J295" s="399" t="s">
        <v>2326</v>
      </c>
      <c r="K295" s="786">
        <v>44652</v>
      </c>
      <c r="L295" s="399">
        <v>0</v>
      </c>
      <c r="M295" s="399">
        <v>0</v>
      </c>
      <c r="N295" s="399">
        <v>5.2999999999999999E-2</v>
      </c>
      <c r="O295" s="399">
        <v>-5.0349999999999999E-2</v>
      </c>
      <c r="P295" s="399">
        <v>5.2999999999999999E-2</v>
      </c>
      <c r="Q295" s="399">
        <v>-5.0349999999999999E-2</v>
      </c>
      <c r="R295" s="399"/>
      <c r="S295" s="399">
        <v>753.62</v>
      </c>
      <c r="T295" s="399">
        <v>185.74</v>
      </c>
      <c r="U295" s="399"/>
      <c r="V295" s="399">
        <v>49.786079999999998</v>
      </c>
      <c r="W295" s="399">
        <v>49.786079999999998</v>
      </c>
      <c r="X295" s="399">
        <v>29.737770000000001</v>
      </c>
      <c r="Y295" s="399">
        <v>0</v>
      </c>
      <c r="Z295" s="399">
        <v>0</v>
      </c>
      <c r="AA295" s="399">
        <v>0</v>
      </c>
      <c r="AB295" s="399">
        <v>0</v>
      </c>
      <c r="AC295" s="399">
        <v>0</v>
      </c>
      <c r="AD295" s="399">
        <v>6.9075804313116924</v>
      </c>
      <c r="AE295" s="399">
        <v>31.125298479070359</v>
      </c>
      <c r="AF295" s="399">
        <v>9.8444472607387521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0</v>
      </c>
      <c r="AM295" s="399"/>
      <c r="AN295" s="399">
        <v>0.12565596945815999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1.7834764499543578</v>
      </c>
      <c r="BH295" s="399">
        <v>0</v>
      </c>
      <c r="BI295" s="399">
        <v>0</v>
      </c>
      <c r="BJ295" s="399">
        <v>0.01</v>
      </c>
      <c r="BK295" s="399">
        <v>2.33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>
        <v>39.625503000000002</v>
      </c>
      <c r="BU295" s="399"/>
      <c r="BV295" s="399">
        <v>11.627923710693111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-9.8190000000000008</v>
      </c>
      <c r="CJ295" s="399">
        <v>6.705072999999997</v>
      </c>
      <c r="CK295" s="399"/>
      <c r="CL295" s="399"/>
      <c r="CM295" s="399"/>
      <c r="CN295" s="399"/>
      <c r="CO295" s="399">
        <v>-20.048309999999997</v>
      </c>
      <c r="CP295" s="399">
        <v>0</v>
      </c>
      <c r="CQ295" s="399">
        <v>30</v>
      </c>
      <c r="CR295" s="399">
        <v>-0.64241442236992441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-0.63588847193739628</v>
      </c>
      <c r="DA295" s="399">
        <v>0</v>
      </c>
      <c r="DB295" s="399">
        <v>0</v>
      </c>
      <c r="DC295" s="399">
        <v>0</v>
      </c>
      <c r="DD295" s="399">
        <v>0</v>
      </c>
      <c r="DE295" s="399">
        <v>0</v>
      </c>
      <c r="DF295" s="399">
        <v>0</v>
      </c>
      <c r="DG295" s="399">
        <v>0</v>
      </c>
      <c r="DH295" s="399">
        <v>0</v>
      </c>
      <c r="DI295" s="399">
        <v>0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0</v>
      </c>
      <c r="DP295" s="399">
        <v>-6.5259504325286544E-3</v>
      </c>
      <c r="DQ295" s="399">
        <v>0</v>
      </c>
      <c r="DR295" s="399">
        <v>0</v>
      </c>
      <c r="DS295" s="399"/>
      <c r="DT295" s="399"/>
      <c r="DU295" s="399"/>
      <c r="DV295" s="399">
        <v>31.125298479070359</v>
      </c>
      <c r="DW295" s="399">
        <v>0</v>
      </c>
      <c r="DX295" s="399">
        <v>0</v>
      </c>
      <c r="DY295" s="399">
        <v>-20.048309999999997</v>
      </c>
      <c r="DZ295" s="399">
        <v>0</v>
      </c>
      <c r="EA295" s="399">
        <v>0</v>
      </c>
      <c r="EB295" s="399">
        <v>0</v>
      </c>
      <c r="EC295" s="399">
        <v>-19.405905127871925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221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295</v>
      </c>
      <c r="B296" s="399" t="s">
        <v>956</v>
      </c>
      <c r="C296" s="399" t="s">
        <v>2328</v>
      </c>
      <c r="D296" s="399" t="s">
        <v>1821</v>
      </c>
      <c r="E296" s="399" t="s">
        <v>889</v>
      </c>
      <c r="F296" s="399" t="s">
        <v>2332</v>
      </c>
      <c r="G296" s="399" t="s">
        <v>1239</v>
      </c>
      <c r="H296" s="399" t="s">
        <v>1239</v>
      </c>
      <c r="I296" s="399" t="s">
        <v>1239</v>
      </c>
      <c r="J296" s="399" t="s">
        <v>2326</v>
      </c>
      <c r="K296" s="786">
        <v>44652</v>
      </c>
      <c r="L296" s="399">
        <v>0</v>
      </c>
      <c r="M296" s="399">
        <v>0</v>
      </c>
      <c r="N296" s="399">
        <v>22.285</v>
      </c>
      <c r="O296" s="399">
        <v>22.285</v>
      </c>
      <c r="P296" s="399">
        <v>22.285</v>
      </c>
      <c r="Q296" s="399">
        <v>22.285</v>
      </c>
      <c r="R296" s="399"/>
      <c r="S296" s="399">
        <v>753.62</v>
      </c>
      <c r="T296" s="399">
        <v>185.74</v>
      </c>
      <c r="U296" s="399"/>
      <c r="V296" s="399">
        <v>20933.637599999998</v>
      </c>
      <c r="W296" s="399">
        <v>20933.637599999998</v>
      </c>
      <c r="X296" s="399">
        <v>12503.890650000001</v>
      </c>
      <c r="Y296" s="399">
        <v>0</v>
      </c>
      <c r="Z296" s="399">
        <v>0</v>
      </c>
      <c r="AA296" s="399">
        <v>0</v>
      </c>
      <c r="AB296" s="399">
        <v>0</v>
      </c>
      <c r="AC296" s="399">
        <v>0</v>
      </c>
      <c r="AD296" s="399">
        <v>2904.4420738071899</v>
      </c>
      <c r="AE296" s="399">
        <v>13087.307105775149</v>
      </c>
      <c r="AF296" s="399">
        <v>4139.3114567087378</v>
      </c>
      <c r="AG296" s="399">
        <v>0</v>
      </c>
      <c r="AH296" s="399">
        <v>0</v>
      </c>
      <c r="AI296" s="399">
        <v>0</v>
      </c>
      <c r="AJ296" s="399">
        <v>0</v>
      </c>
      <c r="AK296" s="399">
        <v>0</v>
      </c>
      <c r="AL296" s="399">
        <v>0</v>
      </c>
      <c r="AM296" s="399"/>
      <c r="AN296" s="399">
        <v>52.83477885613388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749.90137145722383</v>
      </c>
      <c r="BH296" s="399">
        <v>0</v>
      </c>
      <c r="BI296" s="399">
        <v>3.02</v>
      </c>
      <c r="BJ296" s="399">
        <v>12.74</v>
      </c>
      <c r="BK296" s="399">
        <v>1024.98</v>
      </c>
      <c r="BL296" s="399">
        <v>45</v>
      </c>
      <c r="BM296" s="399"/>
      <c r="BN296" s="399"/>
      <c r="BO296" s="399"/>
      <c r="BP296" s="399"/>
      <c r="BQ296" s="399"/>
      <c r="BR296" s="399"/>
      <c r="BS296" s="399"/>
      <c r="BT296" s="399">
        <v>5001.4225500000002</v>
      </c>
      <c r="BU296" s="399"/>
      <c r="BV296" s="399">
        <v>4889.2128281659616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7504.1514000000006</v>
      </c>
      <c r="CJ296" s="399">
        <v>-5056.1502999999993</v>
      </c>
      <c r="CK296" s="399"/>
      <c r="CL296" s="399"/>
      <c r="CM296" s="399"/>
      <c r="CN296" s="399"/>
      <c r="CO296" s="399">
        <v>-8429.7469499999988</v>
      </c>
      <c r="CP296" s="399">
        <v>0</v>
      </c>
      <c r="CQ296" s="399">
        <v>30</v>
      </c>
      <c r="CR296" s="399">
        <v>-270.11708306629771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-267.37310560612968</v>
      </c>
      <c r="DA296" s="399">
        <v>0</v>
      </c>
      <c r="DB296" s="399">
        <v>0</v>
      </c>
      <c r="DC296" s="399">
        <v>0</v>
      </c>
      <c r="DD296" s="399">
        <v>0</v>
      </c>
      <c r="DE296" s="399">
        <v>0</v>
      </c>
      <c r="DF296" s="399">
        <v>0</v>
      </c>
      <c r="DG296" s="399">
        <v>0</v>
      </c>
      <c r="DH296" s="399">
        <v>0</v>
      </c>
      <c r="DI296" s="399">
        <v>0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0</v>
      </c>
      <c r="DP296" s="399">
        <v>-2.7439774601679474</v>
      </c>
      <c r="DQ296" s="399">
        <v>0</v>
      </c>
      <c r="DR296" s="399">
        <v>0</v>
      </c>
      <c r="DS296" s="399"/>
      <c r="DT296" s="399"/>
      <c r="DU296" s="399"/>
      <c r="DV296" s="399">
        <v>13087.307105775149</v>
      </c>
      <c r="DW296" s="399">
        <v>0</v>
      </c>
      <c r="DX296" s="399">
        <v>0</v>
      </c>
      <c r="DY296" s="399">
        <v>-8429.7469499999988</v>
      </c>
      <c r="DZ296" s="399">
        <v>0</v>
      </c>
      <c r="EA296" s="399">
        <v>0</v>
      </c>
      <c r="EB296" s="399">
        <v>0</v>
      </c>
      <c r="EC296" s="399">
        <v>-8159.633882540109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221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296</v>
      </c>
      <c r="B297" s="399" t="s">
        <v>2329</v>
      </c>
      <c r="C297" s="399" t="s">
        <v>2328</v>
      </c>
      <c r="D297" s="399" t="s">
        <v>1821</v>
      </c>
      <c r="E297" s="399" t="s">
        <v>889</v>
      </c>
      <c r="F297" s="399" t="s">
        <v>2332</v>
      </c>
      <c r="G297" s="399" t="s">
        <v>1239</v>
      </c>
      <c r="H297" s="399" t="s">
        <v>1239</v>
      </c>
      <c r="I297" s="399" t="s">
        <v>1239</v>
      </c>
      <c r="J297" s="399" t="s">
        <v>2326</v>
      </c>
      <c r="K297" s="786">
        <v>44652</v>
      </c>
      <c r="L297" s="399">
        <v>0</v>
      </c>
      <c r="M297" s="399">
        <v>0</v>
      </c>
      <c r="N297" s="399">
        <v>-7.0000000000000007E-2</v>
      </c>
      <c r="O297" s="399">
        <v>-7.0000000000000007E-2</v>
      </c>
      <c r="P297" s="399">
        <v>-7.0000000000000007E-2</v>
      </c>
      <c r="Q297" s="399">
        <v>-7.0000000000000007E-2</v>
      </c>
      <c r="R297" s="399"/>
      <c r="S297" s="399">
        <v>753.62</v>
      </c>
      <c r="T297" s="399">
        <v>185.74</v>
      </c>
      <c r="U297" s="399"/>
      <c r="V297" s="399">
        <v>-65.755200000000002</v>
      </c>
      <c r="W297" s="399">
        <v>-65.755200000000002</v>
      </c>
      <c r="X297" s="399">
        <v>-39.276300000000006</v>
      </c>
      <c r="Y297" s="399">
        <v>0</v>
      </c>
      <c r="Z297" s="399">
        <v>0</v>
      </c>
      <c r="AA297" s="399">
        <v>0</v>
      </c>
      <c r="AB297" s="399">
        <v>0</v>
      </c>
      <c r="AC297" s="399">
        <v>0</v>
      </c>
      <c r="AD297" s="399">
        <v>-9.123219437581481</v>
      </c>
      <c r="AE297" s="399">
        <v>-41.108884783677837</v>
      </c>
      <c r="AF297" s="399">
        <v>-13.002100155692691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0</v>
      </c>
      <c r="AM297" s="399"/>
      <c r="AN297" s="399">
        <v>-0.16596071437870191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-2.3555349339019824</v>
      </c>
      <c r="BH297" s="399">
        <v>0</v>
      </c>
      <c r="BI297" s="399">
        <v>-0.01</v>
      </c>
      <c r="BJ297" s="399">
        <v>-0.04</v>
      </c>
      <c r="BK297" s="399">
        <v>-3.22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>
        <v>-15.710100000000004</v>
      </c>
      <c r="BU297" s="399"/>
      <c r="BV297" s="399">
        <v>-15.357635089594673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-23.566200000000002</v>
      </c>
      <c r="CJ297" s="399">
        <v>15.857200000000006</v>
      </c>
      <c r="CK297" s="399"/>
      <c r="CL297" s="399"/>
      <c r="CM297" s="399"/>
      <c r="CN297" s="399"/>
      <c r="CO297" s="399">
        <v>26.478900000000003</v>
      </c>
      <c r="CP297" s="399">
        <v>0</v>
      </c>
      <c r="CQ297" s="399">
        <v>30</v>
      </c>
      <c r="CR297" s="399">
        <v>0.84847187860179218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0.83985269878523994</v>
      </c>
      <c r="DA297" s="399">
        <v>0</v>
      </c>
      <c r="DB297" s="399">
        <v>0</v>
      </c>
      <c r="DC297" s="399">
        <v>0</v>
      </c>
      <c r="DD297" s="399">
        <v>0</v>
      </c>
      <c r="DE297" s="399">
        <v>0</v>
      </c>
      <c r="DF297" s="399">
        <v>0</v>
      </c>
      <c r="DG297" s="399">
        <v>0</v>
      </c>
      <c r="DH297" s="399">
        <v>0</v>
      </c>
      <c r="DI297" s="399">
        <v>0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0</v>
      </c>
      <c r="DP297" s="399">
        <v>8.6191798165473066E-3</v>
      </c>
      <c r="DQ297" s="399">
        <v>0</v>
      </c>
      <c r="DR297" s="399">
        <v>0</v>
      </c>
      <c r="DS297" s="399"/>
      <c r="DT297" s="399"/>
      <c r="DU297" s="399"/>
      <c r="DV297" s="399">
        <v>-41.108884783677837</v>
      </c>
      <c r="DW297" s="399">
        <v>0</v>
      </c>
      <c r="DX297" s="399">
        <v>0</v>
      </c>
      <c r="DY297" s="399">
        <v>26.478900000000003</v>
      </c>
      <c r="DZ297" s="399">
        <v>0</v>
      </c>
      <c r="EA297" s="399">
        <v>0</v>
      </c>
      <c r="EB297" s="399">
        <v>0</v>
      </c>
      <c r="EC297" s="399">
        <v>25.630440734925187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221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297</v>
      </c>
      <c r="B298" s="399" t="s">
        <v>2330</v>
      </c>
      <c r="C298" s="399" t="s">
        <v>2328</v>
      </c>
      <c r="D298" s="399" t="s">
        <v>1821</v>
      </c>
      <c r="E298" s="399" t="s">
        <v>889</v>
      </c>
      <c r="F298" s="399" t="s">
        <v>2332</v>
      </c>
      <c r="G298" s="399" t="s">
        <v>1239</v>
      </c>
      <c r="H298" s="399" t="s">
        <v>1239</v>
      </c>
      <c r="I298" s="399" t="s">
        <v>1239</v>
      </c>
      <c r="J298" s="399" t="s">
        <v>2326</v>
      </c>
      <c r="K298" s="786">
        <v>44652</v>
      </c>
      <c r="L298" s="399">
        <v>0</v>
      </c>
      <c r="M298" s="399">
        <v>0</v>
      </c>
      <c r="N298" s="399">
        <v>0</v>
      </c>
      <c r="O298" s="399">
        <v>0</v>
      </c>
      <c r="P298" s="399">
        <v>0</v>
      </c>
      <c r="Q298" s="399">
        <v>0</v>
      </c>
      <c r="R298" s="399"/>
      <c r="S298" s="399"/>
      <c r="T298" s="399"/>
      <c r="U298" s="399"/>
      <c r="V298" s="399"/>
      <c r="W298" s="399"/>
      <c r="X298" s="399"/>
      <c r="Y298" s="399"/>
      <c r="Z298" s="399"/>
      <c r="AA298" s="399">
        <v>0</v>
      </c>
      <c r="AB298" s="399"/>
      <c r="AC298" s="399"/>
      <c r="AD298" s="399"/>
      <c r="AE298" s="399"/>
      <c r="AF298" s="399"/>
      <c r="AG298" s="399"/>
      <c r="AH298" s="399"/>
      <c r="AI298" s="399"/>
      <c r="AJ298" s="399"/>
      <c r="AK298" s="399"/>
      <c r="AL298" s="399"/>
      <c r="AM298" s="399"/>
      <c r="AN298" s="399"/>
      <c r="AO298" s="399"/>
      <c r="AP298" s="399"/>
      <c r="AQ298" s="399"/>
      <c r="AR298" s="399"/>
      <c r="AS298" s="399"/>
      <c r="AT298" s="399"/>
      <c r="AU298" s="399"/>
      <c r="AV298" s="399"/>
      <c r="AW298" s="399"/>
      <c r="AX298" s="399"/>
      <c r="AY298" s="399"/>
      <c r="AZ298" s="399">
        <v>0</v>
      </c>
      <c r="BA298" s="399"/>
      <c r="BB298" s="399"/>
      <c r="BC298" s="399"/>
      <c r="BD298" s="399"/>
      <c r="BE298" s="399"/>
      <c r="BF298" s="399"/>
      <c r="BG298" s="399"/>
      <c r="BH298" s="399"/>
      <c r="BI298" s="399">
        <v>0</v>
      </c>
      <c r="BJ298" s="399">
        <v>0</v>
      </c>
      <c r="BK298" s="399">
        <v>8</v>
      </c>
      <c r="BL298" s="399">
        <v>0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/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/>
      <c r="CJ298" s="399">
        <v>-0.03</v>
      </c>
      <c r="CK298" s="399"/>
      <c r="CL298" s="399"/>
      <c r="CM298" s="399"/>
      <c r="CN298" s="399"/>
      <c r="CO298" s="399">
        <v>0</v>
      </c>
      <c r="CP298" s="399">
        <v>0</v>
      </c>
      <c r="CQ298" s="399">
        <v>30</v>
      </c>
      <c r="CR298" s="399"/>
      <c r="CS298" s="399"/>
      <c r="CT298" s="399"/>
      <c r="CU298" s="399"/>
      <c r="CV298" s="399"/>
      <c r="CW298" s="399"/>
      <c r="CX298" s="399"/>
      <c r="CY298" s="399"/>
      <c r="CZ298" s="399"/>
      <c r="DA298" s="399"/>
      <c r="DB298" s="399"/>
      <c r="DC298" s="399"/>
      <c r="DD298" s="399"/>
      <c r="DE298" s="399"/>
      <c r="DF298" s="399"/>
      <c r="DG298" s="399"/>
      <c r="DH298" s="399"/>
      <c r="DI298" s="399"/>
      <c r="DJ298" s="399"/>
      <c r="DK298" s="399">
        <v>0</v>
      </c>
      <c r="DL298" s="399"/>
      <c r="DM298" s="399"/>
      <c r="DN298" s="399"/>
      <c r="DO298" s="399"/>
      <c r="DP298" s="399"/>
      <c r="DQ298" s="399"/>
      <c r="DR298" s="399"/>
      <c r="DS298" s="399"/>
      <c r="DT298" s="399"/>
      <c r="DU298" s="399"/>
      <c r="DV298" s="399"/>
      <c r="DW298" s="399"/>
      <c r="DX298" s="399"/>
      <c r="DY298" s="399"/>
      <c r="DZ298" s="399"/>
      <c r="EA298" s="399"/>
      <c r="EB298" s="399"/>
      <c r="EC298" s="399"/>
      <c r="ED298" s="399"/>
      <c r="EE298" s="399"/>
      <c r="EF298" s="399"/>
      <c r="EG298" s="399"/>
      <c r="EH298" s="399"/>
      <c r="EI298" s="399"/>
      <c r="EJ298" s="399"/>
      <c r="EK298" s="399"/>
      <c r="EL298" s="399"/>
      <c r="EM298" s="399"/>
      <c r="EN298" s="399"/>
      <c r="EO298" s="399"/>
      <c r="EP298" s="399"/>
      <c r="EQ298" s="399"/>
      <c r="ER298" s="399"/>
      <c r="ES298" s="399"/>
      <c r="ET298" s="399"/>
      <c r="EU298" s="399"/>
      <c r="EV298" s="399">
        <v>221</v>
      </c>
      <c r="EW298" s="399"/>
      <c r="EX298" s="399"/>
      <c r="EY298" s="399"/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298</v>
      </c>
      <c r="B299" s="399" t="s">
        <v>956</v>
      </c>
      <c r="C299" s="399" t="s">
        <v>2328</v>
      </c>
      <c r="D299" s="399" t="s">
        <v>1821</v>
      </c>
      <c r="E299" s="399" t="s">
        <v>889</v>
      </c>
      <c r="F299" s="399" t="s">
        <v>2333</v>
      </c>
      <c r="G299" s="399" t="s">
        <v>1239</v>
      </c>
      <c r="H299" s="399" t="s">
        <v>1239</v>
      </c>
      <c r="I299" s="399" t="s">
        <v>1239</v>
      </c>
      <c r="J299" s="399" t="s">
        <v>2326</v>
      </c>
      <c r="K299" s="786">
        <v>44652</v>
      </c>
      <c r="L299" s="399">
        <v>0</v>
      </c>
      <c r="M299" s="399">
        <v>0</v>
      </c>
      <c r="N299" s="399">
        <v>25.216000000000001</v>
      </c>
      <c r="O299" s="399">
        <v>25.216000000000001</v>
      </c>
      <c r="P299" s="399">
        <v>25.216000000000001</v>
      </c>
      <c r="Q299" s="399">
        <v>25.216000000000001</v>
      </c>
      <c r="R299" s="399"/>
      <c r="S299" s="399">
        <v>753.62</v>
      </c>
      <c r="T299" s="399">
        <v>185.74</v>
      </c>
      <c r="U299" s="399"/>
      <c r="V299" s="399">
        <v>23686.901760000001</v>
      </c>
      <c r="W299" s="399">
        <v>23686.901760000001</v>
      </c>
      <c r="X299" s="399">
        <v>14148.44544</v>
      </c>
      <c r="Y299" s="399">
        <v>0</v>
      </c>
      <c r="Z299" s="399">
        <v>0</v>
      </c>
      <c r="AA299" s="399">
        <v>0</v>
      </c>
      <c r="AB299" s="399">
        <v>0</v>
      </c>
      <c r="AC299" s="399">
        <v>0</v>
      </c>
      <c r="AD299" s="399">
        <v>3286.4443048293519</v>
      </c>
      <c r="AE299" s="399">
        <v>14808.594838646004</v>
      </c>
      <c r="AF299" s="399">
        <v>4683.7279646563848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0</v>
      </c>
      <c r="AM299" s="399"/>
      <c r="AN299" s="399">
        <v>59.783791053904956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848.53098418960542</v>
      </c>
      <c r="BH299" s="399">
        <v>0</v>
      </c>
      <c r="BI299" s="399">
        <v>4.0199999999999996</v>
      </c>
      <c r="BJ299" s="399">
        <v>21.36</v>
      </c>
      <c r="BK299" s="399">
        <v>2942.22</v>
      </c>
      <c r="BL299" s="399">
        <v>172</v>
      </c>
      <c r="BM299" s="399"/>
      <c r="BN299" s="399"/>
      <c r="BO299" s="399"/>
      <c r="BP299" s="399"/>
      <c r="BQ299" s="399"/>
      <c r="BR299" s="399"/>
      <c r="BS299" s="399"/>
      <c r="BT299" s="399">
        <v>1414.6176000000014</v>
      </c>
      <c r="BU299" s="399"/>
      <c r="BV299" s="399">
        <v>5532.2589488459898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12735.8478</v>
      </c>
      <c r="CJ299" s="399">
        <v>-8582.5450799999962</v>
      </c>
      <c r="CK299" s="399"/>
      <c r="CL299" s="399"/>
      <c r="CM299" s="399"/>
      <c r="CN299" s="399"/>
      <c r="CO299" s="399">
        <v>-9538.4563199999993</v>
      </c>
      <c r="CP299" s="399">
        <v>0</v>
      </c>
      <c r="CQ299" s="399">
        <v>30</v>
      </c>
      <c r="CR299" s="399">
        <v>-305.64381272603714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-302.53893789383756</v>
      </c>
      <c r="DA299" s="399">
        <v>0</v>
      </c>
      <c r="DB299" s="399">
        <v>0</v>
      </c>
      <c r="DC299" s="399">
        <v>0</v>
      </c>
      <c r="DD299" s="399">
        <v>0</v>
      </c>
      <c r="DE299" s="399">
        <v>0</v>
      </c>
      <c r="DF299" s="399">
        <v>0</v>
      </c>
      <c r="DG299" s="399">
        <v>0</v>
      </c>
      <c r="DH299" s="399">
        <v>0</v>
      </c>
      <c r="DI299" s="399">
        <v>0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0</v>
      </c>
      <c r="DP299" s="399">
        <v>-3.1048748322008066</v>
      </c>
      <c r="DQ299" s="399">
        <v>0</v>
      </c>
      <c r="DR299" s="399">
        <v>0</v>
      </c>
      <c r="DS299" s="399"/>
      <c r="DT299" s="399"/>
      <c r="DU299" s="399"/>
      <c r="DV299" s="399">
        <v>14808.594838646004</v>
      </c>
      <c r="DW299" s="399">
        <v>0</v>
      </c>
      <c r="DX299" s="399">
        <v>0</v>
      </c>
      <c r="DY299" s="399">
        <v>-9538.4563200000011</v>
      </c>
      <c r="DZ299" s="399">
        <v>0</v>
      </c>
      <c r="EA299" s="399">
        <v>0</v>
      </c>
      <c r="EB299" s="399">
        <v>0</v>
      </c>
      <c r="EC299" s="399">
        <v>-9232.8170510267628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221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299</v>
      </c>
      <c r="B300" s="399" t="s">
        <v>2329</v>
      </c>
      <c r="C300" s="399" t="s">
        <v>2328</v>
      </c>
      <c r="D300" s="399" t="s">
        <v>1821</v>
      </c>
      <c r="E300" s="399" t="s">
        <v>889</v>
      </c>
      <c r="F300" s="399" t="s">
        <v>2333</v>
      </c>
      <c r="G300" s="399" t="s">
        <v>1239</v>
      </c>
      <c r="H300" s="399" t="s">
        <v>1239</v>
      </c>
      <c r="I300" s="399" t="s">
        <v>1239</v>
      </c>
      <c r="J300" s="399" t="s">
        <v>2326</v>
      </c>
      <c r="K300" s="786">
        <v>44652</v>
      </c>
      <c r="L300" s="399">
        <v>0</v>
      </c>
      <c r="M300" s="399">
        <v>0</v>
      </c>
      <c r="N300" s="399">
        <v>-0.05</v>
      </c>
      <c r="O300" s="399">
        <v>-0.05</v>
      </c>
      <c r="P300" s="399">
        <v>-0.05</v>
      </c>
      <c r="Q300" s="399">
        <v>-0.05</v>
      </c>
      <c r="R300" s="399"/>
      <c r="S300" s="399">
        <v>753.62</v>
      </c>
      <c r="T300" s="399">
        <v>185.74</v>
      </c>
      <c r="U300" s="399"/>
      <c r="V300" s="399">
        <v>-46.968000000000004</v>
      </c>
      <c r="W300" s="399">
        <v>-46.968000000000004</v>
      </c>
      <c r="X300" s="399">
        <v>-28.054500000000004</v>
      </c>
      <c r="Y300" s="399">
        <v>0</v>
      </c>
      <c r="Z300" s="399">
        <v>0</v>
      </c>
      <c r="AA300" s="399">
        <v>0</v>
      </c>
      <c r="AB300" s="399">
        <v>0</v>
      </c>
      <c r="AC300" s="399">
        <v>0</v>
      </c>
      <c r="AD300" s="399">
        <v>-6.5165853125582007</v>
      </c>
      <c r="AE300" s="399">
        <v>-29.363489131198452</v>
      </c>
      <c r="AF300" s="399">
        <v>-9.2872143969233516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0</v>
      </c>
      <c r="AM300" s="399"/>
      <c r="AN300" s="399">
        <v>-0.1185433674133585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-1.68252495278713</v>
      </c>
      <c r="BH300" s="399">
        <v>0</v>
      </c>
      <c r="BI300" s="399">
        <v>-0.01</v>
      </c>
      <c r="BJ300" s="399">
        <v>-0.05</v>
      </c>
      <c r="BK300" s="399">
        <v>-3.45</v>
      </c>
      <c r="BL300" s="399">
        <v>0</v>
      </c>
      <c r="BM300" s="399"/>
      <c r="BN300" s="399"/>
      <c r="BO300" s="399"/>
      <c r="BP300" s="399"/>
      <c r="BQ300" s="399"/>
      <c r="BR300" s="399"/>
      <c r="BS300" s="399"/>
      <c r="BT300" s="399">
        <v>-2.8050000000000028</v>
      </c>
      <c r="BU300" s="399"/>
      <c r="BV300" s="399">
        <v>-10.969739349710482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-25.249500000000001</v>
      </c>
      <c r="CJ300" s="399">
        <v>16.992000000000008</v>
      </c>
      <c r="CK300" s="399"/>
      <c r="CL300" s="399"/>
      <c r="CM300" s="399"/>
      <c r="CN300" s="399"/>
      <c r="CO300" s="399">
        <v>18.913499999999999</v>
      </c>
      <c r="CP300" s="399">
        <v>0</v>
      </c>
      <c r="CQ300" s="399">
        <v>30</v>
      </c>
      <c r="CR300" s="399">
        <v>0.60605134185842147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0.59989478484660008</v>
      </c>
      <c r="DA300" s="399">
        <v>0</v>
      </c>
      <c r="DB300" s="399">
        <v>0</v>
      </c>
      <c r="DC300" s="399">
        <v>0</v>
      </c>
      <c r="DD300" s="399">
        <v>0</v>
      </c>
      <c r="DE300" s="399">
        <v>0</v>
      </c>
      <c r="DF300" s="399">
        <v>0</v>
      </c>
      <c r="DG300" s="399">
        <v>0</v>
      </c>
      <c r="DH300" s="399">
        <v>0</v>
      </c>
      <c r="DI300" s="399">
        <v>0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0</v>
      </c>
      <c r="DP300" s="399">
        <v>6.1565570118194968E-3</v>
      </c>
      <c r="DQ300" s="399">
        <v>0</v>
      </c>
      <c r="DR300" s="399">
        <v>0</v>
      </c>
      <c r="DS300" s="399"/>
      <c r="DT300" s="399"/>
      <c r="DU300" s="399"/>
      <c r="DV300" s="399">
        <v>-29.363489131198452</v>
      </c>
      <c r="DW300" s="399">
        <v>0</v>
      </c>
      <c r="DX300" s="399">
        <v>0</v>
      </c>
      <c r="DY300" s="399">
        <v>18.913500000000003</v>
      </c>
      <c r="DZ300" s="399">
        <v>0</v>
      </c>
      <c r="EA300" s="399">
        <v>0</v>
      </c>
      <c r="EB300" s="399">
        <v>0</v>
      </c>
      <c r="EC300" s="399">
        <v>18.307457667803703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221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300</v>
      </c>
      <c r="B301" s="399" t="s">
        <v>2330</v>
      </c>
      <c r="C301" s="399" t="s">
        <v>2328</v>
      </c>
      <c r="D301" s="399" t="s">
        <v>1821</v>
      </c>
      <c r="E301" s="399" t="s">
        <v>889</v>
      </c>
      <c r="F301" s="399" t="s">
        <v>2333</v>
      </c>
      <c r="G301" s="399" t="s">
        <v>1239</v>
      </c>
      <c r="H301" s="399" t="s">
        <v>1239</v>
      </c>
      <c r="I301" s="399" t="s">
        <v>1239</v>
      </c>
      <c r="J301" s="399" t="s">
        <v>2326</v>
      </c>
      <c r="K301" s="786">
        <v>44652</v>
      </c>
      <c r="L301" s="399">
        <v>0</v>
      </c>
      <c r="M301" s="399">
        <v>0</v>
      </c>
      <c r="N301" s="399">
        <v>0</v>
      </c>
      <c r="O301" s="399">
        <v>0</v>
      </c>
      <c r="P301" s="399">
        <v>0</v>
      </c>
      <c r="Q301" s="399">
        <v>0</v>
      </c>
      <c r="R301" s="399"/>
      <c r="S301" s="399"/>
      <c r="T301" s="399"/>
      <c r="U301" s="399"/>
      <c r="V301" s="399"/>
      <c r="W301" s="399"/>
      <c r="X301" s="399"/>
      <c r="Y301" s="399"/>
      <c r="Z301" s="399"/>
      <c r="AA301" s="399">
        <v>0</v>
      </c>
      <c r="AB301" s="399"/>
      <c r="AC301" s="399"/>
      <c r="AD301" s="399"/>
      <c r="AE301" s="399"/>
      <c r="AF301" s="399"/>
      <c r="AG301" s="399"/>
      <c r="AH301" s="399"/>
      <c r="AI301" s="399"/>
      <c r="AJ301" s="399"/>
      <c r="AK301" s="399"/>
      <c r="AL301" s="399"/>
      <c r="AM301" s="399"/>
      <c r="AN301" s="399"/>
      <c r="AO301" s="399"/>
      <c r="AP301" s="399"/>
      <c r="AQ301" s="399"/>
      <c r="AR301" s="399"/>
      <c r="AS301" s="399"/>
      <c r="AT301" s="399"/>
      <c r="AU301" s="399"/>
      <c r="AV301" s="399"/>
      <c r="AW301" s="399"/>
      <c r="AX301" s="399"/>
      <c r="AY301" s="399"/>
      <c r="AZ301" s="399">
        <v>0</v>
      </c>
      <c r="BA301" s="399"/>
      <c r="BB301" s="399"/>
      <c r="BC301" s="399"/>
      <c r="BD301" s="399"/>
      <c r="BE301" s="399"/>
      <c r="BF301" s="399"/>
      <c r="BG301" s="399"/>
      <c r="BH301" s="399"/>
      <c r="BI301" s="399">
        <v>0</v>
      </c>
      <c r="BJ301" s="399">
        <v>0</v>
      </c>
      <c r="BK301" s="399">
        <v>40.630000000000003</v>
      </c>
      <c r="BL301" s="399">
        <v>0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/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/>
      <c r="CJ301" s="399">
        <v>-0.03</v>
      </c>
      <c r="CK301" s="399"/>
      <c r="CL301" s="399"/>
      <c r="CM301" s="399"/>
      <c r="CN301" s="399"/>
      <c r="CO301" s="399">
        <v>0</v>
      </c>
      <c r="CP301" s="399">
        <v>0</v>
      </c>
      <c r="CQ301" s="399">
        <v>30</v>
      </c>
      <c r="CR301" s="399"/>
      <c r="CS301" s="399"/>
      <c r="CT301" s="399"/>
      <c r="CU301" s="399"/>
      <c r="CV301" s="399"/>
      <c r="CW301" s="399"/>
      <c r="CX301" s="399"/>
      <c r="CY301" s="399"/>
      <c r="CZ301" s="399"/>
      <c r="DA301" s="399"/>
      <c r="DB301" s="399"/>
      <c r="DC301" s="399"/>
      <c r="DD301" s="399"/>
      <c r="DE301" s="399"/>
      <c r="DF301" s="399"/>
      <c r="DG301" s="399"/>
      <c r="DH301" s="399"/>
      <c r="DI301" s="399"/>
      <c r="DJ301" s="399"/>
      <c r="DK301" s="399">
        <v>0</v>
      </c>
      <c r="DL301" s="399"/>
      <c r="DM301" s="399"/>
      <c r="DN301" s="399"/>
      <c r="DO301" s="399"/>
      <c r="DP301" s="399"/>
      <c r="DQ301" s="399"/>
      <c r="DR301" s="399"/>
      <c r="DS301" s="399"/>
      <c r="DT301" s="399"/>
      <c r="DU301" s="399"/>
      <c r="DV301" s="399"/>
      <c r="DW301" s="399"/>
      <c r="DX301" s="399"/>
      <c r="DY301" s="399"/>
      <c r="DZ301" s="399"/>
      <c r="EA301" s="399"/>
      <c r="EB301" s="399"/>
      <c r="EC301" s="399"/>
      <c r="ED301" s="399"/>
      <c r="EE301" s="399"/>
      <c r="EF301" s="399"/>
      <c r="EG301" s="399"/>
      <c r="EH301" s="399"/>
      <c r="EI301" s="399"/>
      <c r="EJ301" s="399"/>
      <c r="EK301" s="399"/>
      <c r="EL301" s="399"/>
      <c r="EM301" s="399"/>
      <c r="EN301" s="399"/>
      <c r="EO301" s="399"/>
      <c r="EP301" s="399"/>
      <c r="EQ301" s="399"/>
      <c r="ER301" s="399"/>
      <c r="ES301" s="399"/>
      <c r="ET301" s="399"/>
      <c r="EU301" s="399"/>
      <c r="EV301" s="399">
        <v>221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301</v>
      </c>
      <c r="B302" s="399" t="s">
        <v>956</v>
      </c>
      <c r="C302" s="399" t="s">
        <v>2328</v>
      </c>
      <c r="D302" s="399" t="s">
        <v>1821</v>
      </c>
      <c r="E302" s="399" t="s">
        <v>889</v>
      </c>
      <c r="F302" s="399" t="s">
        <v>2334</v>
      </c>
      <c r="G302" s="399" t="s">
        <v>1239</v>
      </c>
      <c r="H302" s="399" t="s">
        <v>1239</v>
      </c>
      <c r="I302" s="399" t="s">
        <v>1239</v>
      </c>
      <c r="J302" s="399" t="s">
        <v>2326</v>
      </c>
      <c r="K302" s="786">
        <v>44652</v>
      </c>
      <c r="L302" s="399">
        <v>0</v>
      </c>
      <c r="M302" s="399">
        <v>0</v>
      </c>
      <c r="N302" s="399">
        <v>11.680999999999999</v>
      </c>
      <c r="O302" s="399">
        <v>11.680999999999999</v>
      </c>
      <c r="P302" s="399">
        <v>11.680999999999999</v>
      </c>
      <c r="Q302" s="399">
        <v>11.680999999999999</v>
      </c>
      <c r="R302" s="399"/>
      <c r="S302" s="399">
        <v>753.62</v>
      </c>
      <c r="T302" s="399">
        <v>185.74</v>
      </c>
      <c r="U302" s="399"/>
      <c r="V302" s="399">
        <v>10972.66416</v>
      </c>
      <c r="W302" s="399">
        <v>10972.66416</v>
      </c>
      <c r="X302" s="399">
        <v>6554.0922900000005</v>
      </c>
      <c r="Y302" s="399">
        <v>0</v>
      </c>
      <c r="Z302" s="399">
        <v>0</v>
      </c>
      <c r="AA302" s="399">
        <v>0</v>
      </c>
      <c r="AB302" s="399">
        <v>0</v>
      </c>
      <c r="AC302" s="399">
        <v>0</v>
      </c>
      <c r="AD302" s="399">
        <v>1522.4046607198466</v>
      </c>
      <c r="AE302" s="399">
        <v>6859.8983308305815</v>
      </c>
      <c r="AF302" s="399">
        <v>2169.6790274092332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0</v>
      </c>
      <c r="AM302" s="399"/>
      <c r="AN302" s="399">
        <v>27.694101495108807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393.0714794701293</v>
      </c>
      <c r="BH302" s="399">
        <v>0</v>
      </c>
      <c r="BI302" s="399">
        <v>2.73</v>
      </c>
      <c r="BJ302" s="399">
        <v>11.57</v>
      </c>
      <c r="BK302" s="399">
        <v>2188.89</v>
      </c>
      <c r="BL302" s="399">
        <v>122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2562.7505068793625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6553.5311999999994</v>
      </c>
      <c r="CJ302" s="399">
        <v>-4419.1629600000015</v>
      </c>
      <c r="CK302" s="399"/>
      <c r="CL302" s="399"/>
      <c r="CM302" s="399"/>
      <c r="CN302" s="399"/>
      <c r="CO302" s="399">
        <v>-4418.5718699999998</v>
      </c>
      <c r="CP302" s="399">
        <v>0</v>
      </c>
      <c r="CQ302" s="399">
        <v>30</v>
      </c>
      <c r="CR302" s="399">
        <v>-141.58571448496377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-140.14741963586266</v>
      </c>
      <c r="DA302" s="399">
        <v>0</v>
      </c>
      <c r="DB302" s="399">
        <v>0</v>
      </c>
      <c r="DC302" s="399">
        <v>0</v>
      </c>
      <c r="DD302" s="399">
        <v>0</v>
      </c>
      <c r="DE302" s="399">
        <v>0</v>
      </c>
      <c r="DF302" s="399">
        <v>0</v>
      </c>
      <c r="DG302" s="399">
        <v>0</v>
      </c>
      <c r="DH302" s="399">
        <v>0</v>
      </c>
      <c r="DI302" s="399">
        <v>0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0</v>
      </c>
      <c r="DP302" s="399">
        <v>-1.4382948491012684</v>
      </c>
      <c r="DQ302" s="399">
        <v>0</v>
      </c>
      <c r="DR302" s="399">
        <v>0</v>
      </c>
      <c r="DS302" s="399"/>
      <c r="DT302" s="399"/>
      <c r="DU302" s="399"/>
      <c r="DV302" s="399">
        <v>6859.8983308305815</v>
      </c>
      <c r="DW302" s="399">
        <v>0</v>
      </c>
      <c r="DX302" s="399">
        <v>0</v>
      </c>
      <c r="DY302" s="399">
        <v>-4418.5718699999998</v>
      </c>
      <c r="DZ302" s="399">
        <v>0</v>
      </c>
      <c r="EA302" s="399">
        <v>0</v>
      </c>
      <c r="EB302" s="399">
        <v>0</v>
      </c>
      <c r="EC302" s="399">
        <v>-4276.9882603523001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221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302</v>
      </c>
      <c r="B303" s="399" t="s">
        <v>2330</v>
      </c>
      <c r="C303" s="399" t="s">
        <v>2328</v>
      </c>
      <c r="D303" s="399" t="s">
        <v>1821</v>
      </c>
      <c r="E303" s="399" t="s">
        <v>889</v>
      </c>
      <c r="F303" s="399" t="s">
        <v>2334</v>
      </c>
      <c r="G303" s="399" t="s">
        <v>1239</v>
      </c>
      <c r="H303" s="399" t="s">
        <v>1239</v>
      </c>
      <c r="I303" s="399" t="s">
        <v>1239</v>
      </c>
      <c r="J303" s="399" t="s">
        <v>2326</v>
      </c>
      <c r="K303" s="786">
        <v>44652</v>
      </c>
      <c r="L303" s="399">
        <v>0</v>
      </c>
      <c r="M303" s="399">
        <v>0</v>
      </c>
      <c r="N303" s="399">
        <v>0</v>
      </c>
      <c r="O303" s="399">
        <v>0</v>
      </c>
      <c r="P303" s="399">
        <v>0</v>
      </c>
      <c r="Q303" s="399">
        <v>0</v>
      </c>
      <c r="R303" s="399"/>
      <c r="S303" s="399"/>
      <c r="T303" s="399"/>
      <c r="U303" s="399"/>
      <c r="V303" s="399"/>
      <c r="W303" s="399"/>
      <c r="X303" s="399"/>
      <c r="Y303" s="399"/>
      <c r="Z303" s="399"/>
      <c r="AA303" s="399">
        <v>0</v>
      </c>
      <c r="AB303" s="399"/>
      <c r="AC303" s="399"/>
      <c r="AD303" s="399"/>
      <c r="AE303" s="399"/>
      <c r="AF303" s="399"/>
      <c r="AG303" s="399"/>
      <c r="AH303" s="399"/>
      <c r="AI303" s="399"/>
      <c r="AJ303" s="399"/>
      <c r="AK303" s="399"/>
      <c r="AL303" s="399"/>
      <c r="AM303" s="399"/>
      <c r="AN303" s="399"/>
      <c r="AO303" s="399"/>
      <c r="AP303" s="399"/>
      <c r="AQ303" s="399"/>
      <c r="AR303" s="399"/>
      <c r="AS303" s="399"/>
      <c r="AT303" s="399"/>
      <c r="AU303" s="399"/>
      <c r="AV303" s="399"/>
      <c r="AW303" s="399"/>
      <c r="AX303" s="399"/>
      <c r="AY303" s="399"/>
      <c r="AZ303" s="399">
        <v>0</v>
      </c>
      <c r="BA303" s="399"/>
      <c r="BB303" s="399"/>
      <c r="BC303" s="399"/>
      <c r="BD303" s="399"/>
      <c r="BE303" s="399"/>
      <c r="BF303" s="399"/>
      <c r="BG303" s="399"/>
      <c r="BH303" s="399"/>
      <c r="BI303" s="399">
        <v>0</v>
      </c>
      <c r="BJ303" s="399">
        <v>0</v>
      </c>
      <c r="BK303" s="399">
        <v>45.02</v>
      </c>
      <c r="BL303" s="399">
        <v>3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/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/>
      <c r="CJ303" s="399">
        <v>-0.03</v>
      </c>
      <c r="CK303" s="399"/>
      <c r="CL303" s="399"/>
      <c r="CM303" s="399"/>
      <c r="CN303" s="399"/>
      <c r="CO303" s="399">
        <v>0</v>
      </c>
      <c r="CP303" s="399">
        <v>0</v>
      </c>
      <c r="CQ303" s="399">
        <v>30</v>
      </c>
      <c r="CR303" s="399"/>
      <c r="CS303" s="399"/>
      <c r="CT303" s="399"/>
      <c r="CU303" s="399"/>
      <c r="CV303" s="399"/>
      <c r="CW303" s="399"/>
      <c r="CX303" s="399"/>
      <c r="CY303" s="399"/>
      <c r="CZ303" s="399"/>
      <c r="DA303" s="399"/>
      <c r="DB303" s="399"/>
      <c r="DC303" s="399"/>
      <c r="DD303" s="399"/>
      <c r="DE303" s="399"/>
      <c r="DF303" s="399"/>
      <c r="DG303" s="399"/>
      <c r="DH303" s="399"/>
      <c r="DI303" s="399"/>
      <c r="DJ303" s="399"/>
      <c r="DK303" s="399">
        <v>0</v>
      </c>
      <c r="DL303" s="399"/>
      <c r="DM303" s="399"/>
      <c r="DN303" s="399"/>
      <c r="DO303" s="399"/>
      <c r="DP303" s="399"/>
      <c r="DQ303" s="399"/>
      <c r="DR303" s="399"/>
      <c r="DS303" s="399"/>
      <c r="DT303" s="399"/>
      <c r="DU303" s="399"/>
      <c r="DV303" s="399"/>
      <c r="DW303" s="399"/>
      <c r="DX303" s="399"/>
      <c r="DY303" s="399"/>
      <c r="DZ303" s="399"/>
      <c r="EA303" s="399"/>
      <c r="EB303" s="399"/>
      <c r="EC303" s="399"/>
      <c r="ED303" s="399"/>
      <c r="EE303" s="399"/>
      <c r="EF303" s="399"/>
      <c r="EG303" s="399"/>
      <c r="EH303" s="399"/>
      <c r="EI303" s="399"/>
      <c r="EJ303" s="399"/>
      <c r="EK303" s="399"/>
      <c r="EL303" s="399"/>
      <c r="EM303" s="399"/>
      <c r="EN303" s="399"/>
      <c r="EO303" s="399"/>
      <c r="EP303" s="399"/>
      <c r="EQ303" s="399"/>
      <c r="ER303" s="399"/>
      <c r="ES303" s="399"/>
      <c r="ET303" s="399"/>
      <c r="EU303" s="399"/>
      <c r="EV303" s="399">
        <v>221</v>
      </c>
      <c r="EW303" s="399"/>
      <c r="EX303" s="399"/>
      <c r="EY303" s="399"/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303</v>
      </c>
      <c r="B304" s="399" t="s">
        <v>956</v>
      </c>
      <c r="C304" s="399" t="s">
        <v>2335</v>
      </c>
      <c r="D304" s="399" t="s">
        <v>1821</v>
      </c>
      <c r="E304" s="399" t="s">
        <v>889</v>
      </c>
      <c r="F304" s="399" t="s">
        <v>889</v>
      </c>
      <c r="G304" s="399" t="s">
        <v>1239</v>
      </c>
      <c r="H304" s="399" t="s">
        <v>1239</v>
      </c>
      <c r="I304" s="399" t="s">
        <v>893</v>
      </c>
      <c r="J304" s="399" t="s">
        <v>2326</v>
      </c>
      <c r="K304" s="786">
        <v>44652</v>
      </c>
      <c r="L304" s="399">
        <v>0</v>
      </c>
      <c r="M304" s="399">
        <v>0</v>
      </c>
      <c r="N304" s="399">
        <v>6.5000000000000002E-2</v>
      </c>
      <c r="O304" s="399">
        <v>6.5000000000000002E-2</v>
      </c>
      <c r="P304" s="399">
        <v>6.5000000000000002E-2</v>
      </c>
      <c r="Q304" s="399">
        <v>6.5000000000000002E-2</v>
      </c>
      <c r="R304" s="399"/>
      <c r="S304" s="399">
        <v>2045.69</v>
      </c>
      <c r="T304" s="399">
        <v>185.74</v>
      </c>
      <c r="U304" s="399"/>
      <c r="V304" s="399">
        <v>145.04295000000002</v>
      </c>
      <c r="W304" s="399">
        <v>145.04295000000002</v>
      </c>
      <c r="X304" s="399">
        <v>78.384799999999998</v>
      </c>
      <c r="Y304" s="399">
        <v>0</v>
      </c>
      <c r="Z304" s="399">
        <v>4.0524357957271633</v>
      </c>
      <c r="AA304" s="399">
        <v>0</v>
      </c>
      <c r="AB304" s="399">
        <v>0</v>
      </c>
      <c r="AC304" s="399">
        <v>0</v>
      </c>
      <c r="AD304" s="399">
        <v>22.883678031389696</v>
      </c>
      <c r="AE304" s="399">
        <v>103.06581469630225</v>
      </c>
      <c r="AF304" s="399">
        <v>12.073378716000356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0.6262876240700197</v>
      </c>
      <c r="AM304" s="399"/>
      <c r="AN304" s="399">
        <v>0.15410637763736604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2.187282438623269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>
        <v>14.260661154623625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84.414400000000001</v>
      </c>
      <c r="CJ304" s="399">
        <v>-60.658549999999991</v>
      </c>
      <c r="CK304" s="399"/>
      <c r="CL304" s="399"/>
      <c r="CM304" s="399"/>
      <c r="CN304" s="399"/>
      <c r="CO304" s="399">
        <v>-66.65815000000002</v>
      </c>
      <c r="CP304" s="399">
        <v>0</v>
      </c>
      <c r="CQ304" s="399">
        <v>30</v>
      </c>
      <c r="CR304" s="399">
        <v>-2.3988120662938499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-2.1065939369633604</v>
      </c>
      <c r="DA304" s="399">
        <v>0</v>
      </c>
      <c r="DB304" s="399">
        <v>0</v>
      </c>
      <c r="DC304" s="399">
        <v>0</v>
      </c>
      <c r="DD304" s="399">
        <v>0</v>
      </c>
      <c r="DE304" s="399">
        <v>0</v>
      </c>
      <c r="DF304" s="399">
        <v>0</v>
      </c>
      <c r="DG304" s="399">
        <v>0</v>
      </c>
      <c r="DH304" s="399">
        <v>0</v>
      </c>
      <c r="DI304" s="399">
        <v>-0.25063782563753723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-3.3576779577582205E-2</v>
      </c>
      <c r="DP304" s="399">
        <v>-8.0035241153653403E-3</v>
      </c>
      <c r="DQ304" s="399">
        <v>0</v>
      </c>
      <c r="DR304" s="399">
        <v>0</v>
      </c>
      <c r="DS304" s="399"/>
      <c r="DT304" s="399"/>
      <c r="DU304" s="399"/>
      <c r="DV304" s="399">
        <v>103.06581469630225</v>
      </c>
      <c r="DW304" s="399">
        <v>0</v>
      </c>
      <c r="DX304" s="399">
        <v>0</v>
      </c>
      <c r="DY304" s="399">
        <v>-66.658150000000006</v>
      </c>
      <c r="DZ304" s="399">
        <v>0</v>
      </c>
      <c r="EA304" s="399">
        <v>0</v>
      </c>
      <c r="EB304" s="399">
        <v>0</v>
      </c>
      <c r="EC304" s="399">
        <v>-64.259156366586737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221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304</v>
      </c>
      <c r="B305" s="399" t="s">
        <v>956</v>
      </c>
      <c r="C305" s="399" t="s">
        <v>2335</v>
      </c>
      <c r="D305" s="399" t="s">
        <v>1821</v>
      </c>
      <c r="E305" s="399" t="s">
        <v>889</v>
      </c>
      <c r="F305" s="399" t="s">
        <v>889</v>
      </c>
      <c r="G305" s="399" t="s">
        <v>1239</v>
      </c>
      <c r="H305" s="399" t="s">
        <v>1239</v>
      </c>
      <c r="I305" s="399" t="s">
        <v>2323</v>
      </c>
      <c r="J305" s="399" t="s">
        <v>2326</v>
      </c>
      <c r="K305" s="786">
        <v>44652</v>
      </c>
      <c r="L305" s="399">
        <v>0</v>
      </c>
      <c r="M305" s="399">
        <v>0</v>
      </c>
      <c r="N305" s="399">
        <v>0.85399999999999998</v>
      </c>
      <c r="O305" s="399">
        <v>0.85399999999999998</v>
      </c>
      <c r="P305" s="399">
        <v>0.85399999999999998</v>
      </c>
      <c r="Q305" s="399">
        <v>0.85399999999999998</v>
      </c>
      <c r="R305" s="399"/>
      <c r="S305" s="399">
        <v>495.6</v>
      </c>
      <c r="T305" s="399">
        <v>185.74</v>
      </c>
      <c r="U305" s="399"/>
      <c r="V305" s="399">
        <v>581.86436000000003</v>
      </c>
      <c r="W305" s="399">
        <v>581.86436000000003</v>
      </c>
      <c r="X305" s="399">
        <v>403.63455999999996</v>
      </c>
      <c r="Y305" s="399">
        <v>0</v>
      </c>
      <c r="Z305" s="399">
        <v>53.24277183924611</v>
      </c>
      <c r="AA305" s="399">
        <v>0</v>
      </c>
      <c r="AB305" s="399">
        <v>0</v>
      </c>
      <c r="AC305" s="399">
        <v>0</v>
      </c>
      <c r="AD305" s="399">
        <v>60.186258313731919</v>
      </c>
      <c r="AE305" s="399">
        <v>270.8250372351269</v>
      </c>
      <c r="AF305" s="399">
        <v>158.62562189945083</v>
      </c>
      <c r="AG305" s="399">
        <v>0</v>
      </c>
      <c r="AH305" s="399">
        <v>0</v>
      </c>
      <c r="AI305" s="399">
        <v>0</v>
      </c>
      <c r="AJ305" s="399">
        <v>0</v>
      </c>
      <c r="AK305" s="399">
        <v>0</v>
      </c>
      <c r="AL305" s="399">
        <v>8.2284558608584124</v>
      </c>
      <c r="AM305" s="399"/>
      <c r="AN305" s="399">
        <v>2.024720715420163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28.737526193604179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187.363148093055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401.74399999999997</v>
      </c>
      <c r="CJ305" s="399">
        <v>-180.15036000000003</v>
      </c>
      <c r="CK305" s="399"/>
      <c r="CL305" s="399"/>
      <c r="CM305" s="399"/>
      <c r="CN305" s="399"/>
      <c r="CO305" s="399">
        <v>-178.22980000000004</v>
      </c>
      <c r="CP305" s="399">
        <v>0</v>
      </c>
      <c r="CQ305" s="399">
        <v>30</v>
      </c>
      <c r="CR305" s="399">
        <v>-9.3798398593604588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-5.5405432063107369</v>
      </c>
      <c r="DA305" s="399">
        <v>0</v>
      </c>
      <c r="DB305" s="399">
        <v>0</v>
      </c>
      <c r="DC305" s="399">
        <v>0</v>
      </c>
      <c r="DD305" s="399">
        <v>0</v>
      </c>
      <c r="DE305" s="399">
        <v>0</v>
      </c>
      <c r="DF305" s="399">
        <v>0</v>
      </c>
      <c r="DG305" s="399">
        <v>0</v>
      </c>
      <c r="DH305" s="399">
        <v>0</v>
      </c>
      <c r="DI305" s="399">
        <v>-3.292995432222412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-0.44114722706546416</v>
      </c>
      <c r="DP305" s="399">
        <v>-0.10515399376187706</v>
      </c>
      <c r="DQ305" s="399">
        <v>0</v>
      </c>
      <c r="DR305" s="399">
        <v>0</v>
      </c>
      <c r="DS305" s="399"/>
      <c r="DT305" s="399"/>
      <c r="DU305" s="399"/>
      <c r="DV305" s="399">
        <v>270.8250372351269</v>
      </c>
      <c r="DW305" s="399">
        <v>0</v>
      </c>
      <c r="DX305" s="399">
        <v>0</v>
      </c>
      <c r="DY305" s="399">
        <v>-178.22980000000007</v>
      </c>
      <c r="DZ305" s="399">
        <v>0</v>
      </c>
      <c r="EA305" s="399">
        <v>0</v>
      </c>
      <c r="EB305" s="399">
        <v>0</v>
      </c>
      <c r="EC305" s="399">
        <v>-168.85315918725379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221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305</v>
      </c>
      <c r="B306" s="399" t="s">
        <v>956</v>
      </c>
      <c r="C306" s="399" t="s">
        <v>2335</v>
      </c>
      <c r="D306" s="399" t="s">
        <v>1821</v>
      </c>
      <c r="E306" s="399" t="s">
        <v>889</v>
      </c>
      <c r="F306" s="399" t="s">
        <v>889</v>
      </c>
      <c r="G306" s="399" t="s">
        <v>1239</v>
      </c>
      <c r="H306" s="399" t="s">
        <v>1239</v>
      </c>
      <c r="I306" s="399" t="s">
        <v>1239</v>
      </c>
      <c r="J306" s="399" t="s">
        <v>2326</v>
      </c>
      <c r="K306" s="786">
        <v>44652</v>
      </c>
      <c r="L306" s="399">
        <v>0</v>
      </c>
      <c r="M306" s="399">
        <v>0</v>
      </c>
      <c r="N306" s="399">
        <v>0</v>
      </c>
      <c r="O306" s="399">
        <v>0</v>
      </c>
      <c r="P306" s="399">
        <v>0</v>
      </c>
      <c r="Q306" s="399">
        <v>0</v>
      </c>
      <c r="R306" s="399"/>
      <c r="S306" s="399"/>
      <c r="T306" s="399"/>
      <c r="U306" s="399"/>
      <c r="V306" s="399"/>
      <c r="W306" s="399"/>
      <c r="X306" s="399"/>
      <c r="Y306" s="399"/>
      <c r="Z306" s="399"/>
      <c r="AA306" s="399">
        <v>0</v>
      </c>
      <c r="AB306" s="399"/>
      <c r="AC306" s="399"/>
      <c r="AD306" s="399"/>
      <c r="AE306" s="399"/>
      <c r="AF306" s="399"/>
      <c r="AG306" s="399"/>
      <c r="AH306" s="399"/>
      <c r="AI306" s="399"/>
      <c r="AJ306" s="399"/>
      <c r="AK306" s="399"/>
      <c r="AL306" s="399"/>
      <c r="AM306" s="399"/>
      <c r="AN306" s="399"/>
      <c r="AO306" s="399"/>
      <c r="AP306" s="399"/>
      <c r="AQ306" s="399"/>
      <c r="AR306" s="399"/>
      <c r="AS306" s="399"/>
      <c r="AT306" s="399"/>
      <c r="AU306" s="399"/>
      <c r="AV306" s="399"/>
      <c r="AW306" s="399"/>
      <c r="AX306" s="399"/>
      <c r="AY306" s="399"/>
      <c r="AZ306" s="399">
        <v>0</v>
      </c>
      <c r="BA306" s="399"/>
      <c r="BB306" s="399"/>
      <c r="BC306" s="399"/>
      <c r="BD306" s="399"/>
      <c r="BE306" s="399"/>
      <c r="BF306" s="399"/>
      <c r="BG306" s="399"/>
      <c r="BH306" s="399"/>
      <c r="BI306" s="399">
        <v>0.25</v>
      </c>
      <c r="BJ306" s="399">
        <v>1.0900000000000001</v>
      </c>
      <c r="BK306" s="399">
        <v>165.41</v>
      </c>
      <c r="BL306" s="399">
        <v>2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/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/>
      <c r="CJ306" s="399">
        <v>-0.03</v>
      </c>
      <c r="CK306" s="399"/>
      <c r="CL306" s="399"/>
      <c r="CM306" s="399"/>
      <c r="CN306" s="399"/>
      <c r="CO306" s="399">
        <v>0</v>
      </c>
      <c r="CP306" s="399">
        <v>0</v>
      </c>
      <c r="CQ306" s="399">
        <v>30</v>
      </c>
      <c r="CR306" s="399"/>
      <c r="CS306" s="399"/>
      <c r="CT306" s="399"/>
      <c r="CU306" s="399"/>
      <c r="CV306" s="399"/>
      <c r="CW306" s="399"/>
      <c r="CX306" s="399"/>
      <c r="CY306" s="399"/>
      <c r="CZ306" s="399"/>
      <c r="DA306" s="399"/>
      <c r="DB306" s="399"/>
      <c r="DC306" s="399"/>
      <c r="DD306" s="399"/>
      <c r="DE306" s="399"/>
      <c r="DF306" s="399"/>
      <c r="DG306" s="399"/>
      <c r="DH306" s="399"/>
      <c r="DI306" s="399"/>
      <c r="DJ306" s="399"/>
      <c r="DK306" s="399">
        <v>0</v>
      </c>
      <c r="DL306" s="399"/>
      <c r="DM306" s="399"/>
      <c r="DN306" s="399"/>
      <c r="DO306" s="399"/>
      <c r="DP306" s="399"/>
      <c r="DQ306" s="399"/>
      <c r="DR306" s="399"/>
      <c r="DS306" s="399"/>
      <c r="DT306" s="399"/>
      <c r="DU306" s="399"/>
      <c r="DV306" s="399"/>
      <c r="DW306" s="399"/>
      <c r="DX306" s="399"/>
      <c r="DY306" s="399"/>
      <c r="DZ306" s="399"/>
      <c r="EA306" s="399"/>
      <c r="EB306" s="399"/>
      <c r="EC306" s="399"/>
      <c r="ED306" s="399"/>
      <c r="EE306" s="399"/>
      <c r="EF306" s="399"/>
      <c r="EG306" s="399"/>
      <c r="EH306" s="399"/>
      <c r="EI306" s="399"/>
      <c r="EJ306" s="399"/>
      <c r="EK306" s="399"/>
      <c r="EL306" s="399"/>
      <c r="EM306" s="399"/>
      <c r="EN306" s="399"/>
      <c r="EO306" s="399"/>
      <c r="EP306" s="399"/>
      <c r="EQ306" s="399"/>
      <c r="ER306" s="399"/>
      <c r="ES306" s="399"/>
      <c r="ET306" s="399"/>
      <c r="EU306" s="399"/>
      <c r="EV306" s="399">
        <v>221</v>
      </c>
      <c r="EW306" s="399"/>
      <c r="EX306" s="399"/>
      <c r="EY306" s="399"/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306</v>
      </c>
      <c r="B307" s="399" t="s">
        <v>956</v>
      </c>
      <c r="C307" s="399" t="s">
        <v>2335</v>
      </c>
      <c r="D307" s="399" t="s">
        <v>1821</v>
      </c>
      <c r="E307" s="399" t="s">
        <v>889</v>
      </c>
      <c r="F307" s="399" t="s">
        <v>889</v>
      </c>
      <c r="G307" s="399" t="s">
        <v>1239</v>
      </c>
      <c r="H307" s="399" t="s">
        <v>1239</v>
      </c>
      <c r="I307" s="399" t="s">
        <v>2336</v>
      </c>
      <c r="J307" s="399" t="s">
        <v>2326</v>
      </c>
      <c r="K307" s="786">
        <v>44652</v>
      </c>
      <c r="L307" s="399">
        <v>0</v>
      </c>
      <c r="M307" s="399">
        <v>0</v>
      </c>
      <c r="N307" s="399">
        <v>2.5999999999999999E-2</v>
      </c>
      <c r="O307" s="399">
        <v>2.5999999999999999E-2</v>
      </c>
      <c r="P307" s="399">
        <v>2.5999999999999999E-2</v>
      </c>
      <c r="Q307" s="399">
        <v>2.5999999999999999E-2</v>
      </c>
      <c r="R307" s="399"/>
      <c r="S307" s="399">
        <v>1270.6099999999999</v>
      </c>
      <c r="T307" s="399">
        <v>185.74</v>
      </c>
      <c r="U307" s="399"/>
      <c r="V307" s="399">
        <v>37.865099999999991</v>
      </c>
      <c r="W307" s="399">
        <v>37.865099999999991</v>
      </c>
      <c r="X307" s="399">
        <v>21.820500000000003</v>
      </c>
      <c r="Y307" s="399">
        <v>0</v>
      </c>
      <c r="Z307" s="399">
        <v>1.6209743182908651</v>
      </c>
      <c r="AA307" s="399">
        <v>0</v>
      </c>
      <c r="AB307" s="399">
        <v>0</v>
      </c>
      <c r="AC307" s="399">
        <v>0</v>
      </c>
      <c r="AD307" s="399">
        <v>5.4920832479803945</v>
      </c>
      <c r="AE307" s="399">
        <v>24.735808388794254</v>
      </c>
      <c r="AF307" s="399">
        <v>4.8293514864001423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0.25051504962800786</v>
      </c>
      <c r="AM307" s="399"/>
      <c r="AN307" s="399">
        <v>6.1642551054946412E-2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0.87491297544930757</v>
      </c>
      <c r="BH307" s="399">
        <v>0</v>
      </c>
      <c r="BI307" s="399">
        <v>0</v>
      </c>
      <c r="BJ307" s="399">
        <v>0</v>
      </c>
      <c r="BK307" s="399">
        <v>0</v>
      </c>
      <c r="BL307" s="399">
        <v>0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5.7042644618494496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25.177500000000002</v>
      </c>
      <c r="CJ307" s="399">
        <v>-12.717599999999983</v>
      </c>
      <c r="CK307" s="399"/>
      <c r="CL307" s="399"/>
      <c r="CM307" s="399"/>
      <c r="CN307" s="399"/>
      <c r="CO307" s="399">
        <v>-16.044599999999996</v>
      </c>
      <c r="CP307" s="399">
        <v>0</v>
      </c>
      <c r="CQ307" s="399">
        <v>30</v>
      </c>
      <c r="CR307" s="399">
        <v>-0.62246984451398291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-0.50558259278178674</v>
      </c>
      <c r="DA307" s="399">
        <v>0</v>
      </c>
      <c r="DB307" s="399">
        <v>0</v>
      </c>
      <c r="DC307" s="399">
        <v>0</v>
      </c>
      <c r="DD307" s="399">
        <v>0</v>
      </c>
      <c r="DE307" s="399">
        <v>0</v>
      </c>
      <c r="DF307" s="399">
        <v>0</v>
      </c>
      <c r="DG307" s="399">
        <v>0</v>
      </c>
      <c r="DH307" s="399">
        <v>0</v>
      </c>
      <c r="DI307" s="399">
        <v>-0.10025513025501476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-1.3430711831032865E-2</v>
      </c>
      <c r="DP307" s="399">
        <v>-3.2014096461461389E-3</v>
      </c>
      <c r="DQ307" s="399">
        <v>0</v>
      </c>
      <c r="DR307" s="399">
        <v>0</v>
      </c>
      <c r="DS307" s="399"/>
      <c r="DT307" s="399"/>
      <c r="DU307" s="399"/>
      <c r="DV307" s="399">
        <v>24.735808388794254</v>
      </c>
      <c r="DW307" s="399">
        <v>0</v>
      </c>
      <c r="DX307" s="399">
        <v>0</v>
      </c>
      <c r="DY307" s="399">
        <v>-16.044599999999992</v>
      </c>
      <c r="DZ307" s="399">
        <v>0</v>
      </c>
      <c r="EA307" s="399">
        <v>0</v>
      </c>
      <c r="EB307" s="399">
        <v>0</v>
      </c>
      <c r="EC307" s="399">
        <v>-15.422205546942479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221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307</v>
      </c>
      <c r="B308" s="399" t="s">
        <v>956</v>
      </c>
      <c r="C308" s="399" t="s">
        <v>2328</v>
      </c>
      <c r="D308" s="399" t="s">
        <v>1824</v>
      </c>
      <c r="E308" s="399" t="s">
        <v>890</v>
      </c>
      <c r="F308" s="399" t="s">
        <v>1239</v>
      </c>
      <c r="G308" s="399" t="s">
        <v>1239</v>
      </c>
      <c r="H308" s="399" t="s">
        <v>1239</v>
      </c>
      <c r="I308" s="399" t="s">
        <v>1239</v>
      </c>
      <c r="J308" s="399" t="s">
        <v>2326</v>
      </c>
      <c r="K308" s="786">
        <v>44652</v>
      </c>
      <c r="L308" s="399">
        <v>0</v>
      </c>
      <c r="M308" s="399">
        <v>0</v>
      </c>
      <c r="N308" s="399">
        <v>36.091000000000001</v>
      </c>
      <c r="O308" s="399">
        <v>36.091000000000001</v>
      </c>
      <c r="P308" s="399">
        <v>36.091000000000001</v>
      </c>
      <c r="Q308" s="399">
        <v>36.091000000000001</v>
      </c>
      <c r="R308" s="399"/>
      <c r="S308" s="399">
        <v>825.6</v>
      </c>
      <c r="T308" s="399">
        <v>185.74</v>
      </c>
      <c r="U308" s="399"/>
      <c r="V308" s="399">
        <v>36500.271940000006</v>
      </c>
      <c r="W308" s="399">
        <v>36500.271940000006</v>
      </c>
      <c r="X308" s="399">
        <v>22690.411700000001</v>
      </c>
      <c r="Y308" s="399">
        <v>0</v>
      </c>
      <c r="Z308" s="399">
        <v>2250.0993892859851</v>
      </c>
      <c r="AA308" s="399">
        <v>0</v>
      </c>
      <c r="AB308" s="399">
        <v>0</v>
      </c>
      <c r="AC308" s="399">
        <v>0</v>
      </c>
      <c r="AD308" s="399">
        <v>4703.8016103107602</v>
      </c>
      <c r="AE308" s="399">
        <v>21195.153724681666</v>
      </c>
      <c r="AF308" s="399">
        <v>6703.6970959872133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347.74379446632429</v>
      </c>
      <c r="AM308" s="399"/>
      <c r="AN308" s="399">
        <v>85.566973466310429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1214.4801614208061</v>
      </c>
      <c r="BH308" s="399">
        <v>0</v>
      </c>
      <c r="BI308" s="399">
        <v>10.76</v>
      </c>
      <c r="BJ308" s="399">
        <v>46.37</v>
      </c>
      <c r="BK308" s="399">
        <v>9095.85</v>
      </c>
      <c r="BL308" s="399">
        <v>42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7918.1772574080196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22689.783000000003</v>
      </c>
      <c r="CJ308" s="399">
        <v>-13810.518940000002</v>
      </c>
      <c r="CK308" s="399"/>
      <c r="CL308" s="399"/>
      <c r="CM308" s="399"/>
      <c r="CN308" s="399"/>
      <c r="CO308" s="399">
        <v>-13809.860240000002</v>
      </c>
      <c r="CP308" s="399">
        <v>0</v>
      </c>
      <c r="CQ308" s="399">
        <v>30</v>
      </c>
      <c r="CR308" s="399">
        <v>-595.26904599284171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-433.01605359797304</v>
      </c>
      <c r="DA308" s="399">
        <v>0</v>
      </c>
      <c r="DB308" s="399">
        <v>0</v>
      </c>
      <c r="DC308" s="399">
        <v>0</v>
      </c>
      <c r="DD308" s="399">
        <v>0</v>
      </c>
      <c r="DE308" s="399">
        <v>0</v>
      </c>
      <c r="DF308" s="399">
        <v>0</v>
      </c>
      <c r="DG308" s="399">
        <v>0</v>
      </c>
      <c r="DH308" s="399">
        <v>0</v>
      </c>
      <c r="DI308" s="399">
        <v>-139.16568869360526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-18.643377718992554</v>
      </c>
      <c r="DP308" s="399">
        <v>-4.4439259822715513</v>
      </c>
      <c r="DQ308" s="399">
        <v>0</v>
      </c>
      <c r="DR308" s="399">
        <v>0</v>
      </c>
      <c r="DS308" s="399"/>
      <c r="DT308" s="399"/>
      <c r="DU308" s="399"/>
      <c r="DV308" s="399">
        <v>21195.153724681666</v>
      </c>
      <c r="DW308" s="399">
        <v>0</v>
      </c>
      <c r="DX308" s="399">
        <v>0</v>
      </c>
      <c r="DY308" s="399">
        <v>-13809.860240000002</v>
      </c>
      <c r="DZ308" s="399">
        <v>0</v>
      </c>
      <c r="EA308" s="399">
        <v>0</v>
      </c>
      <c r="EB308" s="399">
        <v>0</v>
      </c>
      <c r="EC308" s="399">
        <v>-13214.689093774068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221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308</v>
      </c>
      <c r="B309" s="399" t="s">
        <v>2330</v>
      </c>
      <c r="C309" s="399" t="s">
        <v>2328</v>
      </c>
      <c r="D309" s="399" t="s">
        <v>1824</v>
      </c>
      <c r="E309" s="399" t="s">
        <v>890</v>
      </c>
      <c r="F309" s="399" t="s">
        <v>1239</v>
      </c>
      <c r="G309" s="399" t="s">
        <v>1239</v>
      </c>
      <c r="H309" s="399" t="s">
        <v>1239</v>
      </c>
      <c r="I309" s="399" t="s">
        <v>1239</v>
      </c>
      <c r="J309" s="399" t="s">
        <v>2326</v>
      </c>
      <c r="K309" s="786">
        <v>44652</v>
      </c>
      <c r="L309" s="399">
        <v>0</v>
      </c>
      <c r="M309" s="399">
        <v>0</v>
      </c>
      <c r="N309" s="399">
        <v>2.2410000000000001</v>
      </c>
      <c r="O309" s="399">
        <v>2.2410000000000001</v>
      </c>
      <c r="P309" s="399">
        <v>2.2410000000000001</v>
      </c>
      <c r="Q309" s="399">
        <v>2.2410000000000001</v>
      </c>
      <c r="R309" s="399"/>
      <c r="S309" s="399">
        <v>825.6</v>
      </c>
      <c r="T309" s="399">
        <v>185.74</v>
      </c>
      <c r="U309" s="399"/>
      <c r="V309" s="399">
        <v>2266.4129400000002</v>
      </c>
      <c r="W309" s="399">
        <v>2266.4129400000002</v>
      </c>
      <c r="X309" s="399">
        <v>1408.9167</v>
      </c>
      <c r="Y309" s="399">
        <v>0</v>
      </c>
      <c r="Z309" s="399">
        <v>139.71551720345497</v>
      </c>
      <c r="AA309" s="399">
        <v>0</v>
      </c>
      <c r="AB309" s="399">
        <v>0</v>
      </c>
      <c r="AC309" s="399">
        <v>0</v>
      </c>
      <c r="AD309" s="399">
        <v>292.07335370885858</v>
      </c>
      <c r="AE309" s="399">
        <v>1316.0715828603147</v>
      </c>
      <c r="AF309" s="399">
        <v>416.25294927010458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21.592470239090986</v>
      </c>
      <c r="AM309" s="399"/>
      <c r="AN309" s="399">
        <v>5.3131137274667282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75.410768383919176</v>
      </c>
      <c r="BH309" s="399">
        <v>0</v>
      </c>
      <c r="BI309" s="399">
        <v>0.66</v>
      </c>
      <c r="BJ309" s="399">
        <v>2.83</v>
      </c>
      <c r="BK309" s="399">
        <v>2260.3000000000002</v>
      </c>
      <c r="BL309" s="399">
        <v>3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491.66371765402374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1408.288</v>
      </c>
      <c r="CJ309" s="399">
        <v>-858.15494000000035</v>
      </c>
      <c r="CK309" s="399"/>
      <c r="CL309" s="399"/>
      <c r="CM309" s="399"/>
      <c r="CN309" s="399"/>
      <c r="CO309" s="399">
        <v>-857.49624000000017</v>
      </c>
      <c r="CP309" s="399">
        <v>0</v>
      </c>
      <c r="CQ309" s="399">
        <v>30</v>
      </c>
      <c r="CR309" s="399">
        <v>-36.962066223434135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-26.887284256824671</v>
      </c>
      <c r="DA309" s="399">
        <v>0</v>
      </c>
      <c r="DB309" s="399">
        <v>0</v>
      </c>
      <c r="DC309" s="399">
        <v>0</v>
      </c>
      <c r="DD309" s="399">
        <v>0</v>
      </c>
      <c r="DE309" s="399">
        <v>0</v>
      </c>
      <c r="DF309" s="399">
        <v>0</v>
      </c>
      <c r="DG309" s="399">
        <v>0</v>
      </c>
      <c r="DH309" s="399">
        <v>0</v>
      </c>
      <c r="DI309" s="399">
        <v>-8.6412210346726113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-1.1576240466671024</v>
      </c>
      <c r="DP309" s="399">
        <v>-0.27593688526975058</v>
      </c>
      <c r="DQ309" s="399">
        <v>0</v>
      </c>
      <c r="DR309" s="399">
        <v>0</v>
      </c>
      <c r="DS309" s="399"/>
      <c r="DT309" s="399"/>
      <c r="DU309" s="399"/>
      <c r="DV309" s="399">
        <v>1316.0715828603147</v>
      </c>
      <c r="DW309" s="399">
        <v>0</v>
      </c>
      <c r="DX309" s="399">
        <v>0</v>
      </c>
      <c r="DY309" s="399">
        <v>-857.49624000000017</v>
      </c>
      <c r="DZ309" s="399">
        <v>0</v>
      </c>
      <c r="EA309" s="399">
        <v>0</v>
      </c>
      <c r="EB309" s="399">
        <v>0</v>
      </c>
      <c r="EC309" s="399">
        <v>-820.54025267096199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221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309</v>
      </c>
      <c r="B310" s="399" t="s">
        <v>956</v>
      </c>
      <c r="C310" s="399" t="s">
        <v>2325</v>
      </c>
      <c r="D310" s="399" t="s">
        <v>533</v>
      </c>
      <c r="E310" s="399" t="s">
        <v>890</v>
      </c>
      <c r="F310" s="399" t="s">
        <v>1239</v>
      </c>
      <c r="G310" s="399" t="s">
        <v>1239</v>
      </c>
      <c r="H310" s="399" t="s">
        <v>1239</v>
      </c>
      <c r="I310" s="399" t="s">
        <v>893</v>
      </c>
      <c r="J310" s="399" t="s">
        <v>2326</v>
      </c>
      <c r="K310" s="786">
        <v>44652</v>
      </c>
      <c r="L310" s="399">
        <v>0</v>
      </c>
      <c r="M310" s="399">
        <v>0</v>
      </c>
      <c r="N310" s="399">
        <v>0.72299999999999998</v>
      </c>
      <c r="O310" s="399">
        <v>0.72299999999999998</v>
      </c>
      <c r="P310" s="399">
        <v>0.72299999999999998</v>
      </c>
      <c r="Q310" s="399">
        <v>0.72299999999999998</v>
      </c>
      <c r="R310" s="399"/>
      <c r="S310" s="399">
        <v>4433.21</v>
      </c>
      <c r="T310" s="399">
        <v>185.74</v>
      </c>
      <c r="U310" s="399"/>
      <c r="V310" s="399">
        <v>3339.5008499999999</v>
      </c>
      <c r="W310" s="399">
        <v>3339.5008499999999</v>
      </c>
      <c r="X310" s="399">
        <v>1742.87826</v>
      </c>
      <c r="Y310" s="399">
        <v>0</v>
      </c>
      <c r="Z310" s="399">
        <v>39.215732921082143</v>
      </c>
      <c r="AA310" s="399">
        <v>0</v>
      </c>
      <c r="AB310" s="399">
        <v>0</v>
      </c>
      <c r="AC310" s="399">
        <v>0</v>
      </c>
      <c r="AD310" s="399">
        <v>695.25341087284778</v>
      </c>
      <c r="AE310" s="399">
        <v>2453.6332113044355</v>
      </c>
      <c r="AF310" s="399">
        <v>134.29312017951165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6.9662454185019103</v>
      </c>
      <c r="AM310" s="399"/>
      <c r="AN310" s="399">
        <v>0.74894226923732143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9.3933416555708824</v>
      </c>
      <c r="BH310" s="399">
        <v>0</v>
      </c>
      <c r="BI310" s="399">
        <v>0</v>
      </c>
      <c r="BJ310" s="399">
        <v>0</v>
      </c>
      <c r="BK310" s="399">
        <v>0</v>
      </c>
      <c r="BL310" s="399">
        <v>0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>
        <v>143.68646183508253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1735.6464000000001</v>
      </c>
      <c r="CJ310" s="399">
        <v>-1603.8844500000005</v>
      </c>
      <c r="CK310" s="399"/>
      <c r="CL310" s="399"/>
      <c r="CM310" s="399"/>
      <c r="CN310" s="399"/>
      <c r="CO310" s="399">
        <v>-1596.6225899999999</v>
      </c>
      <c r="CP310" s="399">
        <v>0</v>
      </c>
      <c r="CQ310" s="399">
        <v>30</v>
      </c>
      <c r="CR310" s="399">
        <v>-66.84049051395175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-64.00267553095307</v>
      </c>
      <c r="DA310" s="399">
        <v>0</v>
      </c>
      <c r="DB310" s="399">
        <v>0</v>
      </c>
      <c r="DC310" s="399">
        <v>0</v>
      </c>
      <c r="DD310" s="399">
        <v>0</v>
      </c>
      <c r="DE310" s="399">
        <v>0</v>
      </c>
      <c r="DF310" s="399">
        <v>0</v>
      </c>
      <c r="DG310" s="399">
        <v>0</v>
      </c>
      <c r="DH310" s="399">
        <v>0</v>
      </c>
      <c r="DI310" s="399">
        <v>-2.4254415185271654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-0.37347710207064377</v>
      </c>
      <c r="DP310" s="399">
        <v>-3.8896362400797413E-2</v>
      </c>
      <c r="DQ310" s="399">
        <v>0</v>
      </c>
      <c r="DR310" s="399">
        <v>0</v>
      </c>
      <c r="DS310" s="399"/>
      <c r="DT310" s="399"/>
      <c r="DU310" s="399"/>
      <c r="DV310" s="399">
        <v>2453.6332113044355</v>
      </c>
      <c r="DW310" s="399">
        <v>0</v>
      </c>
      <c r="DX310" s="399">
        <v>0</v>
      </c>
      <c r="DY310" s="399">
        <v>-1596.6225899999999</v>
      </c>
      <c r="DZ310" s="399">
        <v>0</v>
      </c>
      <c r="EA310" s="399">
        <v>0</v>
      </c>
      <c r="EB310" s="399">
        <v>0</v>
      </c>
      <c r="EC310" s="399">
        <v>-1529.7836693578165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221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310</v>
      </c>
      <c r="B311" s="399" t="s">
        <v>956</v>
      </c>
      <c r="C311" s="399" t="s">
        <v>2325</v>
      </c>
      <c r="D311" s="399" t="s">
        <v>533</v>
      </c>
      <c r="E311" s="399" t="s">
        <v>890</v>
      </c>
      <c r="F311" s="399" t="s">
        <v>1239</v>
      </c>
      <c r="G311" s="399" t="s">
        <v>1239</v>
      </c>
      <c r="H311" s="399" t="s">
        <v>1239</v>
      </c>
      <c r="I311" s="399" t="s">
        <v>2323</v>
      </c>
      <c r="J311" s="399" t="s">
        <v>2326</v>
      </c>
      <c r="K311" s="786">
        <v>44652</v>
      </c>
      <c r="L311" s="399">
        <v>0</v>
      </c>
      <c r="M311" s="399">
        <v>0</v>
      </c>
      <c r="N311" s="399">
        <v>39.561</v>
      </c>
      <c r="O311" s="399">
        <v>39.561</v>
      </c>
      <c r="P311" s="399">
        <v>39.561</v>
      </c>
      <c r="Q311" s="399">
        <v>39.561</v>
      </c>
      <c r="R311" s="399"/>
      <c r="S311" s="399">
        <v>77.900000000000006</v>
      </c>
      <c r="T311" s="399">
        <v>185.74</v>
      </c>
      <c r="U311" s="399"/>
      <c r="V311" s="399">
        <v>10429.86204</v>
      </c>
      <c r="W311" s="399">
        <v>10429.86204</v>
      </c>
      <c r="X311" s="399">
        <v>10274.782920000001</v>
      </c>
      <c r="Y311" s="399">
        <v>0</v>
      </c>
      <c r="Z311" s="399">
        <v>2145.8002905822</v>
      </c>
      <c r="AA311" s="399">
        <v>0</v>
      </c>
      <c r="AB311" s="399">
        <v>0</v>
      </c>
      <c r="AC311" s="399">
        <v>0</v>
      </c>
      <c r="AD311" s="399">
        <v>0</v>
      </c>
      <c r="AE311" s="399">
        <v>0</v>
      </c>
      <c r="AF311" s="399">
        <v>7348.2297751336937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381.17791839744689</v>
      </c>
      <c r="AM311" s="399"/>
      <c r="AN311" s="399">
        <v>40.980504997645468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513.98338760171464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7862.2131627354083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10274.523200000001</v>
      </c>
      <c r="CJ311" s="399">
        <v>-155.36883999999918</v>
      </c>
      <c r="CK311" s="399"/>
      <c r="CL311" s="399"/>
      <c r="CM311" s="399"/>
      <c r="CN311" s="399"/>
      <c r="CO311" s="399">
        <v>-155.07912000000007</v>
      </c>
      <c r="CP311" s="399">
        <v>0</v>
      </c>
      <c r="CQ311" s="399">
        <v>30</v>
      </c>
      <c r="CR311" s="399">
        <v>-155.27911278341344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0</v>
      </c>
      <c r="DA311" s="399">
        <v>0</v>
      </c>
      <c r="DB311" s="399">
        <v>0</v>
      </c>
      <c r="DC311" s="399">
        <v>0</v>
      </c>
      <c r="DD311" s="399">
        <v>0</v>
      </c>
      <c r="DE311" s="399">
        <v>0</v>
      </c>
      <c r="DF311" s="399">
        <v>0</v>
      </c>
      <c r="DG311" s="399">
        <v>0</v>
      </c>
      <c r="DH311" s="399">
        <v>0</v>
      </c>
      <c r="DI311" s="399">
        <v>-132.7149265760072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-20.435861182595829</v>
      </c>
      <c r="DP311" s="399">
        <v>-2.1283250248104366</v>
      </c>
      <c r="DQ311" s="399">
        <v>0</v>
      </c>
      <c r="DR311" s="399">
        <v>0</v>
      </c>
      <c r="DS311" s="399"/>
      <c r="DT311" s="399"/>
      <c r="DU311" s="399"/>
      <c r="DV311" s="399">
        <v>0</v>
      </c>
      <c r="DW311" s="399">
        <v>0</v>
      </c>
      <c r="DX311" s="399">
        <v>0</v>
      </c>
      <c r="DY311" s="399">
        <v>-155.07912000000033</v>
      </c>
      <c r="DZ311" s="399">
        <v>0</v>
      </c>
      <c r="EA311" s="399">
        <v>0</v>
      </c>
      <c r="EB311" s="399">
        <v>0</v>
      </c>
      <c r="EC311" s="399">
        <v>0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221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311</v>
      </c>
      <c r="B312" s="399" t="s">
        <v>956</v>
      </c>
      <c r="C312" s="399" t="s">
        <v>2325</v>
      </c>
      <c r="D312" s="399" t="s">
        <v>533</v>
      </c>
      <c r="E312" s="399" t="s">
        <v>890</v>
      </c>
      <c r="F312" s="399" t="s">
        <v>1239</v>
      </c>
      <c r="G312" s="399" t="s">
        <v>1239</v>
      </c>
      <c r="H312" s="399" t="s">
        <v>1239</v>
      </c>
      <c r="I312" s="399" t="s">
        <v>1239</v>
      </c>
      <c r="J312" s="399" t="s">
        <v>2326</v>
      </c>
      <c r="K312" s="786">
        <v>44652</v>
      </c>
      <c r="L312" s="399">
        <v>337</v>
      </c>
      <c r="M312" s="399">
        <v>337</v>
      </c>
      <c r="N312" s="399">
        <v>0</v>
      </c>
      <c r="O312" s="399">
        <v>0</v>
      </c>
      <c r="P312" s="399">
        <v>0</v>
      </c>
      <c r="Q312" s="399">
        <v>0</v>
      </c>
      <c r="R312" s="399">
        <v>55.59</v>
      </c>
      <c r="S312" s="399"/>
      <c r="T312" s="399"/>
      <c r="U312" s="399">
        <v>18733.830000000002</v>
      </c>
      <c r="V312" s="399"/>
      <c r="W312" s="399">
        <v>18733.830000000002</v>
      </c>
      <c r="X312" s="399">
        <v>9944.8700000000008</v>
      </c>
      <c r="Y312" s="399">
        <v>0</v>
      </c>
      <c r="Z312" s="399">
        <v>0</v>
      </c>
      <c r="AA312" s="399">
        <v>0</v>
      </c>
      <c r="AB312" s="399">
        <v>0</v>
      </c>
      <c r="AC312" s="399">
        <v>0</v>
      </c>
      <c r="AD312" s="399">
        <v>5444.1240689604447</v>
      </c>
      <c r="AE312" s="399">
        <v>13288.153697021966</v>
      </c>
      <c r="AF312" s="399"/>
      <c r="AG312" s="399"/>
      <c r="AH312" s="399"/>
      <c r="AI312" s="399">
        <v>0</v>
      </c>
      <c r="AJ312" s="399">
        <v>0</v>
      </c>
      <c r="AK312" s="399">
        <v>0</v>
      </c>
      <c r="AL312" s="399">
        <v>0</v>
      </c>
      <c r="AM312" s="399"/>
      <c r="AN312" s="399">
        <v>0</v>
      </c>
      <c r="AO312" s="399">
        <v>0</v>
      </c>
      <c r="AP312" s="399">
        <v>0</v>
      </c>
      <c r="AQ312" s="399">
        <v>0</v>
      </c>
      <c r="AR312" s="399">
        <v>0</v>
      </c>
      <c r="AS312" s="399"/>
      <c r="AT312" s="399"/>
      <c r="AU312" s="399">
        <v>0</v>
      </c>
      <c r="AV312" s="399">
        <v>0</v>
      </c>
      <c r="AW312" s="399">
        <v>0</v>
      </c>
      <c r="AX312" s="399"/>
      <c r="AY312" s="399"/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/>
      <c r="BG312" s="399">
        <v>0</v>
      </c>
      <c r="BH312" s="399">
        <v>0</v>
      </c>
      <c r="BI312" s="399">
        <v>10.33</v>
      </c>
      <c r="BJ312" s="399">
        <v>43.98</v>
      </c>
      <c r="BK312" s="399">
        <v>7700.09</v>
      </c>
      <c r="BL312" s="399">
        <v>5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>
        <v>0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9944.8700000000008</v>
      </c>
      <c r="CJ312" s="399">
        <v>-8788.9899999999961</v>
      </c>
      <c r="CK312" s="399"/>
      <c r="CL312" s="399"/>
      <c r="CM312" s="399"/>
      <c r="CN312" s="399"/>
      <c r="CO312" s="399">
        <v>-8788.9600000000009</v>
      </c>
      <c r="CP312" s="399">
        <v>0</v>
      </c>
      <c r="CQ312" s="399">
        <v>30</v>
      </c>
      <c r="CR312" s="399">
        <v>-501.16763310588522</v>
      </c>
      <c r="CS312" s="399">
        <v>0</v>
      </c>
      <c r="CT312" s="399">
        <v>0</v>
      </c>
      <c r="CU312" s="399">
        <v>0</v>
      </c>
      <c r="CV312" s="399">
        <v>0</v>
      </c>
      <c r="CW312" s="399"/>
      <c r="CX312" s="399"/>
      <c r="CY312" s="399"/>
      <c r="CZ312" s="399">
        <v>-501.16763310588522</v>
      </c>
      <c r="DA312" s="399">
        <v>0</v>
      </c>
      <c r="DB312" s="399">
        <v>0</v>
      </c>
      <c r="DC312" s="399"/>
      <c r="DD312" s="399"/>
      <c r="DE312" s="399">
        <v>0</v>
      </c>
      <c r="DF312" s="399">
        <v>0</v>
      </c>
      <c r="DG312" s="399">
        <v>0</v>
      </c>
      <c r="DH312" s="399">
        <v>0</v>
      </c>
      <c r="DI312" s="399">
        <v>0</v>
      </c>
      <c r="DJ312" s="399"/>
      <c r="DK312" s="399">
        <v>0</v>
      </c>
      <c r="DL312" s="399">
        <v>0</v>
      </c>
      <c r="DM312" s="399"/>
      <c r="DN312" s="399">
        <v>0</v>
      </c>
      <c r="DO312" s="399">
        <v>0</v>
      </c>
      <c r="DP312" s="399">
        <v>0</v>
      </c>
      <c r="DQ312" s="399">
        <v>0</v>
      </c>
      <c r="DR312" s="399">
        <v>0</v>
      </c>
      <c r="DS312" s="399"/>
      <c r="DT312" s="399"/>
      <c r="DU312" s="399">
        <v>13288.153697021966</v>
      </c>
      <c r="DV312" s="399"/>
      <c r="DW312" s="399">
        <v>0</v>
      </c>
      <c r="DX312" s="399">
        <v>0</v>
      </c>
      <c r="DY312" s="399">
        <v>-8788.9600000000009</v>
      </c>
      <c r="DZ312" s="399"/>
      <c r="EA312" s="399">
        <v>0</v>
      </c>
      <c r="EB312" s="399"/>
      <c r="EC312" s="399">
        <v>-8284.8570959853605</v>
      </c>
      <c r="ED312" s="399"/>
      <c r="EE312" s="399">
        <v>0</v>
      </c>
      <c r="EF312" s="399">
        <v>0</v>
      </c>
      <c r="EG312" s="399"/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/>
      <c r="EN312" s="399"/>
      <c r="EO312" s="399">
        <v>0</v>
      </c>
      <c r="EP312" s="399">
        <v>0</v>
      </c>
      <c r="EQ312" s="399"/>
      <c r="ER312" s="399">
        <v>0</v>
      </c>
      <c r="ES312" s="399"/>
      <c r="ET312" s="399">
        <v>0</v>
      </c>
      <c r="EU312" s="399"/>
      <c r="EV312" s="399">
        <v>221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312</v>
      </c>
      <c r="B313" s="399" t="s">
        <v>956</v>
      </c>
      <c r="C313" s="399" t="s">
        <v>2328</v>
      </c>
      <c r="D313" s="399" t="s">
        <v>1824</v>
      </c>
      <c r="E313" s="399" t="s">
        <v>918</v>
      </c>
      <c r="F313" s="399" t="s">
        <v>1239</v>
      </c>
      <c r="G313" s="399" t="s">
        <v>1239</v>
      </c>
      <c r="H313" s="399" t="s">
        <v>1239</v>
      </c>
      <c r="I313" s="399" t="s">
        <v>1239</v>
      </c>
      <c r="J313" s="399" t="s">
        <v>2326</v>
      </c>
      <c r="K313" s="786">
        <v>44652</v>
      </c>
      <c r="L313" s="399">
        <v>0</v>
      </c>
      <c r="M313" s="399">
        <v>0</v>
      </c>
      <c r="N313" s="399">
        <v>152.637</v>
      </c>
      <c r="O313" s="399">
        <v>152.637</v>
      </c>
      <c r="P313" s="399">
        <v>152.637</v>
      </c>
      <c r="Q313" s="399">
        <v>152.637</v>
      </c>
      <c r="R313" s="399"/>
      <c r="S313" s="399">
        <v>825.6</v>
      </c>
      <c r="T313" s="399">
        <v>185.74</v>
      </c>
      <c r="U313" s="399"/>
      <c r="V313" s="399">
        <v>154367.90357999998</v>
      </c>
      <c r="W313" s="399">
        <v>154367.90357999998</v>
      </c>
      <c r="X313" s="399">
        <v>95962.881899999993</v>
      </c>
      <c r="Y313" s="399">
        <v>0</v>
      </c>
      <c r="Z313" s="399">
        <v>9516.1791161908768</v>
      </c>
      <c r="AA313" s="399">
        <v>0</v>
      </c>
      <c r="AB313" s="399">
        <v>0</v>
      </c>
      <c r="AC313" s="399">
        <v>0</v>
      </c>
      <c r="AD313" s="399">
        <v>19893.44064705892</v>
      </c>
      <c r="AE313" s="399">
        <v>89639.097810374762</v>
      </c>
      <c r="AF313" s="399">
        <v>28351.450878063788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1470.6871396180859</v>
      </c>
      <c r="AM313" s="399"/>
      <c r="AN313" s="399">
        <v>361.88207943745601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5136.3112243713831</v>
      </c>
      <c r="BH313" s="399">
        <v>0</v>
      </c>
      <c r="BI313" s="399">
        <v>44.38</v>
      </c>
      <c r="BJ313" s="399">
        <v>197.47</v>
      </c>
      <c r="BK313" s="399">
        <v>37396.86</v>
      </c>
      <c r="BL313" s="399">
        <v>362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>
        <v>33487.762102435168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95964.767999999996</v>
      </c>
      <c r="CJ313" s="399">
        <v>-58403.165580000015</v>
      </c>
      <c r="CK313" s="399"/>
      <c r="CL313" s="399"/>
      <c r="CM313" s="399"/>
      <c r="CN313" s="399"/>
      <c r="CO313" s="399">
        <v>-58405.021680000005</v>
      </c>
      <c r="CP313" s="399">
        <v>0</v>
      </c>
      <c r="CQ313" s="399">
        <v>30</v>
      </c>
      <c r="CR313" s="399">
        <v>-2517.5273994405652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-1831.3228054926112</v>
      </c>
      <c r="DA313" s="399">
        <v>0</v>
      </c>
      <c r="DB313" s="399">
        <v>0</v>
      </c>
      <c r="DC313" s="399">
        <v>0</v>
      </c>
      <c r="DD313" s="399">
        <v>0</v>
      </c>
      <c r="DE313" s="399">
        <v>0</v>
      </c>
      <c r="DF313" s="399">
        <v>0</v>
      </c>
      <c r="DG313" s="399">
        <v>0</v>
      </c>
      <c r="DH313" s="399">
        <v>0</v>
      </c>
      <c r="DI313" s="399">
        <v>-588.56316602825791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-78.847060067436814</v>
      </c>
      <c r="DP313" s="399">
        <v>-18.794367852261871</v>
      </c>
      <c r="DQ313" s="399">
        <v>0</v>
      </c>
      <c r="DR313" s="399">
        <v>0</v>
      </c>
      <c r="DS313" s="399"/>
      <c r="DT313" s="399"/>
      <c r="DU313" s="399"/>
      <c r="DV313" s="399">
        <v>89639.097810374762</v>
      </c>
      <c r="DW313" s="399">
        <v>0</v>
      </c>
      <c r="DX313" s="399">
        <v>0</v>
      </c>
      <c r="DY313" s="399">
        <v>-58405.021680000005</v>
      </c>
      <c r="DZ313" s="399">
        <v>0</v>
      </c>
      <c r="EA313" s="399">
        <v>0</v>
      </c>
      <c r="EB313" s="399">
        <v>0</v>
      </c>
      <c r="EC313" s="399">
        <v>-55887.908320811075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221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313</v>
      </c>
      <c r="B314" s="399" t="s">
        <v>2330</v>
      </c>
      <c r="C314" s="399" t="s">
        <v>2328</v>
      </c>
      <c r="D314" s="399" t="s">
        <v>1824</v>
      </c>
      <c r="E314" s="399" t="s">
        <v>918</v>
      </c>
      <c r="F314" s="399" t="s">
        <v>1239</v>
      </c>
      <c r="G314" s="399" t="s">
        <v>1239</v>
      </c>
      <c r="H314" s="399" t="s">
        <v>1239</v>
      </c>
      <c r="I314" s="399" t="s">
        <v>1239</v>
      </c>
      <c r="J314" s="399" t="s">
        <v>2326</v>
      </c>
      <c r="K314" s="786">
        <v>44652</v>
      </c>
      <c r="L314" s="399">
        <v>0</v>
      </c>
      <c r="M314" s="399">
        <v>0</v>
      </c>
      <c r="N314" s="399">
        <v>6.9139999999999997</v>
      </c>
      <c r="O314" s="399">
        <v>6.9139999999999997</v>
      </c>
      <c r="P314" s="399">
        <v>6.9139999999999997</v>
      </c>
      <c r="Q314" s="399">
        <v>6.9139999999999997</v>
      </c>
      <c r="R314" s="399"/>
      <c r="S314" s="399">
        <v>825.6</v>
      </c>
      <c r="T314" s="399">
        <v>185.74</v>
      </c>
      <c r="U314" s="399"/>
      <c r="V314" s="399">
        <v>6992.4047600000004</v>
      </c>
      <c r="W314" s="399">
        <v>6992.4047600000004</v>
      </c>
      <c r="X314" s="399">
        <v>4346.8317999999999</v>
      </c>
      <c r="Y314" s="399">
        <v>0</v>
      </c>
      <c r="Z314" s="399">
        <v>431.05447833319391</v>
      </c>
      <c r="AA314" s="399">
        <v>0</v>
      </c>
      <c r="AB314" s="399">
        <v>0</v>
      </c>
      <c r="AC314" s="399">
        <v>0</v>
      </c>
      <c r="AD314" s="399">
        <v>901.1134170205479</v>
      </c>
      <c r="AE314" s="399">
        <v>4060.3832770621216</v>
      </c>
      <c r="AF314" s="399">
        <v>1284.2360068065609</v>
      </c>
      <c r="AG314" s="399">
        <v>0</v>
      </c>
      <c r="AH314" s="399">
        <v>0</v>
      </c>
      <c r="AI314" s="399">
        <v>0</v>
      </c>
      <c r="AJ314" s="399">
        <v>0</v>
      </c>
      <c r="AK314" s="399">
        <v>0</v>
      </c>
      <c r="AL314" s="399">
        <v>66.617732812617163</v>
      </c>
      <c r="AM314" s="399"/>
      <c r="AN314" s="399">
        <v>16.392176845919213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232.65955047140432</v>
      </c>
      <c r="BH314" s="399">
        <v>0</v>
      </c>
      <c r="BI314" s="399">
        <v>2.0299999999999998</v>
      </c>
      <c r="BJ314" s="399">
        <v>8.84</v>
      </c>
      <c r="BK314" s="399">
        <v>3523.83</v>
      </c>
      <c r="BL314" s="399">
        <v>14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1516.8955572779653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4344.317</v>
      </c>
      <c r="CJ314" s="399">
        <v>-2648.117760000001</v>
      </c>
      <c r="CK314" s="399"/>
      <c r="CL314" s="399"/>
      <c r="CM314" s="399"/>
      <c r="CN314" s="399"/>
      <c r="CO314" s="399">
        <v>-2645.57296</v>
      </c>
      <c r="CP314" s="399">
        <v>0</v>
      </c>
      <c r="CQ314" s="399">
        <v>30</v>
      </c>
      <c r="CR314" s="399">
        <v>-114.03646848229528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-82.953450848587863</v>
      </c>
      <c r="DA314" s="399">
        <v>0</v>
      </c>
      <c r="DB314" s="399">
        <v>0</v>
      </c>
      <c r="DC314" s="399">
        <v>0</v>
      </c>
      <c r="DD314" s="399">
        <v>0</v>
      </c>
      <c r="DE314" s="399">
        <v>0</v>
      </c>
      <c r="DF314" s="399">
        <v>0</v>
      </c>
      <c r="DG314" s="399">
        <v>0</v>
      </c>
      <c r="DH314" s="399">
        <v>0</v>
      </c>
      <c r="DI314" s="399">
        <v>-26.660152714737421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-3.5715362153754313</v>
      </c>
      <c r="DP314" s="399">
        <v>-0.85132870359440105</v>
      </c>
      <c r="DQ314" s="399">
        <v>0</v>
      </c>
      <c r="DR314" s="399">
        <v>0</v>
      </c>
      <c r="DS314" s="399"/>
      <c r="DT314" s="399"/>
      <c r="DU314" s="399"/>
      <c r="DV314" s="399">
        <v>4060.3832770621216</v>
      </c>
      <c r="DW314" s="399">
        <v>0</v>
      </c>
      <c r="DX314" s="399">
        <v>0</v>
      </c>
      <c r="DY314" s="399">
        <v>-2645.5729600000004</v>
      </c>
      <c r="DZ314" s="399">
        <v>0</v>
      </c>
      <c r="EA314" s="399">
        <v>0</v>
      </c>
      <c r="EB314" s="399">
        <v>0</v>
      </c>
      <c r="EC314" s="399">
        <v>-2531.5552463038957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221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314</v>
      </c>
      <c r="B315" s="399" t="s">
        <v>956</v>
      </c>
      <c r="C315" s="399" t="s">
        <v>2577</v>
      </c>
      <c r="D315" s="399" t="s">
        <v>533</v>
      </c>
      <c r="E315" s="399" t="s">
        <v>918</v>
      </c>
      <c r="F315" s="399" t="s">
        <v>1239</v>
      </c>
      <c r="G315" s="399" t="s">
        <v>1239</v>
      </c>
      <c r="H315" s="399" t="s">
        <v>1239</v>
      </c>
      <c r="I315" s="399" t="s">
        <v>893</v>
      </c>
      <c r="J315" s="399" t="s">
        <v>2326</v>
      </c>
      <c r="K315" s="786">
        <v>44652</v>
      </c>
      <c r="L315" s="399">
        <v>527</v>
      </c>
      <c r="M315" s="399">
        <v>527</v>
      </c>
      <c r="N315" s="399">
        <v>25.899000000000001</v>
      </c>
      <c r="O315" s="399">
        <v>25.899000000000001</v>
      </c>
      <c r="P315" s="399">
        <v>25.899000000000001</v>
      </c>
      <c r="Q315" s="399">
        <v>25.899000000000001</v>
      </c>
      <c r="R315" s="399">
        <v>181.08</v>
      </c>
      <c r="S315" s="399">
        <v>77.900000000000006</v>
      </c>
      <c r="T315" s="399">
        <v>185.74</v>
      </c>
      <c r="U315" s="399">
        <v>95429.16</v>
      </c>
      <c r="V315" s="399">
        <v>6828.0123600000006</v>
      </c>
      <c r="W315" s="399">
        <v>102257.17236</v>
      </c>
      <c r="X315" s="399">
        <v>53850.828280000002</v>
      </c>
      <c r="Y315" s="399">
        <v>0</v>
      </c>
      <c r="Z315" s="399">
        <v>1404.7693871688887</v>
      </c>
      <c r="AA315" s="399">
        <v>0</v>
      </c>
      <c r="AB315" s="399">
        <v>0</v>
      </c>
      <c r="AC315" s="399">
        <v>0</v>
      </c>
      <c r="AD315" s="399">
        <v>21063.356254952323</v>
      </c>
      <c r="AE315" s="399">
        <v>74364.653716145869</v>
      </c>
      <c r="AF315" s="399">
        <v>4810.5913133183576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249.54189501214523</v>
      </c>
      <c r="AM315" s="399"/>
      <c r="AN315" s="399">
        <v>26.828292988903719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336.48430918067811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5147.0756224990355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53851.088000000003</v>
      </c>
      <c r="CJ315" s="399">
        <v>-48406.114359999978</v>
      </c>
      <c r="CK315" s="399"/>
      <c r="CL315" s="399"/>
      <c r="CM315" s="399"/>
      <c r="CN315" s="399"/>
      <c r="CO315" s="399">
        <v>-48406.34408000001</v>
      </c>
      <c r="CP315" s="399">
        <v>0</v>
      </c>
      <c r="CQ315" s="399">
        <v>30</v>
      </c>
      <c r="CR315" s="399">
        <v>-2040.6762833757093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-1939.0212761216571</v>
      </c>
      <c r="DA315" s="399">
        <v>0</v>
      </c>
      <c r="DB315" s="399">
        <v>0</v>
      </c>
      <c r="DC315" s="399">
        <v>0</v>
      </c>
      <c r="DD315" s="399">
        <v>0</v>
      </c>
      <c r="DE315" s="399">
        <v>0</v>
      </c>
      <c r="DF315" s="399">
        <v>0</v>
      </c>
      <c r="DG315" s="399">
        <v>0</v>
      </c>
      <c r="DH315" s="399">
        <v>0</v>
      </c>
      <c r="DI315" s="399">
        <v>-86.883139541265791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-13.378538681227695</v>
      </c>
      <c r="DP315" s="399">
        <v>-1.3933290315605156</v>
      </c>
      <c r="DQ315" s="399">
        <v>0</v>
      </c>
      <c r="DR315" s="399">
        <v>0</v>
      </c>
      <c r="DS315" s="399"/>
      <c r="DT315" s="399"/>
      <c r="DU315" s="399">
        <v>74364.653716145869</v>
      </c>
      <c r="DV315" s="399">
        <v>0</v>
      </c>
      <c r="DW315" s="399">
        <v>0</v>
      </c>
      <c r="DX315" s="399">
        <v>0</v>
      </c>
      <c r="DY315" s="399">
        <v>-48406.344079999995</v>
      </c>
      <c r="DZ315" s="399">
        <v>0</v>
      </c>
      <c r="EA315" s="399">
        <v>0</v>
      </c>
      <c r="EB315" s="399">
        <v>0</v>
      </c>
      <c r="EC315" s="399">
        <v>-46364.645012254943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221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315</v>
      </c>
      <c r="B316" s="399" t="s">
        <v>956</v>
      </c>
      <c r="C316" s="399" t="s">
        <v>2577</v>
      </c>
      <c r="D316" s="399" t="s">
        <v>533</v>
      </c>
      <c r="E316" s="399" t="s">
        <v>918</v>
      </c>
      <c r="F316" s="399" t="s">
        <v>1239</v>
      </c>
      <c r="G316" s="399" t="s">
        <v>1239</v>
      </c>
      <c r="H316" s="399" t="s">
        <v>1239</v>
      </c>
      <c r="I316" s="399" t="s">
        <v>2323</v>
      </c>
      <c r="J316" s="399" t="s">
        <v>2326</v>
      </c>
      <c r="K316" s="786">
        <v>44652</v>
      </c>
      <c r="L316" s="399">
        <v>527</v>
      </c>
      <c r="M316" s="399">
        <v>527</v>
      </c>
      <c r="N316" s="399">
        <v>283.87799999999999</v>
      </c>
      <c r="O316" s="399">
        <v>283.87799999999999</v>
      </c>
      <c r="P316" s="399">
        <v>283.87799999999999</v>
      </c>
      <c r="Q316" s="399">
        <v>283.87799999999999</v>
      </c>
      <c r="R316" s="399">
        <v>55.59</v>
      </c>
      <c r="S316" s="399">
        <v>77.900000000000006</v>
      </c>
      <c r="T316" s="399">
        <v>185.74</v>
      </c>
      <c r="U316" s="399">
        <v>29295.93</v>
      </c>
      <c r="V316" s="399">
        <v>74841.595919999992</v>
      </c>
      <c r="W316" s="399">
        <v>104137.52592</v>
      </c>
      <c r="X316" s="399">
        <v>89280.564160000009</v>
      </c>
      <c r="Y316" s="399">
        <v>0</v>
      </c>
      <c r="Z316" s="399">
        <v>15397.626321121654</v>
      </c>
      <c r="AA316" s="399">
        <v>0</v>
      </c>
      <c r="AB316" s="399">
        <v>0</v>
      </c>
      <c r="AC316" s="399">
        <v>0</v>
      </c>
      <c r="AD316" s="399">
        <v>8513.5115262378458</v>
      </c>
      <c r="AE316" s="399">
        <v>20779.99109296907</v>
      </c>
      <c r="AF316" s="399">
        <v>52728.716971396134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2735.2196637807542</v>
      </c>
      <c r="AM316" s="399"/>
      <c r="AN316" s="399">
        <v>294.0639467587169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3688.1923132782167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56416.909284674352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89281.083600000013</v>
      </c>
      <c r="CJ316" s="399">
        <v>-14856.472319999986</v>
      </c>
      <c r="CK316" s="399"/>
      <c r="CL316" s="399"/>
      <c r="CM316" s="399"/>
      <c r="CN316" s="399"/>
      <c r="CO316" s="399">
        <v>-14856.961760000002</v>
      </c>
      <c r="CP316" s="399">
        <v>0</v>
      </c>
      <c r="CQ316" s="399">
        <v>30</v>
      </c>
      <c r="CR316" s="399">
        <v>-1897.9619012491603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-783.7250523643952</v>
      </c>
      <c r="DA316" s="399">
        <v>0</v>
      </c>
      <c r="DB316" s="399">
        <v>0</v>
      </c>
      <c r="DC316" s="399">
        <v>0</v>
      </c>
      <c r="DD316" s="399">
        <v>0</v>
      </c>
      <c r="DE316" s="399">
        <v>0</v>
      </c>
      <c r="DF316" s="399">
        <v>0</v>
      </c>
      <c r="DG316" s="399">
        <v>0</v>
      </c>
      <c r="DH316" s="399">
        <v>0</v>
      </c>
      <c r="DI316" s="399">
        <v>-952.32294245705998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-146.64167742961308</v>
      </c>
      <c r="DP316" s="399">
        <v>-15.272228998082369</v>
      </c>
      <c r="DQ316" s="399">
        <v>0</v>
      </c>
      <c r="DR316" s="399">
        <v>0</v>
      </c>
      <c r="DS316" s="399"/>
      <c r="DT316" s="399"/>
      <c r="DU316" s="399">
        <v>20779.99109296907</v>
      </c>
      <c r="DV316" s="399">
        <v>0</v>
      </c>
      <c r="DW316" s="399">
        <v>0</v>
      </c>
      <c r="DX316" s="399">
        <v>0</v>
      </c>
      <c r="DY316" s="399">
        <v>-14856.961759999998</v>
      </c>
      <c r="DZ316" s="399">
        <v>0</v>
      </c>
      <c r="EA316" s="399">
        <v>0</v>
      </c>
      <c r="EB316" s="399">
        <v>0</v>
      </c>
      <c r="EC316" s="399">
        <v>-12955.844776214497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221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316</v>
      </c>
      <c r="B317" s="399" t="s">
        <v>956</v>
      </c>
      <c r="C317" s="399" t="s">
        <v>2577</v>
      </c>
      <c r="D317" s="399" t="s">
        <v>533</v>
      </c>
      <c r="E317" s="399" t="s">
        <v>918</v>
      </c>
      <c r="F317" s="399" t="s">
        <v>1239</v>
      </c>
      <c r="G317" s="399" t="s">
        <v>1239</v>
      </c>
      <c r="H317" s="399" t="s">
        <v>1239</v>
      </c>
      <c r="I317" s="399" t="s">
        <v>1239</v>
      </c>
      <c r="J317" s="399" t="s">
        <v>2326</v>
      </c>
      <c r="K317" s="786">
        <v>44652</v>
      </c>
      <c r="L317" s="399">
        <v>0</v>
      </c>
      <c r="M317" s="399">
        <v>0</v>
      </c>
      <c r="N317" s="399">
        <v>0</v>
      </c>
      <c r="O317" s="399">
        <v>0</v>
      </c>
      <c r="P317" s="399">
        <v>0</v>
      </c>
      <c r="Q317" s="399">
        <v>0</v>
      </c>
      <c r="R317" s="399"/>
      <c r="S317" s="399"/>
      <c r="T317" s="399"/>
      <c r="U317" s="399"/>
      <c r="V317" s="399"/>
      <c r="W317" s="399"/>
      <c r="X317" s="399"/>
      <c r="Y317" s="399"/>
      <c r="Z317" s="399"/>
      <c r="AA317" s="399">
        <v>0</v>
      </c>
      <c r="AB317" s="399"/>
      <c r="AC317" s="399"/>
      <c r="AD317" s="399"/>
      <c r="AE317" s="399"/>
      <c r="AF317" s="399"/>
      <c r="AG317" s="399"/>
      <c r="AH317" s="399"/>
      <c r="AI317" s="399"/>
      <c r="AJ317" s="399"/>
      <c r="AK317" s="399"/>
      <c r="AL317" s="399"/>
      <c r="AM317" s="399"/>
      <c r="AN317" s="399"/>
      <c r="AO317" s="399"/>
      <c r="AP317" s="399"/>
      <c r="AQ317" s="399"/>
      <c r="AR317" s="399"/>
      <c r="AS317" s="399"/>
      <c r="AT317" s="399"/>
      <c r="AU317" s="399"/>
      <c r="AV317" s="399"/>
      <c r="AW317" s="399"/>
      <c r="AX317" s="399"/>
      <c r="AY317" s="399"/>
      <c r="AZ317" s="399">
        <v>0</v>
      </c>
      <c r="BA317" s="399"/>
      <c r="BB317" s="399"/>
      <c r="BC317" s="399"/>
      <c r="BD317" s="399"/>
      <c r="BE317" s="399"/>
      <c r="BF317" s="399"/>
      <c r="BG317" s="399"/>
      <c r="BH317" s="399"/>
      <c r="BI317" s="399">
        <v>66.180000000000007</v>
      </c>
      <c r="BJ317" s="399">
        <v>281.3</v>
      </c>
      <c r="BK317" s="399">
        <v>54631.040000000001</v>
      </c>
      <c r="BL317" s="399">
        <v>1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/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/>
      <c r="CJ317" s="399">
        <v>-0.03</v>
      </c>
      <c r="CK317" s="399"/>
      <c r="CL317" s="399"/>
      <c r="CM317" s="399"/>
      <c r="CN317" s="399"/>
      <c r="CO317" s="399">
        <v>0</v>
      </c>
      <c r="CP317" s="399">
        <v>0</v>
      </c>
      <c r="CQ317" s="399">
        <v>30</v>
      </c>
      <c r="CR317" s="399"/>
      <c r="CS317" s="399"/>
      <c r="CT317" s="399"/>
      <c r="CU317" s="399"/>
      <c r="CV317" s="399"/>
      <c r="CW317" s="399"/>
      <c r="CX317" s="399"/>
      <c r="CY317" s="399"/>
      <c r="CZ317" s="399"/>
      <c r="DA317" s="399"/>
      <c r="DB317" s="399"/>
      <c r="DC317" s="399"/>
      <c r="DD317" s="399"/>
      <c r="DE317" s="399"/>
      <c r="DF317" s="399"/>
      <c r="DG317" s="399"/>
      <c r="DH317" s="399"/>
      <c r="DI317" s="399"/>
      <c r="DJ317" s="399"/>
      <c r="DK317" s="399">
        <v>0</v>
      </c>
      <c r="DL317" s="399"/>
      <c r="DM317" s="399"/>
      <c r="DN317" s="399"/>
      <c r="DO317" s="399"/>
      <c r="DP317" s="399"/>
      <c r="DQ317" s="399"/>
      <c r="DR317" s="399"/>
      <c r="DS317" s="399"/>
      <c r="DT317" s="399"/>
      <c r="DU317" s="399"/>
      <c r="DV317" s="399"/>
      <c r="DW317" s="399"/>
      <c r="DX317" s="399"/>
      <c r="DY317" s="399"/>
      <c r="DZ317" s="399"/>
      <c r="EA317" s="399"/>
      <c r="EB317" s="399"/>
      <c r="EC317" s="399"/>
      <c r="ED317" s="399"/>
      <c r="EE317" s="399"/>
      <c r="EF317" s="399"/>
      <c r="EG317" s="399"/>
      <c r="EH317" s="399"/>
      <c r="EI317" s="399"/>
      <c r="EJ317" s="399"/>
      <c r="EK317" s="399"/>
      <c r="EL317" s="399"/>
      <c r="EM317" s="399"/>
      <c r="EN317" s="399"/>
      <c r="EO317" s="399"/>
      <c r="EP317" s="399"/>
      <c r="EQ317" s="399"/>
      <c r="ER317" s="399"/>
      <c r="ES317" s="399"/>
      <c r="ET317" s="399"/>
      <c r="EU317" s="399"/>
      <c r="EV317" s="399">
        <v>221</v>
      </c>
      <c r="EW317" s="399"/>
      <c r="EX317" s="399"/>
      <c r="EY317" s="399"/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317</v>
      </c>
      <c r="B318" s="399" t="s">
        <v>956</v>
      </c>
      <c r="C318" s="399" t="s">
        <v>2325</v>
      </c>
      <c r="D318" s="399" t="s">
        <v>533</v>
      </c>
      <c r="E318" s="399" t="s">
        <v>918</v>
      </c>
      <c r="F318" s="399" t="s">
        <v>1239</v>
      </c>
      <c r="G318" s="399" t="s">
        <v>1239</v>
      </c>
      <c r="H318" s="399" t="s">
        <v>1239</v>
      </c>
      <c r="I318" s="399" t="s">
        <v>893</v>
      </c>
      <c r="J318" s="399" t="s">
        <v>2326</v>
      </c>
      <c r="K318" s="786">
        <v>44652</v>
      </c>
      <c r="L318" s="399">
        <v>0</v>
      </c>
      <c r="M318" s="399">
        <v>0</v>
      </c>
      <c r="N318" s="399">
        <v>8.109</v>
      </c>
      <c r="O318" s="399">
        <v>8.109</v>
      </c>
      <c r="P318" s="399">
        <v>8.109</v>
      </c>
      <c r="Q318" s="399">
        <v>8.109</v>
      </c>
      <c r="R318" s="399"/>
      <c r="S318" s="399">
        <v>4433.21</v>
      </c>
      <c r="T318" s="399">
        <v>185.74</v>
      </c>
      <c r="U318" s="399"/>
      <c r="V318" s="399">
        <v>37455.065549999999</v>
      </c>
      <c r="W318" s="399">
        <v>37455.065549999999</v>
      </c>
      <c r="X318" s="399">
        <v>19547.71758</v>
      </c>
      <c r="Y318" s="399">
        <v>0</v>
      </c>
      <c r="Z318" s="399">
        <v>439.83454807338188</v>
      </c>
      <c r="AA318" s="399">
        <v>0</v>
      </c>
      <c r="AB318" s="399">
        <v>0</v>
      </c>
      <c r="AC318" s="399">
        <v>0</v>
      </c>
      <c r="AD318" s="399">
        <v>7797.8007036900726</v>
      </c>
      <c r="AE318" s="399">
        <v>27519.379959153066</v>
      </c>
      <c r="AF318" s="399">
        <v>1506.2004308930291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78.131789901289068</v>
      </c>
      <c r="AM318" s="399"/>
      <c r="AN318" s="399">
        <v>8.3999624636866379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105.35353732368505</v>
      </c>
      <c r="BH318" s="399">
        <v>0</v>
      </c>
      <c r="BI318" s="399">
        <v>0</v>
      </c>
      <c r="BJ318" s="399">
        <v>0</v>
      </c>
      <c r="BK318" s="399">
        <v>0</v>
      </c>
      <c r="BL318" s="399">
        <v>0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1611.5539682167141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19550.128199999999</v>
      </c>
      <c r="CJ318" s="399">
        <v>-17904.967350000006</v>
      </c>
      <c r="CK318" s="399"/>
      <c r="CL318" s="399"/>
      <c r="CM318" s="399"/>
      <c r="CN318" s="399"/>
      <c r="CO318" s="399">
        <v>-17907.347969999999</v>
      </c>
      <c r="CP318" s="399">
        <v>0</v>
      </c>
      <c r="CQ318" s="399">
        <v>30</v>
      </c>
      <c r="CR318" s="399">
        <v>-749.66741020419613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-717.83913676417433</v>
      </c>
      <c r="DA318" s="399">
        <v>0</v>
      </c>
      <c r="DB318" s="399">
        <v>0</v>
      </c>
      <c r="DC318" s="399">
        <v>0</v>
      </c>
      <c r="DD318" s="399">
        <v>0</v>
      </c>
      <c r="DE318" s="399">
        <v>0</v>
      </c>
      <c r="DF318" s="399">
        <v>0</v>
      </c>
      <c r="DG318" s="399">
        <v>0</v>
      </c>
      <c r="DH318" s="399">
        <v>0</v>
      </c>
      <c r="DI318" s="399">
        <v>-27.203188483730003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-4.1888323937632919</v>
      </c>
      <c r="DP318" s="399">
        <v>-0.43625256252844569</v>
      </c>
      <c r="DQ318" s="399">
        <v>0</v>
      </c>
      <c r="DR318" s="399">
        <v>0</v>
      </c>
      <c r="DS318" s="399"/>
      <c r="DT318" s="399"/>
      <c r="DU318" s="399"/>
      <c r="DV318" s="399">
        <v>27519.379959153066</v>
      </c>
      <c r="DW318" s="399">
        <v>0</v>
      </c>
      <c r="DX318" s="399">
        <v>0</v>
      </c>
      <c r="DY318" s="399">
        <v>-17907.347969999999</v>
      </c>
      <c r="DZ318" s="399">
        <v>0</v>
      </c>
      <c r="EA318" s="399">
        <v>0</v>
      </c>
      <c r="EB318" s="399">
        <v>0</v>
      </c>
      <c r="EC318" s="399">
        <v>-17157.698167112772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221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318</v>
      </c>
      <c r="B319" s="399" t="s">
        <v>956</v>
      </c>
      <c r="C319" s="399" t="s">
        <v>2325</v>
      </c>
      <c r="D319" s="399" t="s">
        <v>533</v>
      </c>
      <c r="E319" s="399" t="s">
        <v>918</v>
      </c>
      <c r="F319" s="399" t="s">
        <v>1239</v>
      </c>
      <c r="G319" s="399" t="s">
        <v>1239</v>
      </c>
      <c r="H319" s="399" t="s">
        <v>1239</v>
      </c>
      <c r="I319" s="399" t="s">
        <v>2323</v>
      </c>
      <c r="J319" s="399" t="s">
        <v>2326</v>
      </c>
      <c r="K319" s="786">
        <v>44652</v>
      </c>
      <c r="L319" s="399">
        <v>0</v>
      </c>
      <c r="M319" s="399">
        <v>0</v>
      </c>
      <c r="N319" s="399">
        <v>390.05599999999998</v>
      </c>
      <c r="O319" s="399">
        <v>390.05599999999998</v>
      </c>
      <c r="P319" s="399">
        <v>390.05599999999998</v>
      </c>
      <c r="Q319" s="399">
        <v>390.05599999999998</v>
      </c>
      <c r="R319" s="399"/>
      <c r="S319" s="399">
        <v>77.900000000000006</v>
      </c>
      <c r="T319" s="399">
        <v>185.74</v>
      </c>
      <c r="U319" s="399"/>
      <c r="V319" s="399">
        <v>102834.36384000001</v>
      </c>
      <c r="W319" s="399">
        <v>102834.36384000001</v>
      </c>
      <c r="X319" s="399">
        <v>101305.34432</v>
      </c>
      <c r="Y319" s="399">
        <v>0</v>
      </c>
      <c r="Z319" s="399">
        <v>21156.752310187574</v>
      </c>
      <c r="AA319" s="399">
        <v>0</v>
      </c>
      <c r="AB319" s="399">
        <v>0</v>
      </c>
      <c r="AC319" s="399">
        <v>0</v>
      </c>
      <c r="AD319" s="399">
        <v>0</v>
      </c>
      <c r="AE319" s="399">
        <v>0</v>
      </c>
      <c r="AF319" s="399">
        <v>72450.67397612668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3758.2653152962398</v>
      </c>
      <c r="AM319" s="399"/>
      <c r="AN319" s="399">
        <v>404.05176454997599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5067.6753427459971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77518.349318872672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101306.38320000001</v>
      </c>
      <c r="CJ319" s="399">
        <v>-1528.0106399999931</v>
      </c>
      <c r="CK319" s="399"/>
      <c r="CL319" s="399"/>
      <c r="CM319" s="399"/>
      <c r="CN319" s="399"/>
      <c r="CO319" s="399">
        <v>-1529.0195200000005</v>
      </c>
      <c r="CP319" s="399">
        <v>0</v>
      </c>
      <c r="CQ319" s="399">
        <v>30</v>
      </c>
      <c r="CR319" s="399">
        <v>-1530.9913706895022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</v>
      </c>
      <c r="DA319" s="399">
        <v>0</v>
      </c>
      <c r="DB319" s="399">
        <v>0</v>
      </c>
      <c r="DC319" s="399">
        <v>0</v>
      </c>
      <c r="DD319" s="399">
        <v>0</v>
      </c>
      <c r="DE319" s="399">
        <v>0</v>
      </c>
      <c r="DF319" s="399">
        <v>0</v>
      </c>
      <c r="DG319" s="399">
        <v>0</v>
      </c>
      <c r="DH319" s="399">
        <v>0</v>
      </c>
      <c r="DI319" s="399">
        <v>-1308.5173125181645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-201.48960515251383</v>
      </c>
      <c r="DP319" s="399">
        <v>-20.984453018818044</v>
      </c>
      <c r="DQ319" s="399">
        <v>0</v>
      </c>
      <c r="DR319" s="399">
        <v>0</v>
      </c>
      <c r="DS319" s="399"/>
      <c r="DT319" s="399"/>
      <c r="DU319" s="399"/>
      <c r="DV319" s="399">
        <v>0</v>
      </c>
      <c r="DW319" s="399">
        <v>0</v>
      </c>
      <c r="DX319" s="399">
        <v>0</v>
      </c>
      <c r="DY319" s="399">
        <v>-1529.0195200000016</v>
      </c>
      <c r="DZ319" s="399">
        <v>0</v>
      </c>
      <c r="EA319" s="399">
        <v>0</v>
      </c>
      <c r="EB319" s="399">
        <v>0</v>
      </c>
      <c r="EC319" s="399">
        <v>0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221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319</v>
      </c>
      <c r="B320" s="399" t="s">
        <v>956</v>
      </c>
      <c r="C320" s="399" t="s">
        <v>2325</v>
      </c>
      <c r="D320" s="399" t="s">
        <v>533</v>
      </c>
      <c r="E320" s="399" t="s">
        <v>918</v>
      </c>
      <c r="F320" s="399" t="s">
        <v>1239</v>
      </c>
      <c r="G320" s="399" t="s">
        <v>1239</v>
      </c>
      <c r="H320" s="399" t="s">
        <v>1239</v>
      </c>
      <c r="I320" s="399" t="s">
        <v>1239</v>
      </c>
      <c r="J320" s="399" t="s">
        <v>2326</v>
      </c>
      <c r="K320" s="786">
        <v>44652</v>
      </c>
      <c r="L320" s="399">
        <v>1166</v>
      </c>
      <c r="M320" s="399">
        <v>1166</v>
      </c>
      <c r="N320" s="399">
        <v>0</v>
      </c>
      <c r="O320" s="399">
        <v>0</v>
      </c>
      <c r="P320" s="399">
        <v>0</v>
      </c>
      <c r="Q320" s="399">
        <v>0</v>
      </c>
      <c r="R320" s="399">
        <v>55.59</v>
      </c>
      <c r="S320" s="399"/>
      <c r="T320" s="399"/>
      <c r="U320" s="399">
        <v>64817.94</v>
      </c>
      <c r="V320" s="399"/>
      <c r="W320" s="399">
        <v>64817.94</v>
      </c>
      <c r="X320" s="399">
        <v>34408.660000000003</v>
      </c>
      <c r="Y320" s="399">
        <v>0</v>
      </c>
      <c r="Z320" s="399">
        <v>0</v>
      </c>
      <c r="AA320" s="399">
        <v>0</v>
      </c>
      <c r="AB320" s="399">
        <v>0</v>
      </c>
      <c r="AC320" s="399">
        <v>0</v>
      </c>
      <c r="AD320" s="399">
        <v>18836.346185186583</v>
      </c>
      <c r="AE320" s="399">
        <v>45976.223177233274</v>
      </c>
      <c r="AF320" s="399"/>
      <c r="AG320" s="399"/>
      <c r="AH320" s="399"/>
      <c r="AI320" s="399">
        <v>0</v>
      </c>
      <c r="AJ320" s="399">
        <v>0</v>
      </c>
      <c r="AK320" s="399">
        <v>0</v>
      </c>
      <c r="AL320" s="399">
        <v>0</v>
      </c>
      <c r="AM320" s="399"/>
      <c r="AN320" s="399">
        <v>0</v>
      </c>
      <c r="AO320" s="399">
        <v>0</v>
      </c>
      <c r="AP320" s="399">
        <v>0</v>
      </c>
      <c r="AQ320" s="399">
        <v>0</v>
      </c>
      <c r="AR320" s="399">
        <v>0</v>
      </c>
      <c r="AS320" s="399"/>
      <c r="AT320" s="399"/>
      <c r="AU320" s="399">
        <v>0</v>
      </c>
      <c r="AV320" s="399">
        <v>0</v>
      </c>
      <c r="AW320" s="399">
        <v>0</v>
      </c>
      <c r="AX320" s="399"/>
      <c r="AY320" s="399"/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/>
      <c r="BG320" s="399">
        <v>0</v>
      </c>
      <c r="BH320" s="399">
        <v>0</v>
      </c>
      <c r="BI320" s="399">
        <v>74.84</v>
      </c>
      <c r="BJ320" s="399">
        <v>318.19</v>
      </c>
      <c r="BK320" s="399">
        <v>62084.42</v>
      </c>
      <c r="BL320" s="399">
        <v>5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0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34408.660000000003</v>
      </c>
      <c r="CJ320" s="399">
        <v>-30409.310000000005</v>
      </c>
      <c r="CK320" s="399"/>
      <c r="CL320" s="399"/>
      <c r="CM320" s="399"/>
      <c r="CN320" s="399"/>
      <c r="CO320" s="399">
        <v>-30409.280000000002</v>
      </c>
      <c r="CP320" s="399">
        <v>0</v>
      </c>
      <c r="CQ320" s="399">
        <v>30</v>
      </c>
      <c r="CR320" s="399">
        <v>-1734.0102676601273</v>
      </c>
      <c r="CS320" s="399">
        <v>0</v>
      </c>
      <c r="CT320" s="399">
        <v>0</v>
      </c>
      <c r="CU320" s="399">
        <v>0</v>
      </c>
      <c r="CV320" s="399">
        <v>0</v>
      </c>
      <c r="CW320" s="399"/>
      <c r="CX320" s="399"/>
      <c r="CY320" s="399"/>
      <c r="CZ320" s="399">
        <v>-1734.0102676601273</v>
      </c>
      <c r="DA320" s="399">
        <v>0</v>
      </c>
      <c r="DB320" s="399">
        <v>0</v>
      </c>
      <c r="DC320" s="399"/>
      <c r="DD320" s="399"/>
      <c r="DE320" s="399">
        <v>0</v>
      </c>
      <c r="DF320" s="399">
        <v>0</v>
      </c>
      <c r="DG320" s="399">
        <v>0</v>
      </c>
      <c r="DH320" s="399">
        <v>0</v>
      </c>
      <c r="DI320" s="399">
        <v>0</v>
      </c>
      <c r="DJ320" s="399"/>
      <c r="DK320" s="399">
        <v>0</v>
      </c>
      <c r="DL320" s="399">
        <v>0</v>
      </c>
      <c r="DM320" s="399"/>
      <c r="DN320" s="399">
        <v>0</v>
      </c>
      <c r="DO320" s="399">
        <v>0</v>
      </c>
      <c r="DP320" s="399">
        <v>0</v>
      </c>
      <c r="DQ320" s="399">
        <v>0</v>
      </c>
      <c r="DR320" s="399">
        <v>0</v>
      </c>
      <c r="DS320" s="399"/>
      <c r="DT320" s="399"/>
      <c r="DU320" s="399">
        <v>45976.223177233274</v>
      </c>
      <c r="DV320" s="399"/>
      <c r="DW320" s="399">
        <v>0</v>
      </c>
      <c r="DX320" s="399">
        <v>0</v>
      </c>
      <c r="DY320" s="399">
        <v>-30409.279999999999</v>
      </c>
      <c r="DZ320" s="399"/>
      <c r="EA320" s="399">
        <v>0</v>
      </c>
      <c r="EB320" s="399"/>
      <c r="EC320" s="399">
        <v>-28665.11386919564</v>
      </c>
      <c r="ED320" s="399"/>
      <c r="EE320" s="399">
        <v>0</v>
      </c>
      <c r="EF320" s="399">
        <v>0</v>
      </c>
      <c r="EG320" s="399"/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/>
      <c r="EN320" s="399"/>
      <c r="EO320" s="399">
        <v>0</v>
      </c>
      <c r="EP320" s="399">
        <v>0</v>
      </c>
      <c r="EQ320" s="399"/>
      <c r="ER320" s="399">
        <v>0</v>
      </c>
      <c r="ES320" s="399"/>
      <c r="ET320" s="399">
        <v>0</v>
      </c>
      <c r="EU320" s="399"/>
      <c r="EV320" s="399">
        <v>221</v>
      </c>
      <c r="EW320" s="399"/>
      <c r="EX320" s="399"/>
      <c r="EY320" s="399"/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320</v>
      </c>
      <c r="B321" s="399" t="s">
        <v>956</v>
      </c>
      <c r="C321" s="399" t="s">
        <v>2328</v>
      </c>
      <c r="D321" s="399" t="s">
        <v>2337</v>
      </c>
      <c r="E321" s="399" t="s">
        <v>894</v>
      </c>
      <c r="F321" s="399" t="s">
        <v>1239</v>
      </c>
      <c r="G321" s="399" t="s">
        <v>1239</v>
      </c>
      <c r="H321" s="399" t="s">
        <v>1239</v>
      </c>
      <c r="I321" s="399" t="s">
        <v>1239</v>
      </c>
      <c r="J321" s="399" t="s">
        <v>2326</v>
      </c>
      <c r="K321" s="786">
        <v>44652</v>
      </c>
      <c r="L321" s="399">
        <v>0</v>
      </c>
      <c r="M321" s="399">
        <v>0</v>
      </c>
      <c r="N321" s="399">
        <v>1461.453</v>
      </c>
      <c r="O321" s="399">
        <v>1461.453</v>
      </c>
      <c r="P321" s="399">
        <v>1461.453</v>
      </c>
      <c r="Q321" s="399">
        <v>1461.453</v>
      </c>
      <c r="R321" s="399"/>
      <c r="S321" s="399">
        <v>825.6</v>
      </c>
      <c r="T321" s="399">
        <v>185.74</v>
      </c>
      <c r="U321" s="399"/>
      <c r="V321" s="399">
        <v>1478025.87702</v>
      </c>
      <c r="W321" s="399">
        <v>1478025.87702</v>
      </c>
      <c r="X321" s="399">
        <v>918815.50109999999</v>
      </c>
      <c r="Y321" s="399">
        <v>0</v>
      </c>
      <c r="Z321" s="399">
        <v>91114.530014966906</v>
      </c>
      <c r="AA321" s="399">
        <v>0</v>
      </c>
      <c r="AB321" s="399">
        <v>0</v>
      </c>
      <c r="AC321" s="399">
        <v>0</v>
      </c>
      <c r="AD321" s="399">
        <v>190473.6630958824</v>
      </c>
      <c r="AE321" s="399">
        <v>858267.18562514742</v>
      </c>
      <c r="AF321" s="399">
        <v>271456.54684053641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14081.383493230805</v>
      </c>
      <c r="AM321" s="399"/>
      <c r="AN321" s="399">
        <v>3464.9111987270999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49178.622796512187</v>
      </c>
      <c r="BH321" s="399">
        <v>0</v>
      </c>
      <c r="BI321" s="399">
        <v>369.2</v>
      </c>
      <c r="BJ321" s="399">
        <v>1700.29</v>
      </c>
      <c r="BK321" s="399">
        <v>193566.85</v>
      </c>
      <c r="BL321" s="399">
        <v>5631</v>
      </c>
      <c r="BM321" s="399"/>
      <c r="BN321" s="399"/>
      <c r="BO321" s="399"/>
      <c r="BP321" s="399"/>
      <c r="BQ321" s="399"/>
      <c r="BR321" s="399">
        <v>110252.01432</v>
      </c>
      <c r="BS321" s="399"/>
      <c r="BT321" s="399"/>
      <c r="BU321" s="399"/>
      <c r="BV321" s="399">
        <v>320635.16963704862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808561.82700000005</v>
      </c>
      <c r="CJ321" s="399">
        <v>-492102.14393999986</v>
      </c>
      <c r="CK321" s="399"/>
      <c r="CL321" s="399"/>
      <c r="CM321" s="399"/>
      <c r="CN321" s="399"/>
      <c r="CO321" s="399">
        <v>-559210.37592000002</v>
      </c>
      <c r="CP321" s="399">
        <v>0</v>
      </c>
      <c r="CQ321" s="399">
        <v>30</v>
      </c>
      <c r="CR321" s="399">
        <v>-24104.561610190198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-17534.36065996837</v>
      </c>
      <c r="DA321" s="399">
        <v>0</v>
      </c>
      <c r="DB321" s="399">
        <v>0</v>
      </c>
      <c r="DC321" s="399">
        <v>0</v>
      </c>
      <c r="DD321" s="399">
        <v>0</v>
      </c>
      <c r="DE321" s="399">
        <v>0</v>
      </c>
      <c r="DF321" s="399">
        <v>0</v>
      </c>
      <c r="DG321" s="399">
        <v>0</v>
      </c>
      <c r="DH321" s="399">
        <v>0</v>
      </c>
      <c r="DI321" s="399">
        <v>-5635.3138798685395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-754.93669606147887</v>
      </c>
      <c r="DP321" s="399">
        <v>-179.95037429189279</v>
      </c>
      <c r="DQ321" s="399">
        <v>0</v>
      </c>
      <c r="DR321" s="399">
        <v>0</v>
      </c>
      <c r="DS321" s="399"/>
      <c r="DT321" s="399"/>
      <c r="DU321" s="399"/>
      <c r="DV321" s="399">
        <v>858267.18562514742</v>
      </c>
      <c r="DW321" s="399">
        <v>0</v>
      </c>
      <c r="DX321" s="399">
        <v>0</v>
      </c>
      <c r="DY321" s="399">
        <v>-559210.37592000002</v>
      </c>
      <c r="DZ321" s="399">
        <v>0</v>
      </c>
      <c r="EA321" s="399">
        <v>0</v>
      </c>
      <c r="EB321" s="399">
        <v>0</v>
      </c>
      <c r="EC321" s="399">
        <v>-535109.77861969452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221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321</v>
      </c>
      <c r="B322" s="399" t="s">
        <v>2329</v>
      </c>
      <c r="C322" s="399" t="s">
        <v>2328</v>
      </c>
      <c r="D322" s="399" t="s">
        <v>2337</v>
      </c>
      <c r="E322" s="399" t="s">
        <v>894</v>
      </c>
      <c r="F322" s="399" t="s">
        <v>1239</v>
      </c>
      <c r="G322" s="399" t="s">
        <v>1239</v>
      </c>
      <c r="H322" s="399" t="s">
        <v>1239</v>
      </c>
      <c r="I322" s="399" t="s">
        <v>1239</v>
      </c>
      <c r="J322" s="399" t="s">
        <v>2326</v>
      </c>
      <c r="K322" s="786">
        <v>44652</v>
      </c>
      <c r="L322" s="399">
        <v>0</v>
      </c>
      <c r="M322" s="399">
        <v>0</v>
      </c>
      <c r="N322" s="399">
        <v>-0.51600000000000001</v>
      </c>
      <c r="O322" s="399">
        <v>-0.51600000000000001</v>
      </c>
      <c r="P322" s="399">
        <v>-0.51600000000000001</v>
      </c>
      <c r="Q322" s="399">
        <v>-0.51600000000000001</v>
      </c>
      <c r="R322" s="399"/>
      <c r="S322" s="399">
        <v>825.6</v>
      </c>
      <c r="T322" s="399">
        <v>185.74</v>
      </c>
      <c r="U322" s="399"/>
      <c r="V322" s="399">
        <v>-521.85144000000003</v>
      </c>
      <c r="W322" s="399">
        <v>-521.85144000000003</v>
      </c>
      <c r="X322" s="399">
        <v>-324.4092</v>
      </c>
      <c r="Y322" s="399">
        <v>0</v>
      </c>
      <c r="Z322" s="399">
        <v>-32.170105701464863</v>
      </c>
      <c r="AA322" s="399">
        <v>0</v>
      </c>
      <c r="AB322" s="399">
        <v>0</v>
      </c>
      <c r="AC322" s="399">
        <v>0</v>
      </c>
      <c r="AD322" s="399">
        <v>-67.251160425600631</v>
      </c>
      <c r="AE322" s="399">
        <v>-303.03120783396804</v>
      </c>
      <c r="AF322" s="399">
        <v>-95.844052576248984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-4.9717602156943101</v>
      </c>
      <c r="AM322" s="399"/>
      <c r="AN322" s="399">
        <v>-1.2233675517058598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-17.363657512763183</v>
      </c>
      <c r="BH322" s="399">
        <v>0</v>
      </c>
      <c r="BI322" s="399">
        <v>-0.12</v>
      </c>
      <c r="BJ322" s="399">
        <v>-0.56999999999999995</v>
      </c>
      <c r="BK322" s="399">
        <v>-108.97</v>
      </c>
      <c r="BL322" s="399">
        <v>0</v>
      </c>
      <c r="BM322" s="399"/>
      <c r="BN322" s="399"/>
      <c r="BO322" s="399"/>
      <c r="BP322" s="399"/>
      <c r="BQ322" s="399"/>
      <c r="BR322" s="399">
        <v>-38.927039999999998</v>
      </c>
      <c r="BS322" s="399"/>
      <c r="BT322" s="399"/>
      <c r="BU322" s="399"/>
      <c r="BV322" s="399">
        <v>-113.20771008901217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-287.6952</v>
      </c>
      <c r="CJ322" s="399">
        <v>171.50448</v>
      </c>
      <c r="CK322" s="399"/>
      <c r="CL322" s="399"/>
      <c r="CM322" s="399"/>
      <c r="CN322" s="399"/>
      <c r="CO322" s="399">
        <v>197.44224000000003</v>
      </c>
      <c r="CP322" s="399">
        <v>0</v>
      </c>
      <c r="CQ322" s="399">
        <v>30</v>
      </c>
      <c r="CR322" s="399">
        <v>8.5106765601481413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6.190914179616918</v>
      </c>
      <c r="DA322" s="399">
        <v>0</v>
      </c>
      <c r="DB322" s="399">
        <v>0</v>
      </c>
      <c r="DC322" s="399">
        <v>0</v>
      </c>
      <c r="DD322" s="399">
        <v>0</v>
      </c>
      <c r="DE322" s="399">
        <v>0</v>
      </c>
      <c r="DF322" s="399">
        <v>0</v>
      </c>
      <c r="DG322" s="399">
        <v>0</v>
      </c>
      <c r="DH322" s="399">
        <v>0</v>
      </c>
      <c r="DI322" s="399">
        <v>1.9896787389072159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0.26654797326203727</v>
      </c>
      <c r="DP322" s="399">
        <v>6.3535668361977216E-2</v>
      </c>
      <c r="DQ322" s="399">
        <v>0</v>
      </c>
      <c r="DR322" s="399">
        <v>0</v>
      </c>
      <c r="DS322" s="399"/>
      <c r="DT322" s="399"/>
      <c r="DU322" s="399"/>
      <c r="DV322" s="399">
        <v>-303.03120783396804</v>
      </c>
      <c r="DW322" s="399">
        <v>0</v>
      </c>
      <c r="DX322" s="399">
        <v>0</v>
      </c>
      <c r="DY322" s="399">
        <v>197.44224000000003</v>
      </c>
      <c r="DZ322" s="399">
        <v>0</v>
      </c>
      <c r="EA322" s="399">
        <v>0</v>
      </c>
      <c r="EB322" s="399">
        <v>0</v>
      </c>
      <c r="EC322" s="399">
        <v>188.9329631317342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221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322</v>
      </c>
      <c r="B323" s="399" t="s">
        <v>2330</v>
      </c>
      <c r="C323" s="399" t="s">
        <v>2328</v>
      </c>
      <c r="D323" s="399" t="s">
        <v>2337</v>
      </c>
      <c r="E323" s="399" t="s">
        <v>894</v>
      </c>
      <c r="F323" s="399" t="s">
        <v>1239</v>
      </c>
      <c r="G323" s="399" t="s">
        <v>1239</v>
      </c>
      <c r="H323" s="399" t="s">
        <v>1239</v>
      </c>
      <c r="I323" s="399" t="s">
        <v>1239</v>
      </c>
      <c r="J323" s="399" t="s">
        <v>2326</v>
      </c>
      <c r="K323" s="786">
        <v>44652</v>
      </c>
      <c r="L323" s="399">
        <v>0</v>
      </c>
      <c r="M323" s="399">
        <v>0</v>
      </c>
      <c r="N323" s="399">
        <v>30.376999999999999</v>
      </c>
      <c r="O323" s="399">
        <v>30.376999999999999</v>
      </c>
      <c r="P323" s="399">
        <v>30.376999999999999</v>
      </c>
      <c r="Q323" s="399">
        <v>30.376999999999999</v>
      </c>
      <c r="R323" s="399"/>
      <c r="S323" s="399">
        <v>825.6</v>
      </c>
      <c r="T323" s="399">
        <v>185.74</v>
      </c>
      <c r="U323" s="399"/>
      <c r="V323" s="399">
        <v>30721.475179999998</v>
      </c>
      <c r="W323" s="399">
        <v>30721.475179999998</v>
      </c>
      <c r="X323" s="399">
        <v>19098.019899999999</v>
      </c>
      <c r="Y323" s="399">
        <v>0</v>
      </c>
      <c r="Z323" s="399">
        <v>1893.8591102585233</v>
      </c>
      <c r="AA323" s="399">
        <v>0</v>
      </c>
      <c r="AB323" s="399">
        <v>0</v>
      </c>
      <c r="AC323" s="399">
        <v>0</v>
      </c>
      <c r="AD323" s="399">
        <v>3959.0862407916088</v>
      </c>
      <c r="AE323" s="399">
        <v>17839.494186768308</v>
      </c>
      <c r="AF323" s="399">
        <v>5642.3542347068123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292.68829471346135</v>
      </c>
      <c r="AM323" s="399"/>
      <c r="AN323" s="399">
        <v>72.019837438311811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1022.2012098162929</v>
      </c>
      <c r="BH323" s="399">
        <v>0</v>
      </c>
      <c r="BI323" s="399">
        <v>6.25</v>
      </c>
      <c r="BJ323" s="399">
        <v>29.85</v>
      </c>
      <c r="BK323" s="399">
        <v>12180.09</v>
      </c>
      <c r="BL323" s="399">
        <v>160</v>
      </c>
      <c r="BM323" s="399"/>
      <c r="BN323" s="399"/>
      <c r="BO323" s="399"/>
      <c r="BP323" s="399"/>
      <c r="BQ323" s="399"/>
      <c r="BR323" s="399">
        <v>2291.6408799999999</v>
      </c>
      <c r="BS323" s="399"/>
      <c r="BT323" s="399"/>
      <c r="BU323" s="399"/>
      <c r="BV323" s="399">
        <v>6664.5554445231055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16808.038799999998</v>
      </c>
      <c r="CJ323" s="399">
        <v>-10226.913659999995</v>
      </c>
      <c r="CK323" s="399"/>
      <c r="CL323" s="399"/>
      <c r="CM323" s="399"/>
      <c r="CN323" s="399"/>
      <c r="CO323" s="399">
        <v>-11623.45528</v>
      </c>
      <c r="CP323" s="399">
        <v>0</v>
      </c>
      <c r="CQ323" s="399">
        <v>30</v>
      </c>
      <c r="CR323" s="399">
        <v>-501.02484858066055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-364.4600775857034</v>
      </c>
      <c r="DA323" s="399">
        <v>0</v>
      </c>
      <c r="DB323" s="399">
        <v>0</v>
      </c>
      <c r="DC323" s="399">
        <v>0</v>
      </c>
      <c r="DD323" s="399">
        <v>0</v>
      </c>
      <c r="DE323" s="399">
        <v>0</v>
      </c>
      <c r="DF323" s="399">
        <v>0</v>
      </c>
      <c r="DG323" s="399">
        <v>0</v>
      </c>
      <c r="DH323" s="399">
        <v>0</v>
      </c>
      <c r="DI323" s="399">
        <v>-117.13269583679153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-15.6917205112033</v>
      </c>
      <c r="DP323" s="399">
        <v>-3.7403546469608102</v>
      </c>
      <c r="DQ323" s="399">
        <v>0</v>
      </c>
      <c r="DR323" s="399">
        <v>0</v>
      </c>
      <c r="DS323" s="399"/>
      <c r="DT323" s="399"/>
      <c r="DU323" s="399"/>
      <c r="DV323" s="399">
        <v>17839.494186768308</v>
      </c>
      <c r="DW323" s="399">
        <v>0</v>
      </c>
      <c r="DX323" s="399">
        <v>0</v>
      </c>
      <c r="DY323" s="399">
        <v>-11623.45528</v>
      </c>
      <c r="DZ323" s="399">
        <v>0</v>
      </c>
      <c r="EA323" s="399">
        <v>0</v>
      </c>
      <c r="EB323" s="399">
        <v>0</v>
      </c>
      <c r="EC323" s="399">
        <v>-11122.512831497461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221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323</v>
      </c>
      <c r="B324" s="399" t="s">
        <v>2330</v>
      </c>
      <c r="C324" s="399" t="s">
        <v>2328</v>
      </c>
      <c r="D324" s="399" t="s">
        <v>2337</v>
      </c>
      <c r="E324" s="399" t="s">
        <v>894</v>
      </c>
      <c r="F324" s="399" t="s">
        <v>1239</v>
      </c>
      <c r="G324" s="399" t="s">
        <v>1239</v>
      </c>
      <c r="H324" s="399" t="s">
        <v>1239</v>
      </c>
      <c r="I324" s="399" t="s">
        <v>1239</v>
      </c>
      <c r="J324" s="399" t="s">
        <v>2326</v>
      </c>
      <c r="K324" s="786">
        <v>44652</v>
      </c>
      <c r="L324" s="399">
        <v>0</v>
      </c>
      <c r="M324" s="399">
        <v>0</v>
      </c>
      <c r="N324" s="399">
        <v>12.362</v>
      </c>
      <c r="O324" s="399">
        <v>12.362</v>
      </c>
      <c r="P324" s="399">
        <v>12.362</v>
      </c>
      <c r="Q324" s="399">
        <v>12.362</v>
      </c>
      <c r="R324" s="399"/>
      <c r="S324" s="399">
        <v>825.6</v>
      </c>
      <c r="T324" s="399">
        <v>185.74</v>
      </c>
      <c r="U324" s="399"/>
      <c r="V324" s="399">
        <v>12502.185079999999</v>
      </c>
      <c r="W324" s="399">
        <v>12502.185079999999</v>
      </c>
      <c r="X324" s="399">
        <v>7771.9894000000004</v>
      </c>
      <c r="Y324" s="399">
        <v>0</v>
      </c>
      <c r="Z324" s="399">
        <v>770.71094318121823</v>
      </c>
      <c r="AA324" s="399">
        <v>0</v>
      </c>
      <c r="AB324" s="399">
        <v>0</v>
      </c>
      <c r="AC324" s="399">
        <v>0</v>
      </c>
      <c r="AD324" s="399">
        <v>1611.1605526768894</v>
      </c>
      <c r="AE324" s="399">
        <v>7259.829052797505</v>
      </c>
      <c r="AF324" s="399">
        <v>2296.1708874953292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119.11027090390128</v>
      </c>
      <c r="AM324" s="399"/>
      <c r="AN324" s="399">
        <v>29.308662159278754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415.98746932709003</v>
      </c>
      <c r="BH324" s="399">
        <v>0</v>
      </c>
      <c r="BI324" s="399">
        <v>3.44</v>
      </c>
      <c r="BJ324" s="399">
        <v>15.51</v>
      </c>
      <c r="BK324" s="399">
        <v>3354.16</v>
      </c>
      <c r="BL324" s="399">
        <v>1</v>
      </c>
      <c r="BM324" s="399"/>
      <c r="BN324" s="399"/>
      <c r="BO324" s="399"/>
      <c r="BP324" s="399"/>
      <c r="BQ324" s="399"/>
      <c r="BR324" s="399">
        <v>932.58928000000003</v>
      </c>
      <c r="BS324" s="399"/>
      <c r="BT324" s="399"/>
      <c r="BU324" s="399"/>
      <c r="BV324" s="399">
        <v>2712.1583568224191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6838.2935999999991</v>
      </c>
      <c r="CJ324" s="399">
        <v>-4163.6691600000013</v>
      </c>
      <c r="CK324" s="399"/>
      <c r="CL324" s="399"/>
      <c r="CM324" s="399"/>
      <c r="CN324" s="399"/>
      <c r="CO324" s="399">
        <v>-4730.1956800000007</v>
      </c>
      <c r="CP324" s="399">
        <v>0</v>
      </c>
      <c r="CQ324" s="399">
        <v>30</v>
      </c>
      <c r="CR324" s="399">
        <v>-203.89337914060252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-148.31798660547338</v>
      </c>
      <c r="DA324" s="399">
        <v>0</v>
      </c>
      <c r="DB324" s="399">
        <v>0</v>
      </c>
      <c r="DC324" s="399">
        <v>0</v>
      </c>
      <c r="DD324" s="399">
        <v>0</v>
      </c>
      <c r="DE324" s="399">
        <v>0</v>
      </c>
      <c r="DF324" s="399">
        <v>0</v>
      </c>
      <c r="DG324" s="399">
        <v>0</v>
      </c>
      <c r="DH324" s="399">
        <v>0</v>
      </c>
      <c r="DI324" s="399">
        <v>-47.667458469711164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-6.3857869098164741</v>
      </c>
      <c r="DP324" s="399">
        <v>-1.5221471556022514</v>
      </c>
      <c r="DQ324" s="399">
        <v>0</v>
      </c>
      <c r="DR324" s="399">
        <v>0</v>
      </c>
      <c r="DS324" s="399"/>
      <c r="DT324" s="399"/>
      <c r="DU324" s="399"/>
      <c r="DV324" s="399">
        <v>7259.829052797505</v>
      </c>
      <c r="DW324" s="399">
        <v>0</v>
      </c>
      <c r="DX324" s="399">
        <v>0</v>
      </c>
      <c r="DY324" s="399">
        <v>-4730.1956799999998</v>
      </c>
      <c r="DZ324" s="399">
        <v>0</v>
      </c>
      <c r="EA324" s="399">
        <v>0</v>
      </c>
      <c r="EB324" s="399">
        <v>0</v>
      </c>
      <c r="EC324" s="399">
        <v>-4526.3358337877871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221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324</v>
      </c>
      <c r="B325" s="399" t="s">
        <v>956</v>
      </c>
      <c r="C325" s="399" t="s">
        <v>2328</v>
      </c>
      <c r="D325" s="399" t="s">
        <v>1824</v>
      </c>
      <c r="E325" s="399" t="s">
        <v>2338</v>
      </c>
      <c r="F325" s="399" t="s">
        <v>1239</v>
      </c>
      <c r="G325" s="399" t="s">
        <v>1239</v>
      </c>
      <c r="H325" s="399" t="s">
        <v>1239</v>
      </c>
      <c r="I325" s="399" t="s">
        <v>1239</v>
      </c>
      <c r="J325" s="399" t="s">
        <v>2326</v>
      </c>
      <c r="K325" s="786">
        <v>44652</v>
      </c>
      <c r="L325" s="399">
        <v>0</v>
      </c>
      <c r="M325" s="399">
        <v>0</v>
      </c>
      <c r="N325" s="399">
        <v>25.068999999999999</v>
      </c>
      <c r="O325" s="399">
        <v>25.068999999999999</v>
      </c>
      <c r="P325" s="399">
        <v>25.068999999999999</v>
      </c>
      <c r="Q325" s="399">
        <v>25.068999999999999</v>
      </c>
      <c r="R325" s="399"/>
      <c r="S325" s="399">
        <v>825.6</v>
      </c>
      <c r="T325" s="399">
        <v>185.74</v>
      </c>
      <c r="U325" s="399"/>
      <c r="V325" s="399">
        <v>25353.282460000002</v>
      </c>
      <c r="W325" s="399">
        <v>25353.282460000002</v>
      </c>
      <c r="X325" s="399">
        <v>15760.880300000001</v>
      </c>
      <c r="Y325" s="399">
        <v>0</v>
      </c>
      <c r="Z325" s="399">
        <v>1562.9309686628344</v>
      </c>
      <c r="AA325" s="399">
        <v>0</v>
      </c>
      <c r="AB325" s="399">
        <v>0</v>
      </c>
      <c r="AC325" s="399">
        <v>0</v>
      </c>
      <c r="AD325" s="399">
        <v>3267.2855440104304</v>
      </c>
      <c r="AE325" s="399">
        <v>14722.26618060028</v>
      </c>
      <c r="AF325" s="399">
        <v>4656.423554329429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241.54468381248188</v>
      </c>
      <c r="AM325" s="399"/>
      <c r="AN325" s="399">
        <v>59.435273553709678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843.58436082841115</v>
      </c>
      <c r="BH325" s="399">
        <v>0</v>
      </c>
      <c r="BI325" s="399">
        <v>7.03</v>
      </c>
      <c r="BJ325" s="399">
        <v>32.5</v>
      </c>
      <c r="BK325" s="399">
        <v>4665.3900000000003</v>
      </c>
      <c r="BL325" s="399">
        <v>93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5500.0079151578402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15761.509</v>
      </c>
      <c r="CJ325" s="399">
        <v>-9591.8034599999974</v>
      </c>
      <c r="CK325" s="399"/>
      <c r="CL325" s="399"/>
      <c r="CM325" s="399"/>
      <c r="CN325" s="399"/>
      <c r="CO325" s="399">
        <v>-9592.4021600000015</v>
      </c>
      <c r="CP325" s="399">
        <v>0</v>
      </c>
      <c r="CQ325" s="399">
        <v>30</v>
      </c>
      <c r="CR325" s="399">
        <v>-413.47703621386609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-300.77524722638827</v>
      </c>
      <c r="DA325" s="399">
        <v>0</v>
      </c>
      <c r="DB325" s="399">
        <v>0</v>
      </c>
      <c r="DC325" s="399">
        <v>0</v>
      </c>
      <c r="DD325" s="399">
        <v>0</v>
      </c>
      <c r="DE325" s="399">
        <v>0</v>
      </c>
      <c r="DF325" s="399">
        <v>0</v>
      </c>
      <c r="DG325" s="399">
        <v>0</v>
      </c>
      <c r="DH325" s="399">
        <v>0</v>
      </c>
      <c r="DI325" s="399">
        <v>-96.665225398575558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-12.949789034313937</v>
      </c>
      <c r="DP325" s="399">
        <v>-3.0867745545860572</v>
      </c>
      <c r="DQ325" s="399">
        <v>0</v>
      </c>
      <c r="DR325" s="399">
        <v>0</v>
      </c>
      <c r="DS325" s="399"/>
      <c r="DT325" s="399"/>
      <c r="DU325" s="399"/>
      <c r="DV325" s="399">
        <v>14722.26618060028</v>
      </c>
      <c r="DW325" s="399">
        <v>0</v>
      </c>
      <c r="DX325" s="399">
        <v>0</v>
      </c>
      <c r="DY325" s="399">
        <v>-9592.4021600000015</v>
      </c>
      <c r="DZ325" s="399">
        <v>0</v>
      </c>
      <c r="EA325" s="399">
        <v>0</v>
      </c>
      <c r="EB325" s="399">
        <v>0</v>
      </c>
      <c r="EC325" s="399">
        <v>-9178.9931254834191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221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325</v>
      </c>
      <c r="B326" s="399" t="s">
        <v>956</v>
      </c>
      <c r="C326" s="399" t="s">
        <v>2328</v>
      </c>
      <c r="D326" s="399" t="s">
        <v>2339</v>
      </c>
      <c r="E326" s="399" t="s">
        <v>2340</v>
      </c>
      <c r="F326" s="399" t="s">
        <v>2341</v>
      </c>
      <c r="G326" s="399" t="s">
        <v>1239</v>
      </c>
      <c r="H326" s="399" t="s">
        <v>1239</v>
      </c>
      <c r="I326" s="399" t="s">
        <v>1239</v>
      </c>
      <c r="J326" s="399" t="s">
        <v>2326</v>
      </c>
      <c r="K326" s="786">
        <v>44652</v>
      </c>
      <c r="L326" s="399">
        <v>0</v>
      </c>
      <c r="M326" s="399">
        <v>0</v>
      </c>
      <c r="N326" s="399">
        <v>191.27699999999999</v>
      </c>
      <c r="O326" s="399">
        <v>191.27699999999999</v>
      </c>
      <c r="P326" s="399">
        <v>191.27699999999999</v>
      </c>
      <c r="Q326" s="399">
        <v>191.27699999999999</v>
      </c>
      <c r="R326" s="399"/>
      <c r="S326" s="399">
        <v>454.08</v>
      </c>
      <c r="T326" s="399">
        <v>102.16</v>
      </c>
      <c r="U326" s="399"/>
      <c r="V326" s="399">
        <v>106395.91847999999</v>
      </c>
      <c r="W326" s="399">
        <v>106395.91847999999</v>
      </c>
      <c r="X326" s="399">
        <v>66141.673829999985</v>
      </c>
      <c r="Y326" s="399">
        <v>0</v>
      </c>
      <c r="Z326" s="399">
        <v>6558.8579836094978</v>
      </c>
      <c r="AA326" s="399">
        <v>0</v>
      </c>
      <c r="AB326" s="399">
        <v>0</v>
      </c>
      <c r="AC326" s="399">
        <v>0</v>
      </c>
      <c r="AD326" s="399">
        <v>13711.201777132179</v>
      </c>
      <c r="AE326" s="399">
        <v>61782.161216030712</v>
      </c>
      <c r="AF326" s="399">
        <v>19540.735590203411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1013.6450742781938</v>
      </c>
      <c r="AM326" s="399"/>
      <c r="AN326" s="399">
        <v>249.42081657597595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3540.1115793368967</v>
      </c>
      <c r="BH326" s="399">
        <v>0</v>
      </c>
      <c r="BI326" s="399">
        <v>31.91</v>
      </c>
      <c r="BJ326" s="399">
        <v>135.81</v>
      </c>
      <c r="BK326" s="399">
        <v>26629.81</v>
      </c>
      <c r="BL326" s="399">
        <v>9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23080.847169540306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66142.711199999991</v>
      </c>
      <c r="CJ326" s="399">
        <v>-40253.237279999987</v>
      </c>
      <c r="CK326" s="399"/>
      <c r="CL326" s="399"/>
      <c r="CM326" s="399"/>
      <c r="CN326" s="399"/>
      <c r="CO326" s="399">
        <v>-40254.244649999993</v>
      </c>
      <c r="CP326" s="399">
        <v>0</v>
      </c>
      <c r="CQ326" s="399">
        <v>30</v>
      </c>
      <c r="CR326" s="399">
        <v>-1735.1611903440207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-1262.2068223721526</v>
      </c>
      <c r="DA326" s="399">
        <v>0</v>
      </c>
      <c r="DB326" s="399">
        <v>0</v>
      </c>
      <c r="DC326" s="399">
        <v>0</v>
      </c>
      <c r="DD326" s="399">
        <v>0</v>
      </c>
      <c r="DE326" s="399">
        <v>0</v>
      </c>
      <c r="DF326" s="399">
        <v>0</v>
      </c>
      <c r="DG326" s="399">
        <v>0</v>
      </c>
      <c r="DH326" s="399">
        <v>0</v>
      </c>
      <c r="DI326" s="399">
        <v>-405.6567423993738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-54.343940261440594</v>
      </c>
      <c r="DP326" s="399">
        <v>-12.953685311048872</v>
      </c>
      <c r="DQ326" s="399">
        <v>0</v>
      </c>
      <c r="DR326" s="399">
        <v>0</v>
      </c>
      <c r="DS326" s="399"/>
      <c r="DT326" s="399"/>
      <c r="DU326" s="399"/>
      <c r="DV326" s="399">
        <v>61782.161216030712</v>
      </c>
      <c r="DW326" s="399">
        <v>0</v>
      </c>
      <c r="DX326" s="399">
        <v>0</v>
      </c>
      <c r="DY326" s="399">
        <v>-40254.244650000001</v>
      </c>
      <c r="DZ326" s="399">
        <v>0</v>
      </c>
      <c r="EA326" s="399">
        <v>0</v>
      </c>
      <c r="EB326" s="399">
        <v>0</v>
      </c>
      <c r="EC326" s="399">
        <v>-38519.751383569426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221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326</v>
      </c>
      <c r="B327" s="399" t="s">
        <v>956</v>
      </c>
      <c r="C327" s="399" t="s">
        <v>2328</v>
      </c>
      <c r="D327" s="399" t="s">
        <v>2339</v>
      </c>
      <c r="E327" s="399" t="s">
        <v>2340</v>
      </c>
      <c r="F327" s="399" t="s">
        <v>2578</v>
      </c>
      <c r="G327" s="399" t="s">
        <v>1239</v>
      </c>
      <c r="H327" s="399" t="s">
        <v>1239</v>
      </c>
      <c r="I327" s="399" t="s">
        <v>1239</v>
      </c>
      <c r="J327" s="399" t="s">
        <v>2326</v>
      </c>
      <c r="K327" s="786">
        <v>44652</v>
      </c>
      <c r="L327" s="399">
        <v>0</v>
      </c>
      <c r="M327" s="399">
        <v>0</v>
      </c>
      <c r="N327" s="399">
        <v>130.57300000000001</v>
      </c>
      <c r="O327" s="399">
        <v>130.57300000000001</v>
      </c>
      <c r="P327" s="399">
        <v>130.57300000000001</v>
      </c>
      <c r="Q327" s="399">
        <v>130.57300000000001</v>
      </c>
      <c r="R327" s="399"/>
      <c r="S327" s="399">
        <v>495.36</v>
      </c>
      <c r="T327" s="399">
        <v>111.45</v>
      </c>
      <c r="U327" s="399"/>
      <c r="V327" s="399">
        <v>79233.002130000008</v>
      </c>
      <c r="W327" s="399">
        <v>79233.002130000008</v>
      </c>
      <c r="X327" s="399">
        <v>49256.052790000002</v>
      </c>
      <c r="Y327" s="399">
        <v>0</v>
      </c>
      <c r="Z327" s="399">
        <v>4884.3572229736856</v>
      </c>
      <c r="AA327" s="399">
        <v>0</v>
      </c>
      <c r="AB327" s="399">
        <v>0</v>
      </c>
      <c r="AC327" s="399">
        <v>0</v>
      </c>
      <c r="AD327" s="399">
        <v>10210.681128199969</v>
      </c>
      <c r="AE327" s="399">
        <v>46008.946395935782</v>
      </c>
      <c r="AF327" s="399">
        <v>14551.913345393645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754.85772865564263</v>
      </c>
      <c r="AM327" s="399"/>
      <c r="AN327" s="399">
        <v>185.74275735917328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2636.3079679232792</v>
      </c>
      <c r="BH327" s="399">
        <v>0</v>
      </c>
      <c r="BI327" s="399">
        <v>23.44</v>
      </c>
      <c r="BJ327" s="399">
        <v>99.69</v>
      </c>
      <c r="BK327" s="399">
        <v>19549.79</v>
      </c>
      <c r="BL327" s="399">
        <v>6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17188.221313316924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49254.921099999992</v>
      </c>
      <c r="CJ327" s="399">
        <v>-29978.111030000015</v>
      </c>
      <c r="CK327" s="399"/>
      <c r="CL327" s="399"/>
      <c r="CM327" s="399"/>
      <c r="CN327" s="399"/>
      <c r="CO327" s="399">
        <v>-29976.949340000006</v>
      </c>
      <c r="CP327" s="399">
        <v>0</v>
      </c>
      <c r="CQ327" s="399">
        <v>30</v>
      </c>
      <c r="CR327" s="399">
        <v>-1292.1681052188724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-939.96074090131333</v>
      </c>
      <c r="DA327" s="399">
        <v>0</v>
      </c>
      <c r="DB327" s="399">
        <v>0</v>
      </c>
      <c r="DC327" s="399">
        <v>0</v>
      </c>
      <c r="DD327" s="399">
        <v>0</v>
      </c>
      <c r="DE327" s="399">
        <v>0</v>
      </c>
      <c r="DF327" s="399">
        <v>0</v>
      </c>
      <c r="DG327" s="399">
        <v>0</v>
      </c>
      <c r="DH327" s="399">
        <v>0</v>
      </c>
      <c r="DI327" s="399">
        <v>-302.09107206434237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-40.469730828771276</v>
      </c>
      <c r="DP327" s="399">
        <v>-9.6465614244511926</v>
      </c>
      <c r="DQ327" s="399">
        <v>0</v>
      </c>
      <c r="DR327" s="399">
        <v>0</v>
      </c>
      <c r="DS327" s="399"/>
      <c r="DT327" s="399"/>
      <c r="DU327" s="399"/>
      <c r="DV327" s="399">
        <v>46008.946395935782</v>
      </c>
      <c r="DW327" s="399">
        <v>0</v>
      </c>
      <c r="DX327" s="399">
        <v>0</v>
      </c>
      <c r="DY327" s="399">
        <v>-29976.949340000006</v>
      </c>
      <c r="DZ327" s="399">
        <v>0</v>
      </c>
      <c r="EA327" s="399">
        <v>0</v>
      </c>
      <c r="EB327" s="399">
        <v>0</v>
      </c>
      <c r="EC327" s="399">
        <v>-28685.516040697668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221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327</v>
      </c>
      <c r="B328" s="399" t="s">
        <v>956</v>
      </c>
      <c r="C328" s="399" t="s">
        <v>2328</v>
      </c>
      <c r="D328" s="399" t="s">
        <v>1824</v>
      </c>
      <c r="E328" s="399" t="s">
        <v>921</v>
      </c>
      <c r="F328" s="399" t="s">
        <v>2327</v>
      </c>
      <c r="G328" s="399" t="s">
        <v>1239</v>
      </c>
      <c r="H328" s="399" t="s">
        <v>1239</v>
      </c>
      <c r="I328" s="399" t="s">
        <v>1239</v>
      </c>
      <c r="J328" s="399" t="s">
        <v>2326</v>
      </c>
      <c r="K328" s="786">
        <v>44652</v>
      </c>
      <c r="L328" s="399">
        <v>0</v>
      </c>
      <c r="M328" s="399">
        <v>0</v>
      </c>
      <c r="N328" s="399">
        <v>3.5129999999999999</v>
      </c>
      <c r="O328" s="399">
        <v>3.3022199999999997</v>
      </c>
      <c r="P328" s="399">
        <v>3.5129999999999999</v>
      </c>
      <c r="Q328" s="399">
        <v>3.3022199999999997</v>
      </c>
      <c r="R328" s="399"/>
      <c r="S328" s="399">
        <v>825.6</v>
      </c>
      <c r="T328" s="399">
        <v>185.74</v>
      </c>
      <c r="U328" s="399"/>
      <c r="V328" s="399">
        <v>3552.8374200000003</v>
      </c>
      <c r="W328" s="399">
        <v>3552.8374200000003</v>
      </c>
      <c r="X328" s="399">
        <v>2208.6230999999998</v>
      </c>
      <c r="Y328" s="399">
        <v>0</v>
      </c>
      <c r="Z328" s="399">
        <v>219.01856846753111</v>
      </c>
      <c r="AA328" s="399">
        <v>0</v>
      </c>
      <c r="AB328" s="399">
        <v>0</v>
      </c>
      <c r="AC328" s="399">
        <v>0</v>
      </c>
      <c r="AD328" s="399">
        <v>457.85528406033916</v>
      </c>
      <c r="AE328" s="399">
        <v>2063.0787463580032</v>
      </c>
      <c r="AF328" s="399">
        <v>652.51968352783456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33.848437282430446</v>
      </c>
      <c r="AM328" s="399"/>
      <c r="AN328" s="399">
        <v>8.3288569944625674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118.21420318282375</v>
      </c>
      <c r="BH328" s="399">
        <v>0</v>
      </c>
      <c r="BI328" s="399">
        <v>0.93</v>
      </c>
      <c r="BJ328" s="399">
        <v>4.04</v>
      </c>
      <c r="BK328" s="399">
        <v>0</v>
      </c>
      <c r="BL328" s="399">
        <v>5</v>
      </c>
      <c r="BM328" s="399"/>
      <c r="BN328" s="399"/>
      <c r="BO328" s="399"/>
      <c r="BP328" s="399"/>
      <c r="BQ328" s="399">
        <v>132.51738600000013</v>
      </c>
      <c r="BR328" s="399"/>
      <c r="BS328" s="399"/>
      <c r="BT328" s="399"/>
      <c r="BU328" s="399"/>
      <c r="BV328" s="399">
        <v>770.73388671065834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2074.71</v>
      </c>
      <c r="CJ328" s="399">
        <v>-1264.9871748</v>
      </c>
      <c r="CK328" s="399"/>
      <c r="CL328" s="399"/>
      <c r="CM328" s="399"/>
      <c r="CN328" s="399"/>
      <c r="CO328" s="399">
        <v>-1344.21432</v>
      </c>
      <c r="CP328" s="399">
        <v>0</v>
      </c>
      <c r="CQ328" s="399">
        <v>30</v>
      </c>
      <c r="CR328" s="399">
        <v>-57.941873557752842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-42.148607583322132</v>
      </c>
      <c r="DA328" s="399">
        <v>0</v>
      </c>
      <c r="DB328" s="399">
        <v>0</v>
      </c>
      <c r="DC328" s="399">
        <v>0</v>
      </c>
      <c r="DD328" s="399">
        <v>0</v>
      </c>
      <c r="DE328" s="399">
        <v>0</v>
      </c>
      <c r="DF328" s="399">
        <v>0</v>
      </c>
      <c r="DG328" s="399">
        <v>0</v>
      </c>
      <c r="DH328" s="399">
        <v>0</v>
      </c>
      <c r="DI328" s="399">
        <v>-13.546010484071786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-1.814695794708399</v>
      </c>
      <c r="DP328" s="399">
        <v>-0.43255969565043806</v>
      </c>
      <c r="DQ328" s="399">
        <v>0</v>
      </c>
      <c r="DR328" s="399">
        <v>0</v>
      </c>
      <c r="DS328" s="399"/>
      <c r="DT328" s="399"/>
      <c r="DU328" s="399"/>
      <c r="DV328" s="399">
        <v>2063.0787463580032</v>
      </c>
      <c r="DW328" s="399">
        <v>0</v>
      </c>
      <c r="DX328" s="399">
        <v>0</v>
      </c>
      <c r="DY328" s="399">
        <v>-1344.2143200000003</v>
      </c>
      <c r="DZ328" s="399">
        <v>0</v>
      </c>
      <c r="EA328" s="399">
        <v>0</v>
      </c>
      <c r="EB328" s="399">
        <v>0</v>
      </c>
      <c r="EC328" s="399">
        <v>-1286.2819757398879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221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328</v>
      </c>
      <c r="B329" s="399" t="s">
        <v>956</v>
      </c>
      <c r="C329" s="399" t="s">
        <v>2328</v>
      </c>
      <c r="D329" s="399" t="s">
        <v>1824</v>
      </c>
      <c r="E329" s="399" t="s">
        <v>2579</v>
      </c>
      <c r="F329" s="399" t="s">
        <v>1239</v>
      </c>
      <c r="G329" s="399" t="s">
        <v>1239</v>
      </c>
      <c r="H329" s="399" t="s">
        <v>1239</v>
      </c>
      <c r="I329" s="399" t="s">
        <v>1239</v>
      </c>
      <c r="J329" s="399" t="s">
        <v>2326</v>
      </c>
      <c r="K329" s="786">
        <v>44652</v>
      </c>
      <c r="L329" s="399">
        <v>0</v>
      </c>
      <c r="M329" s="399">
        <v>0</v>
      </c>
      <c r="N329" s="399">
        <v>0.55900000000000005</v>
      </c>
      <c r="O329" s="399">
        <v>0.55900000000000005</v>
      </c>
      <c r="P329" s="399">
        <v>0.55900000000000005</v>
      </c>
      <c r="Q329" s="399">
        <v>0.55900000000000005</v>
      </c>
      <c r="R329" s="399"/>
      <c r="S329" s="399">
        <v>825.6</v>
      </c>
      <c r="T329" s="399">
        <v>185.74</v>
      </c>
      <c r="U329" s="399"/>
      <c r="V329" s="399">
        <v>565.33906000000002</v>
      </c>
      <c r="W329" s="399">
        <v>565.33906000000002</v>
      </c>
      <c r="X329" s="399">
        <v>351.44330000000002</v>
      </c>
      <c r="Y329" s="399">
        <v>0</v>
      </c>
      <c r="Z329" s="399">
        <v>34.850947843253607</v>
      </c>
      <c r="AA329" s="399">
        <v>0</v>
      </c>
      <c r="AB329" s="399">
        <v>0</v>
      </c>
      <c r="AC329" s="399">
        <v>0</v>
      </c>
      <c r="AD329" s="399">
        <v>72.855423794400693</v>
      </c>
      <c r="AE329" s="399">
        <v>328.2838084867987</v>
      </c>
      <c r="AF329" s="399">
        <v>103.83105695760307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5.3860735670021693</v>
      </c>
      <c r="AM329" s="399"/>
      <c r="AN329" s="399">
        <v>1.3253148476813481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18.810628972160114</v>
      </c>
      <c r="BH329" s="399">
        <v>0</v>
      </c>
      <c r="BI329" s="399">
        <v>0.15</v>
      </c>
      <c r="BJ329" s="399">
        <v>0.74</v>
      </c>
      <c r="BK329" s="399">
        <v>142.91999999999999</v>
      </c>
      <c r="BL329" s="399">
        <v>4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122.64168592976318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352.072</v>
      </c>
      <c r="CJ329" s="399">
        <v>-213.29705999999999</v>
      </c>
      <c r="CK329" s="399"/>
      <c r="CL329" s="399"/>
      <c r="CM329" s="399"/>
      <c r="CN329" s="399"/>
      <c r="CO329" s="399">
        <v>-213.89576000000005</v>
      </c>
      <c r="CP329" s="399">
        <v>0</v>
      </c>
      <c r="CQ329" s="399">
        <v>30</v>
      </c>
      <c r="CR329" s="399">
        <v>-9.2198996068271413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-6.7068236945849975</v>
      </c>
      <c r="DA329" s="399">
        <v>0</v>
      </c>
      <c r="DB329" s="399">
        <v>0</v>
      </c>
      <c r="DC329" s="399">
        <v>0</v>
      </c>
      <c r="DD329" s="399">
        <v>0</v>
      </c>
      <c r="DE329" s="399">
        <v>0</v>
      </c>
      <c r="DF329" s="399">
        <v>0</v>
      </c>
      <c r="DG329" s="399">
        <v>0</v>
      </c>
      <c r="DH329" s="399">
        <v>0</v>
      </c>
      <c r="DI329" s="399">
        <v>-2.1554853004828232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-0.28876030436720601</v>
      </c>
      <c r="DP329" s="399">
        <v>-6.8830307392142132E-2</v>
      </c>
      <c r="DQ329" s="399">
        <v>0</v>
      </c>
      <c r="DR329" s="399">
        <v>0</v>
      </c>
      <c r="DS329" s="399"/>
      <c r="DT329" s="399"/>
      <c r="DU329" s="399"/>
      <c r="DV329" s="399">
        <v>328.2838084867987</v>
      </c>
      <c r="DW329" s="399">
        <v>0</v>
      </c>
      <c r="DX329" s="399">
        <v>0</v>
      </c>
      <c r="DY329" s="399">
        <v>-213.89576000000005</v>
      </c>
      <c r="DZ329" s="399">
        <v>0</v>
      </c>
      <c r="EA329" s="399">
        <v>0</v>
      </c>
      <c r="EB329" s="399">
        <v>0</v>
      </c>
      <c r="EC329" s="399">
        <v>-204.6773767260454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221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329</v>
      </c>
      <c r="B330" s="399" t="s">
        <v>956</v>
      </c>
      <c r="C330" s="399" t="s">
        <v>2328</v>
      </c>
      <c r="D330" s="399" t="s">
        <v>1824</v>
      </c>
      <c r="E330" s="399" t="s">
        <v>921</v>
      </c>
      <c r="F330" s="399" t="s">
        <v>2580</v>
      </c>
      <c r="G330" s="399" t="s">
        <v>1239</v>
      </c>
      <c r="H330" s="399" t="s">
        <v>1239</v>
      </c>
      <c r="I330" s="399" t="s">
        <v>1239</v>
      </c>
      <c r="J330" s="399" t="s">
        <v>2326</v>
      </c>
      <c r="K330" s="786">
        <v>44652</v>
      </c>
      <c r="L330" s="399">
        <v>0</v>
      </c>
      <c r="M330" s="399">
        <v>0</v>
      </c>
      <c r="N330" s="399">
        <v>0.03</v>
      </c>
      <c r="O330" s="399">
        <v>0.03</v>
      </c>
      <c r="P330" s="399">
        <v>0.03</v>
      </c>
      <c r="Q330" s="399">
        <v>0.03</v>
      </c>
      <c r="R330" s="399"/>
      <c r="S330" s="399">
        <v>825.6</v>
      </c>
      <c r="T330" s="399">
        <v>185.74</v>
      </c>
      <c r="U330" s="399"/>
      <c r="V330" s="399">
        <v>30.340200000000003</v>
      </c>
      <c r="W330" s="399">
        <v>30.340200000000003</v>
      </c>
      <c r="X330" s="399">
        <v>18.860999999999997</v>
      </c>
      <c r="Y330" s="399">
        <v>0</v>
      </c>
      <c r="Z330" s="399">
        <v>1.8703549826433059</v>
      </c>
      <c r="AA330" s="399">
        <v>0</v>
      </c>
      <c r="AB330" s="399">
        <v>0</v>
      </c>
      <c r="AC330" s="399">
        <v>0</v>
      </c>
      <c r="AD330" s="399">
        <v>3.90995118753492</v>
      </c>
      <c r="AE330" s="399">
        <v>17.618093478719071</v>
      </c>
      <c r="AF330" s="399">
        <v>5.5723286381540102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0.28905582649385519</v>
      </c>
      <c r="AM330" s="399"/>
      <c r="AN330" s="399">
        <v>7.1126020448015095E-2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1.009514971672278</v>
      </c>
      <c r="BH330" s="399">
        <v>0</v>
      </c>
      <c r="BI330" s="399">
        <v>0</v>
      </c>
      <c r="BJ330" s="399">
        <v>0.04</v>
      </c>
      <c r="BK330" s="399">
        <v>0</v>
      </c>
      <c r="BL330" s="399">
        <v>1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6.5818436098262882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18.860999999999997</v>
      </c>
      <c r="CJ330" s="399">
        <v>-11.509200000000011</v>
      </c>
      <c r="CK330" s="399"/>
      <c r="CL330" s="399"/>
      <c r="CM330" s="399"/>
      <c r="CN330" s="399"/>
      <c r="CO330" s="399">
        <v>-11.479200000000001</v>
      </c>
      <c r="CP330" s="399">
        <v>0</v>
      </c>
      <c r="CQ330" s="399">
        <v>30</v>
      </c>
      <c r="CR330" s="399">
        <v>-0.49480677675279949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-0.35993687090796023</v>
      </c>
      <c r="DA330" s="399">
        <v>0</v>
      </c>
      <c r="DB330" s="399">
        <v>0</v>
      </c>
      <c r="DC330" s="399">
        <v>0</v>
      </c>
      <c r="DD330" s="399">
        <v>0</v>
      </c>
      <c r="DE330" s="399">
        <v>0</v>
      </c>
      <c r="DF330" s="399">
        <v>0</v>
      </c>
      <c r="DG330" s="399">
        <v>0</v>
      </c>
      <c r="DH330" s="399">
        <v>0</v>
      </c>
      <c r="DI330" s="399">
        <v>-0.11567899644809398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-1.5496975189653261E-2</v>
      </c>
      <c r="DP330" s="399">
        <v>-3.6939342070917008E-3</v>
      </c>
      <c r="DQ330" s="399">
        <v>0</v>
      </c>
      <c r="DR330" s="399">
        <v>0</v>
      </c>
      <c r="DS330" s="399"/>
      <c r="DT330" s="399"/>
      <c r="DU330" s="399"/>
      <c r="DV330" s="399">
        <v>17.618093478719071</v>
      </c>
      <c r="DW330" s="399">
        <v>0</v>
      </c>
      <c r="DX330" s="399">
        <v>0</v>
      </c>
      <c r="DY330" s="399">
        <v>-11.479200000000002</v>
      </c>
      <c r="DZ330" s="399">
        <v>0</v>
      </c>
      <c r="EA330" s="399">
        <v>0</v>
      </c>
      <c r="EB330" s="399">
        <v>0</v>
      </c>
      <c r="EC330" s="399">
        <v>-10.984474600682223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221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330</v>
      </c>
      <c r="B331" s="399" t="s">
        <v>956</v>
      </c>
      <c r="C331" s="399" t="s">
        <v>2328</v>
      </c>
      <c r="D331" s="399" t="s">
        <v>1821</v>
      </c>
      <c r="E331" s="399" t="s">
        <v>889</v>
      </c>
      <c r="F331" s="399" t="s">
        <v>889</v>
      </c>
      <c r="G331" s="399" t="s">
        <v>1239</v>
      </c>
      <c r="H331" s="399" t="s">
        <v>1239</v>
      </c>
      <c r="I331" s="399" t="s">
        <v>1239</v>
      </c>
      <c r="J331" s="399" t="s">
        <v>2326</v>
      </c>
      <c r="K331" s="786">
        <v>44682</v>
      </c>
      <c r="L331" s="399">
        <v>0</v>
      </c>
      <c r="M331" s="399">
        <v>0</v>
      </c>
      <c r="N331" s="399">
        <v>1274.4059999999999</v>
      </c>
      <c r="O331" s="399">
        <v>1274.4059999999999</v>
      </c>
      <c r="P331" s="399">
        <v>1274.4059999999999</v>
      </c>
      <c r="Q331" s="399">
        <v>1274.4059999999999</v>
      </c>
      <c r="R331" s="399"/>
      <c r="S331" s="399">
        <v>825.6</v>
      </c>
      <c r="T331" s="399">
        <v>185.74</v>
      </c>
      <c r="U331" s="399"/>
      <c r="V331" s="399">
        <v>1288857.76404</v>
      </c>
      <c r="W331" s="399">
        <v>1288857.76404</v>
      </c>
      <c r="X331" s="399">
        <v>801219.05219999992</v>
      </c>
      <c r="Y331" s="399">
        <v>0</v>
      </c>
      <c r="Z331" s="399">
        <v>79453.053733684166</v>
      </c>
      <c r="AA331" s="399">
        <v>0</v>
      </c>
      <c r="AB331" s="399">
        <v>0</v>
      </c>
      <c r="AC331" s="399">
        <v>0</v>
      </c>
      <c r="AD331" s="399">
        <v>166095.50843672091</v>
      </c>
      <c r="AE331" s="399">
        <v>748420.13459468191</v>
      </c>
      <c r="AF331" s="399">
        <v>236713.63501450999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12279.149320624269</v>
      </c>
      <c r="AM331" s="399"/>
      <c r="AN331" s="399">
        <v>3021.4475738357705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42884.397899632699</v>
      </c>
      <c r="BH331" s="399">
        <v>0</v>
      </c>
      <c r="BI331" s="399">
        <v>288.13</v>
      </c>
      <c r="BJ331" s="399">
        <v>1667.74</v>
      </c>
      <c r="BK331" s="399">
        <v>170736.84</v>
      </c>
      <c r="BL331" s="399">
        <v>8231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279598.03291414271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801221.56700000004</v>
      </c>
      <c r="CJ331" s="399">
        <v>-487636.22704000003</v>
      </c>
      <c r="CK331" s="399"/>
      <c r="CL331" s="399"/>
      <c r="CM331" s="399"/>
      <c r="CN331" s="399"/>
      <c r="CO331" s="399">
        <v>-487638.71184000006</v>
      </c>
      <c r="CP331" s="399">
        <v>0</v>
      </c>
      <c r="CQ331" s="399">
        <v>31</v>
      </c>
      <c r="CR331" s="399">
        <v>-21019.490837814228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-15290.190263544326</v>
      </c>
      <c r="DA331" s="399">
        <v>0</v>
      </c>
      <c r="DB331" s="399">
        <v>0</v>
      </c>
      <c r="DC331" s="399">
        <v>0</v>
      </c>
      <c r="DD331" s="399">
        <v>0</v>
      </c>
      <c r="DE331" s="399">
        <v>0</v>
      </c>
      <c r="DF331" s="399">
        <v>0</v>
      </c>
      <c r="DG331" s="399">
        <v>0</v>
      </c>
      <c r="DH331" s="399">
        <v>0</v>
      </c>
      <c r="DI331" s="399">
        <v>-4914.0669049143326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-658.31460545151094</v>
      </c>
      <c r="DP331" s="399">
        <v>-156.91906390409667</v>
      </c>
      <c r="DQ331" s="399">
        <v>0</v>
      </c>
      <c r="DR331" s="399">
        <v>0</v>
      </c>
      <c r="DS331" s="399"/>
      <c r="DT331" s="399"/>
      <c r="DU331" s="399"/>
      <c r="DV331" s="399">
        <v>748420.13459468191</v>
      </c>
      <c r="DW331" s="399">
        <v>0</v>
      </c>
      <c r="DX331" s="399">
        <v>0</v>
      </c>
      <c r="DY331" s="399">
        <v>-487638.71184000012</v>
      </c>
      <c r="DZ331" s="399">
        <v>0</v>
      </c>
      <c r="EA331" s="399">
        <v>0</v>
      </c>
      <c r="EB331" s="399">
        <v>0</v>
      </c>
      <c r="EC331" s="399">
        <v>-466622.67793190095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221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331</v>
      </c>
      <c r="B332" s="399" t="s">
        <v>2329</v>
      </c>
      <c r="C332" s="399" t="s">
        <v>2328</v>
      </c>
      <c r="D332" s="399" t="s">
        <v>1821</v>
      </c>
      <c r="E332" s="399" t="s">
        <v>889</v>
      </c>
      <c r="F332" s="399" t="s">
        <v>889</v>
      </c>
      <c r="G332" s="399" t="s">
        <v>1239</v>
      </c>
      <c r="H332" s="399" t="s">
        <v>1239</v>
      </c>
      <c r="I332" s="399" t="s">
        <v>1239</v>
      </c>
      <c r="J332" s="399" t="s">
        <v>2326</v>
      </c>
      <c r="K332" s="786">
        <v>44682</v>
      </c>
      <c r="L332" s="399">
        <v>0</v>
      </c>
      <c r="M332" s="399">
        <v>0</v>
      </c>
      <c r="N332" s="399">
        <v>-11.041</v>
      </c>
      <c r="O332" s="399">
        <v>-11.041</v>
      </c>
      <c r="P332" s="399">
        <v>-11.041</v>
      </c>
      <c r="Q332" s="399">
        <v>-11.041</v>
      </c>
      <c r="R332" s="399"/>
      <c r="S332" s="399">
        <v>825.6</v>
      </c>
      <c r="T332" s="399">
        <v>185.74</v>
      </c>
      <c r="U332" s="399"/>
      <c r="V332" s="399">
        <v>-11166.20494</v>
      </c>
      <c r="W332" s="399">
        <v>-11166.20494</v>
      </c>
      <c r="X332" s="399">
        <v>-6941.4766999999993</v>
      </c>
      <c r="Y332" s="399">
        <v>0</v>
      </c>
      <c r="Z332" s="399">
        <v>-688.35297877882476</v>
      </c>
      <c r="AA332" s="399">
        <v>0</v>
      </c>
      <c r="AB332" s="399">
        <v>0</v>
      </c>
      <c r="AC332" s="399">
        <v>0</v>
      </c>
      <c r="AD332" s="399">
        <v>-1438.9923687191019</v>
      </c>
      <c r="AE332" s="399">
        <v>-6484.0456699512424</v>
      </c>
      <c r="AF332" s="399">
        <v>-2050.8026831286143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-106.38217934395519</v>
      </c>
      <c r="AM332" s="399"/>
      <c r="AN332" s="399">
        <v>-26.176746392217822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-371.53516007445404</v>
      </c>
      <c r="BH332" s="399">
        <v>0</v>
      </c>
      <c r="BI332" s="399">
        <v>-2.91</v>
      </c>
      <c r="BJ332" s="399">
        <v>-14.54</v>
      </c>
      <c r="BK332" s="399">
        <v>-2343.0100000000002</v>
      </c>
      <c r="BL332" s="399">
        <v>0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-2422.3378432030681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-6940.847999999999</v>
      </c>
      <c r="CJ332" s="399">
        <v>4225.3269399999999</v>
      </c>
      <c r="CK332" s="399"/>
      <c r="CL332" s="399"/>
      <c r="CM332" s="399"/>
      <c r="CN332" s="399"/>
      <c r="CO332" s="399">
        <v>4224.7282400000004</v>
      </c>
      <c r="CP332" s="399">
        <v>0</v>
      </c>
      <c r="CQ332" s="399">
        <v>31</v>
      </c>
      <c r="CR332" s="399">
        <v>182.10538740425636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132.46876638982644</v>
      </c>
      <c r="DA332" s="399">
        <v>0</v>
      </c>
      <c r="DB332" s="399">
        <v>0</v>
      </c>
      <c r="DC332" s="399">
        <v>0</v>
      </c>
      <c r="DD332" s="399">
        <v>0</v>
      </c>
      <c r="DE332" s="399">
        <v>0</v>
      </c>
      <c r="DF332" s="399">
        <v>0</v>
      </c>
      <c r="DG332" s="399">
        <v>0</v>
      </c>
      <c r="DH332" s="399">
        <v>0</v>
      </c>
      <c r="DI332" s="399">
        <v>42.573726659446947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5.7034034356320689</v>
      </c>
      <c r="DP332" s="399">
        <v>1.3594909193499802</v>
      </c>
      <c r="DQ332" s="399">
        <v>0</v>
      </c>
      <c r="DR332" s="399">
        <v>0</v>
      </c>
      <c r="DS332" s="399"/>
      <c r="DT332" s="399"/>
      <c r="DU332" s="399"/>
      <c r="DV332" s="399">
        <v>-6484.0456699512424</v>
      </c>
      <c r="DW332" s="399">
        <v>0</v>
      </c>
      <c r="DX332" s="399">
        <v>0</v>
      </c>
      <c r="DY332" s="399">
        <v>4224.7282400000004</v>
      </c>
      <c r="DZ332" s="399">
        <v>0</v>
      </c>
      <c r="EA332" s="399">
        <v>0</v>
      </c>
      <c r="EB332" s="399">
        <v>0</v>
      </c>
      <c r="EC332" s="399">
        <v>4042.6528022044135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221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332</v>
      </c>
      <c r="B333" s="399" t="s">
        <v>2330</v>
      </c>
      <c r="C333" s="399" t="s">
        <v>2328</v>
      </c>
      <c r="D333" s="399" t="s">
        <v>1821</v>
      </c>
      <c r="E333" s="399" t="s">
        <v>889</v>
      </c>
      <c r="F333" s="399" t="s">
        <v>889</v>
      </c>
      <c r="G333" s="399" t="s">
        <v>1239</v>
      </c>
      <c r="H333" s="399" t="s">
        <v>1239</v>
      </c>
      <c r="I333" s="399" t="s">
        <v>1239</v>
      </c>
      <c r="J333" s="399" t="s">
        <v>2326</v>
      </c>
      <c r="K333" s="786">
        <v>44682</v>
      </c>
      <c r="L333" s="399">
        <v>0</v>
      </c>
      <c r="M333" s="399">
        <v>0</v>
      </c>
      <c r="N333" s="399">
        <v>12.147</v>
      </c>
      <c r="O333" s="399">
        <v>12.147</v>
      </c>
      <c r="P333" s="399">
        <v>12.147</v>
      </c>
      <c r="Q333" s="399">
        <v>12.147</v>
      </c>
      <c r="R333" s="399"/>
      <c r="S333" s="399">
        <v>825.6</v>
      </c>
      <c r="T333" s="399">
        <v>185.74</v>
      </c>
      <c r="U333" s="399"/>
      <c r="V333" s="399">
        <v>12284.74698</v>
      </c>
      <c r="W333" s="399">
        <v>12284.74698</v>
      </c>
      <c r="X333" s="399">
        <v>7636.8189000000002</v>
      </c>
      <c r="Y333" s="399">
        <v>0</v>
      </c>
      <c r="Z333" s="399">
        <v>757.30673247227458</v>
      </c>
      <c r="AA333" s="399">
        <v>0</v>
      </c>
      <c r="AB333" s="399">
        <v>0</v>
      </c>
      <c r="AC333" s="399">
        <v>0</v>
      </c>
      <c r="AD333" s="399">
        <v>1583.1392358328892</v>
      </c>
      <c r="AE333" s="399">
        <v>7133.5660495333523</v>
      </c>
      <c r="AF333" s="399">
        <v>2256.2358655885587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117.03870414736198</v>
      </c>
      <c r="AM333" s="399"/>
      <c r="AN333" s="399">
        <v>28.798925679401311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408.75261203010535</v>
      </c>
      <c r="BH333" s="399">
        <v>0</v>
      </c>
      <c r="BI333" s="399">
        <v>2.37</v>
      </c>
      <c r="BJ333" s="399">
        <v>13.69</v>
      </c>
      <c r="BK333" s="399">
        <v>6240.07</v>
      </c>
      <c r="BL333" s="399">
        <v>87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2664.9884776186641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7638.7049999999999</v>
      </c>
      <c r="CJ333" s="399">
        <v>-4646.0719800000006</v>
      </c>
      <c r="CK333" s="399"/>
      <c r="CL333" s="399"/>
      <c r="CM333" s="399"/>
      <c r="CN333" s="399"/>
      <c r="CO333" s="399">
        <v>-4647.9280800000006</v>
      </c>
      <c r="CP333" s="399">
        <v>0</v>
      </c>
      <c r="CQ333" s="399">
        <v>31</v>
      </c>
      <c r="CR333" s="399">
        <v>-200.34726390721062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-145.73843903063312</v>
      </c>
      <c r="DA333" s="399">
        <v>0</v>
      </c>
      <c r="DB333" s="399">
        <v>0</v>
      </c>
      <c r="DC333" s="399">
        <v>0</v>
      </c>
      <c r="DD333" s="399">
        <v>0</v>
      </c>
      <c r="DE333" s="399">
        <v>0</v>
      </c>
      <c r="DF333" s="399">
        <v>0</v>
      </c>
      <c r="DG333" s="399">
        <v>0</v>
      </c>
      <c r="DH333" s="399">
        <v>0</v>
      </c>
      <c r="DI333" s="399">
        <v>-46.838425661833185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-6.2747252542906153</v>
      </c>
      <c r="DP333" s="399">
        <v>-1.4956739604514269</v>
      </c>
      <c r="DQ333" s="399">
        <v>0</v>
      </c>
      <c r="DR333" s="399">
        <v>0</v>
      </c>
      <c r="DS333" s="399"/>
      <c r="DT333" s="399"/>
      <c r="DU333" s="399"/>
      <c r="DV333" s="399">
        <v>7133.5660495333523</v>
      </c>
      <c r="DW333" s="399">
        <v>0</v>
      </c>
      <c r="DX333" s="399">
        <v>0</v>
      </c>
      <c r="DY333" s="399">
        <v>-4647.9280800000006</v>
      </c>
      <c r="DZ333" s="399">
        <v>0</v>
      </c>
      <c r="EA333" s="399">
        <v>0</v>
      </c>
      <c r="EB333" s="399">
        <v>0</v>
      </c>
      <c r="EC333" s="399">
        <v>-4447.6137658162315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221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333</v>
      </c>
      <c r="B334" s="399" t="s">
        <v>2330</v>
      </c>
      <c r="C334" s="399" t="s">
        <v>2328</v>
      </c>
      <c r="D334" s="399" t="s">
        <v>1821</v>
      </c>
      <c r="E334" s="399" t="s">
        <v>889</v>
      </c>
      <c r="F334" s="399" t="s">
        <v>889</v>
      </c>
      <c r="G334" s="399" t="s">
        <v>1239</v>
      </c>
      <c r="H334" s="399" t="s">
        <v>1239</v>
      </c>
      <c r="I334" s="399" t="s">
        <v>1239</v>
      </c>
      <c r="J334" s="399" t="s">
        <v>2326</v>
      </c>
      <c r="K334" s="786">
        <v>44682</v>
      </c>
      <c r="L334" s="399">
        <v>0</v>
      </c>
      <c r="M334" s="399">
        <v>0</v>
      </c>
      <c r="N334" s="399">
        <v>-17.548999999999999</v>
      </c>
      <c r="O334" s="399">
        <v>-17.548999999999999</v>
      </c>
      <c r="P334" s="399">
        <v>-17.548999999999999</v>
      </c>
      <c r="Q334" s="399">
        <v>-17.548999999999999</v>
      </c>
      <c r="R334" s="399"/>
      <c r="S334" s="399">
        <v>825.6</v>
      </c>
      <c r="T334" s="399">
        <v>185.74</v>
      </c>
      <c r="U334" s="399"/>
      <c r="V334" s="399">
        <v>-17748.005660000003</v>
      </c>
      <c r="W334" s="399">
        <v>-17748.005660000003</v>
      </c>
      <c r="X334" s="399">
        <v>-11033.0563</v>
      </c>
      <c r="Y334" s="399">
        <v>0</v>
      </c>
      <c r="Z334" s="399">
        <v>-1094.0953196802459</v>
      </c>
      <c r="AA334" s="399">
        <v>0</v>
      </c>
      <c r="AB334" s="399">
        <v>0</v>
      </c>
      <c r="AC334" s="399">
        <v>0</v>
      </c>
      <c r="AD334" s="399">
        <v>-2287.191113001677</v>
      </c>
      <c r="AE334" s="399">
        <v>-10305.997415268032</v>
      </c>
      <c r="AF334" s="399">
        <v>-3259.6265090321576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-169.08802330468885</v>
      </c>
      <c r="AM334" s="399"/>
      <c r="AN334" s="399">
        <v>-41.60635109474056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-590.53260792922686</v>
      </c>
      <c r="BH334" s="399">
        <v>0</v>
      </c>
      <c r="BI334" s="399">
        <v>-5.44</v>
      </c>
      <c r="BJ334" s="399">
        <v>-23.09</v>
      </c>
      <c r="BK334" s="399">
        <v>-4802.8100000000004</v>
      </c>
      <c r="BL334" s="399">
        <v>4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-3850.1591169613844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-11033.685000000001</v>
      </c>
      <c r="CJ334" s="399">
        <v>6714.2906599999988</v>
      </c>
      <c r="CK334" s="399"/>
      <c r="CL334" s="399"/>
      <c r="CM334" s="399"/>
      <c r="CN334" s="399"/>
      <c r="CO334" s="399">
        <v>6714.9493600000005</v>
      </c>
      <c r="CP334" s="399">
        <v>0</v>
      </c>
      <c r="CQ334" s="399">
        <v>31</v>
      </c>
      <c r="CR334" s="399">
        <v>289.44547084116221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210.55107158545979</v>
      </c>
      <c r="DA334" s="399">
        <v>0</v>
      </c>
      <c r="DB334" s="399">
        <v>0</v>
      </c>
      <c r="DC334" s="399">
        <v>0</v>
      </c>
      <c r="DD334" s="399">
        <v>0</v>
      </c>
      <c r="DE334" s="399">
        <v>0</v>
      </c>
      <c r="DF334" s="399">
        <v>0</v>
      </c>
      <c r="DG334" s="399">
        <v>0</v>
      </c>
      <c r="DH334" s="399">
        <v>0</v>
      </c>
      <c r="DI334" s="399">
        <v>67.66835695558666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9.0652139201075386</v>
      </c>
      <c r="DP334" s="399">
        <v>2.1608283800084038</v>
      </c>
      <c r="DQ334" s="399">
        <v>0</v>
      </c>
      <c r="DR334" s="399">
        <v>0</v>
      </c>
      <c r="DS334" s="399"/>
      <c r="DT334" s="399"/>
      <c r="DU334" s="399"/>
      <c r="DV334" s="399">
        <v>-10305.997415268032</v>
      </c>
      <c r="DW334" s="399">
        <v>0</v>
      </c>
      <c r="DX334" s="399">
        <v>0</v>
      </c>
      <c r="DY334" s="399">
        <v>6714.9493600000014</v>
      </c>
      <c r="DZ334" s="399">
        <v>0</v>
      </c>
      <c r="EA334" s="399">
        <v>0</v>
      </c>
      <c r="EB334" s="399">
        <v>0</v>
      </c>
      <c r="EC334" s="399">
        <v>6425.5514922457423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221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334</v>
      </c>
      <c r="B335" s="399" t="s">
        <v>956</v>
      </c>
      <c r="C335" s="399" t="s">
        <v>2328</v>
      </c>
      <c r="D335" s="399" t="s">
        <v>1821</v>
      </c>
      <c r="E335" s="399" t="s">
        <v>889</v>
      </c>
      <c r="F335" s="399" t="s">
        <v>2331</v>
      </c>
      <c r="G335" s="399" t="s">
        <v>1239</v>
      </c>
      <c r="H335" s="399" t="s">
        <v>1239</v>
      </c>
      <c r="I335" s="399" t="s">
        <v>1239</v>
      </c>
      <c r="J335" s="399" t="s">
        <v>2326</v>
      </c>
      <c r="K335" s="786">
        <v>44682</v>
      </c>
      <c r="L335" s="399">
        <v>0</v>
      </c>
      <c r="M335" s="399">
        <v>0</v>
      </c>
      <c r="N335" s="399">
        <v>8.52</v>
      </c>
      <c r="O335" s="399">
        <v>8.52</v>
      </c>
      <c r="P335" s="399">
        <v>8.52</v>
      </c>
      <c r="Q335" s="399">
        <v>8.52</v>
      </c>
      <c r="R335" s="399"/>
      <c r="S335" s="399">
        <v>753.62</v>
      </c>
      <c r="T335" s="399">
        <v>185.74</v>
      </c>
      <c r="U335" s="399"/>
      <c r="V335" s="399">
        <v>8003.3471999999992</v>
      </c>
      <c r="W335" s="399">
        <v>8003.3471999999992</v>
      </c>
      <c r="X335" s="399">
        <v>4780.4867999999997</v>
      </c>
      <c r="Y335" s="399">
        <v>0</v>
      </c>
      <c r="Z335" s="399">
        <v>0</v>
      </c>
      <c r="AA335" s="399">
        <v>0</v>
      </c>
      <c r="AB335" s="399">
        <v>0</v>
      </c>
      <c r="AC335" s="399">
        <v>0</v>
      </c>
      <c r="AD335" s="399">
        <v>1110.4261372599174</v>
      </c>
      <c r="AE335" s="399">
        <v>5003.5385479562156</v>
      </c>
      <c r="AF335" s="399">
        <v>1582.5413332357389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0</v>
      </c>
      <c r="AM335" s="399"/>
      <c r="AN335" s="399">
        <v>20.199789807236286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286.70225195492691</v>
      </c>
      <c r="BH335" s="399">
        <v>0</v>
      </c>
      <c r="BI335" s="399">
        <v>0</v>
      </c>
      <c r="BJ335" s="399">
        <v>2.84</v>
      </c>
      <c r="BK335" s="399">
        <v>227.2</v>
      </c>
      <c r="BL335" s="399">
        <v>26</v>
      </c>
      <c r="BM335" s="399"/>
      <c r="BN335" s="399"/>
      <c r="BO335" s="399"/>
      <c r="BP335" s="399"/>
      <c r="BQ335" s="399"/>
      <c r="BR335" s="399"/>
      <c r="BS335" s="399"/>
      <c r="BT335" s="399">
        <v>3107.3292000000001</v>
      </c>
      <c r="BU335" s="399"/>
      <c r="BV335" s="399">
        <v>1869.2435851906657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1673.1576</v>
      </c>
      <c r="CJ335" s="399">
        <v>-1128.0780000000004</v>
      </c>
      <c r="CK335" s="399"/>
      <c r="CL335" s="399"/>
      <c r="CM335" s="399"/>
      <c r="CN335" s="399"/>
      <c r="CO335" s="399">
        <v>-3222.8603999999996</v>
      </c>
      <c r="CP335" s="399">
        <v>0</v>
      </c>
      <c r="CQ335" s="399">
        <v>31</v>
      </c>
      <c r="CR335" s="399">
        <v>-103.27114865267504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-102.22207133786071</v>
      </c>
      <c r="DA335" s="399">
        <v>0</v>
      </c>
      <c r="DB335" s="399">
        <v>0</v>
      </c>
      <c r="DC335" s="399">
        <v>0</v>
      </c>
      <c r="DD335" s="399">
        <v>0</v>
      </c>
      <c r="DE335" s="399">
        <v>0</v>
      </c>
      <c r="DF335" s="399">
        <v>0</v>
      </c>
      <c r="DG335" s="399">
        <v>0</v>
      </c>
      <c r="DH335" s="399">
        <v>0</v>
      </c>
      <c r="DI335" s="399">
        <v>0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0</v>
      </c>
      <c r="DP335" s="399">
        <v>-1.049077314814042</v>
      </c>
      <c r="DQ335" s="399">
        <v>0</v>
      </c>
      <c r="DR335" s="399">
        <v>0</v>
      </c>
      <c r="DS335" s="399"/>
      <c r="DT335" s="399"/>
      <c r="DU335" s="399"/>
      <c r="DV335" s="399">
        <v>5003.5385479562156</v>
      </c>
      <c r="DW335" s="399">
        <v>0</v>
      </c>
      <c r="DX335" s="399">
        <v>0</v>
      </c>
      <c r="DY335" s="399">
        <v>-3222.8603999999996</v>
      </c>
      <c r="DZ335" s="399">
        <v>0</v>
      </c>
      <c r="EA335" s="399">
        <v>0</v>
      </c>
      <c r="EB335" s="399">
        <v>0</v>
      </c>
      <c r="EC335" s="399">
        <v>-3119.5907865937502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221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335</v>
      </c>
      <c r="B336" s="399" t="s">
        <v>2330</v>
      </c>
      <c r="C336" s="399" t="s">
        <v>2328</v>
      </c>
      <c r="D336" s="399" t="s">
        <v>1821</v>
      </c>
      <c r="E336" s="399" t="s">
        <v>889</v>
      </c>
      <c r="F336" s="399" t="s">
        <v>2331</v>
      </c>
      <c r="G336" s="399" t="s">
        <v>1239</v>
      </c>
      <c r="H336" s="399" t="s">
        <v>1239</v>
      </c>
      <c r="I336" s="399" t="s">
        <v>1239</v>
      </c>
      <c r="J336" s="399" t="s">
        <v>2326</v>
      </c>
      <c r="K336" s="786">
        <v>44682</v>
      </c>
      <c r="L336" s="399">
        <v>0</v>
      </c>
      <c r="M336" s="399">
        <v>0</v>
      </c>
      <c r="N336" s="399">
        <v>0.03</v>
      </c>
      <c r="O336" s="399">
        <v>-2.8500000000000001E-2</v>
      </c>
      <c r="P336" s="399">
        <v>0.03</v>
      </c>
      <c r="Q336" s="399">
        <v>-2.8500000000000001E-2</v>
      </c>
      <c r="R336" s="399"/>
      <c r="S336" s="399">
        <v>753.62</v>
      </c>
      <c r="T336" s="399">
        <v>185.74</v>
      </c>
      <c r="U336" s="399"/>
      <c r="V336" s="399">
        <v>28.180799999999998</v>
      </c>
      <c r="W336" s="399">
        <v>28.180799999999998</v>
      </c>
      <c r="X336" s="399">
        <v>16.832700000000003</v>
      </c>
      <c r="Y336" s="399">
        <v>0</v>
      </c>
      <c r="Z336" s="399">
        <v>0</v>
      </c>
      <c r="AA336" s="399">
        <v>0</v>
      </c>
      <c r="AB336" s="399">
        <v>0</v>
      </c>
      <c r="AC336" s="399">
        <v>0</v>
      </c>
      <c r="AD336" s="399">
        <v>3.90995118753492</v>
      </c>
      <c r="AE336" s="399">
        <v>17.618093478719071</v>
      </c>
      <c r="AF336" s="399">
        <v>5.5723286381540102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0</v>
      </c>
      <c r="AM336" s="399"/>
      <c r="AN336" s="399">
        <v>7.1126020448015095E-2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1.009514971672278</v>
      </c>
      <c r="BH336" s="399">
        <v>0</v>
      </c>
      <c r="BI336" s="399">
        <v>0</v>
      </c>
      <c r="BJ336" s="399">
        <v>0.01</v>
      </c>
      <c r="BK336" s="399">
        <v>2.13</v>
      </c>
      <c r="BL336" s="399">
        <v>0</v>
      </c>
      <c r="BM336" s="399"/>
      <c r="BN336" s="399"/>
      <c r="BO336" s="399"/>
      <c r="BP336" s="399"/>
      <c r="BQ336" s="399"/>
      <c r="BR336" s="399"/>
      <c r="BS336" s="399"/>
      <c r="BT336" s="399">
        <v>22.42953</v>
      </c>
      <c r="BU336" s="399"/>
      <c r="BV336" s="399">
        <v>6.5818436098262882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-5.8914</v>
      </c>
      <c r="CJ336" s="399">
        <v>3.4488300000000001</v>
      </c>
      <c r="CK336" s="399"/>
      <c r="CL336" s="399"/>
      <c r="CM336" s="399"/>
      <c r="CN336" s="399"/>
      <c r="CO336" s="399">
        <v>-11.348099999999999</v>
      </c>
      <c r="CP336" s="399">
        <v>0</v>
      </c>
      <c r="CQ336" s="399">
        <v>31</v>
      </c>
      <c r="CR336" s="399">
        <v>-0.36363080511505075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-0.35993687090796023</v>
      </c>
      <c r="DA336" s="399">
        <v>0</v>
      </c>
      <c r="DB336" s="399">
        <v>0</v>
      </c>
      <c r="DC336" s="399">
        <v>0</v>
      </c>
      <c r="DD336" s="399">
        <v>0</v>
      </c>
      <c r="DE336" s="399">
        <v>0</v>
      </c>
      <c r="DF336" s="399">
        <v>0</v>
      </c>
      <c r="DG336" s="399">
        <v>0</v>
      </c>
      <c r="DH336" s="399">
        <v>0</v>
      </c>
      <c r="DI336" s="399">
        <v>0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0</v>
      </c>
      <c r="DP336" s="399">
        <v>-3.6939342070917008E-3</v>
      </c>
      <c r="DQ336" s="399">
        <v>0</v>
      </c>
      <c r="DR336" s="399">
        <v>0</v>
      </c>
      <c r="DS336" s="399"/>
      <c r="DT336" s="399"/>
      <c r="DU336" s="399"/>
      <c r="DV336" s="399">
        <v>17.618093478719071</v>
      </c>
      <c r="DW336" s="399">
        <v>0</v>
      </c>
      <c r="DX336" s="399">
        <v>0</v>
      </c>
      <c r="DY336" s="399">
        <v>-11.348099999999999</v>
      </c>
      <c r="DZ336" s="399">
        <v>0</v>
      </c>
      <c r="EA336" s="399">
        <v>0</v>
      </c>
      <c r="EB336" s="399">
        <v>0</v>
      </c>
      <c r="EC336" s="399">
        <v>-10.984474600682223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221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336</v>
      </c>
      <c r="B337" s="399" t="s">
        <v>956</v>
      </c>
      <c r="C337" s="399" t="s">
        <v>2328</v>
      </c>
      <c r="D337" s="399" t="s">
        <v>1821</v>
      </c>
      <c r="E337" s="399" t="s">
        <v>889</v>
      </c>
      <c r="F337" s="399" t="s">
        <v>2332</v>
      </c>
      <c r="G337" s="399" t="s">
        <v>1239</v>
      </c>
      <c r="H337" s="399" t="s">
        <v>1239</v>
      </c>
      <c r="I337" s="399" t="s">
        <v>1239</v>
      </c>
      <c r="J337" s="399" t="s">
        <v>2326</v>
      </c>
      <c r="K337" s="786">
        <v>44682</v>
      </c>
      <c r="L337" s="399">
        <v>0</v>
      </c>
      <c r="M337" s="399">
        <v>0</v>
      </c>
      <c r="N337" s="399">
        <v>16.582000000000001</v>
      </c>
      <c r="O337" s="399">
        <v>16.582000000000001</v>
      </c>
      <c r="P337" s="399">
        <v>16.582000000000001</v>
      </c>
      <c r="Q337" s="399">
        <v>16.582000000000001</v>
      </c>
      <c r="R337" s="399"/>
      <c r="S337" s="399">
        <v>753.62</v>
      </c>
      <c r="T337" s="399">
        <v>185.74</v>
      </c>
      <c r="U337" s="399"/>
      <c r="V337" s="399">
        <v>15576.46752</v>
      </c>
      <c r="W337" s="399">
        <v>15576.46752</v>
      </c>
      <c r="X337" s="399">
        <v>9303.9943800000001</v>
      </c>
      <c r="Y337" s="399">
        <v>0</v>
      </c>
      <c r="Z337" s="399">
        <v>0</v>
      </c>
      <c r="AA337" s="399">
        <v>0</v>
      </c>
      <c r="AB337" s="399">
        <v>0</v>
      </c>
      <c r="AC337" s="399">
        <v>0</v>
      </c>
      <c r="AD337" s="399">
        <v>2161.1603530568018</v>
      </c>
      <c r="AE337" s="399">
        <v>9738.1075354706554</v>
      </c>
      <c r="AF337" s="399">
        <v>3080.01178259566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0</v>
      </c>
      <c r="AM337" s="399"/>
      <c r="AN337" s="399">
        <v>39.313722368966211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557.99257534232379</v>
      </c>
      <c r="BH337" s="399">
        <v>0</v>
      </c>
      <c r="BI337" s="399">
        <v>2.21</v>
      </c>
      <c r="BJ337" s="399">
        <v>11.86</v>
      </c>
      <c r="BK337" s="399">
        <v>762.66</v>
      </c>
      <c r="BL337" s="399">
        <v>51</v>
      </c>
      <c r="BM337" s="399"/>
      <c r="BN337" s="399"/>
      <c r="BO337" s="399"/>
      <c r="BP337" s="399"/>
      <c r="BQ337" s="399"/>
      <c r="BR337" s="399"/>
      <c r="BS337" s="399"/>
      <c r="BT337" s="399">
        <v>3721.4982600000003</v>
      </c>
      <c r="BU337" s="399"/>
      <c r="BV337" s="399">
        <v>3638.0043579379835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5581.8227999999999</v>
      </c>
      <c r="CJ337" s="399">
        <v>-3764.1540400000013</v>
      </c>
      <c r="CK337" s="399"/>
      <c r="CL337" s="399"/>
      <c r="CM337" s="399"/>
      <c r="CN337" s="399"/>
      <c r="CO337" s="399">
        <v>-6272.4731400000001</v>
      </c>
      <c r="CP337" s="399">
        <v>0</v>
      </c>
      <c r="CQ337" s="399">
        <v>31</v>
      </c>
      <c r="CR337" s="399">
        <v>-200.99086701392662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-198.94910644652668</v>
      </c>
      <c r="DA337" s="399">
        <v>0</v>
      </c>
      <c r="DB337" s="399">
        <v>0</v>
      </c>
      <c r="DC337" s="399">
        <v>0</v>
      </c>
      <c r="DD337" s="399">
        <v>0</v>
      </c>
      <c r="DE337" s="399">
        <v>0</v>
      </c>
      <c r="DF337" s="399">
        <v>0</v>
      </c>
      <c r="DG337" s="399">
        <v>0</v>
      </c>
      <c r="DH337" s="399">
        <v>0</v>
      </c>
      <c r="DI337" s="399">
        <v>0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0</v>
      </c>
      <c r="DP337" s="399">
        <v>-2.0417605673998196</v>
      </c>
      <c r="DQ337" s="399">
        <v>0</v>
      </c>
      <c r="DR337" s="399">
        <v>0</v>
      </c>
      <c r="DS337" s="399"/>
      <c r="DT337" s="399"/>
      <c r="DU337" s="399"/>
      <c r="DV337" s="399">
        <v>9738.1075354706554</v>
      </c>
      <c r="DW337" s="399">
        <v>0</v>
      </c>
      <c r="DX337" s="399">
        <v>0</v>
      </c>
      <c r="DY337" s="399">
        <v>-6272.4731400000001</v>
      </c>
      <c r="DZ337" s="399">
        <v>0</v>
      </c>
      <c r="EA337" s="399">
        <v>0</v>
      </c>
      <c r="EB337" s="399">
        <v>0</v>
      </c>
      <c r="EC337" s="399">
        <v>-6071.4852609504205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221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337</v>
      </c>
      <c r="B338" s="399" t="s">
        <v>2330</v>
      </c>
      <c r="C338" s="399" t="s">
        <v>2328</v>
      </c>
      <c r="D338" s="399" t="s">
        <v>1821</v>
      </c>
      <c r="E338" s="399" t="s">
        <v>889</v>
      </c>
      <c r="F338" s="399" t="s">
        <v>2332</v>
      </c>
      <c r="G338" s="399" t="s">
        <v>1239</v>
      </c>
      <c r="H338" s="399" t="s">
        <v>1239</v>
      </c>
      <c r="I338" s="399" t="s">
        <v>1239</v>
      </c>
      <c r="J338" s="399" t="s">
        <v>2326</v>
      </c>
      <c r="K338" s="786">
        <v>44682</v>
      </c>
      <c r="L338" s="399">
        <v>0</v>
      </c>
      <c r="M338" s="399">
        <v>0</v>
      </c>
      <c r="N338" s="399">
        <v>7.0000000000000007E-2</v>
      </c>
      <c r="O338" s="399">
        <v>-1.4E-2</v>
      </c>
      <c r="P338" s="399">
        <v>7.0000000000000007E-2</v>
      </c>
      <c r="Q338" s="399">
        <v>-1.4E-2</v>
      </c>
      <c r="R338" s="399"/>
      <c r="S338" s="399">
        <v>753.62</v>
      </c>
      <c r="T338" s="399">
        <v>185.74</v>
      </c>
      <c r="U338" s="399"/>
      <c r="V338" s="399">
        <v>65.755200000000002</v>
      </c>
      <c r="W338" s="399">
        <v>65.755200000000002</v>
      </c>
      <c r="X338" s="399">
        <v>39.276300000000006</v>
      </c>
      <c r="Y338" s="399">
        <v>0</v>
      </c>
      <c r="Z338" s="399">
        <v>0</v>
      </c>
      <c r="AA338" s="399">
        <v>0</v>
      </c>
      <c r="AB338" s="399">
        <v>0</v>
      </c>
      <c r="AC338" s="399">
        <v>0</v>
      </c>
      <c r="AD338" s="399">
        <v>9.123219437581481</v>
      </c>
      <c r="AE338" s="399">
        <v>41.108884783677837</v>
      </c>
      <c r="AF338" s="399">
        <v>13.002100155692691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0</v>
      </c>
      <c r="AM338" s="399"/>
      <c r="AN338" s="399">
        <v>0.16596071437870191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2.3555349339019824</v>
      </c>
      <c r="BH338" s="399">
        <v>0</v>
      </c>
      <c r="BI338" s="399">
        <v>0.01</v>
      </c>
      <c r="BJ338" s="399">
        <v>0.05</v>
      </c>
      <c r="BK338" s="399">
        <v>8.58</v>
      </c>
      <c r="BL338" s="399">
        <v>0</v>
      </c>
      <c r="BM338" s="399"/>
      <c r="BN338" s="399"/>
      <c r="BO338" s="399"/>
      <c r="BP338" s="399"/>
      <c r="BQ338" s="399"/>
      <c r="BR338" s="399"/>
      <c r="BS338" s="399"/>
      <c r="BT338" s="399">
        <v>43.989540000000005</v>
      </c>
      <c r="BU338" s="399"/>
      <c r="BV338" s="399">
        <v>15.357635089594673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-3.3666</v>
      </c>
      <c r="CJ338" s="399">
        <v>4.4940800000000012</v>
      </c>
      <c r="CK338" s="399"/>
      <c r="CL338" s="399"/>
      <c r="CM338" s="399"/>
      <c r="CN338" s="399"/>
      <c r="CO338" s="399">
        <v>-26.478900000000003</v>
      </c>
      <c r="CP338" s="399">
        <v>0</v>
      </c>
      <c r="CQ338" s="399">
        <v>31</v>
      </c>
      <c r="CR338" s="399">
        <v>-0.84847187860179218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-0.83985269878523994</v>
      </c>
      <c r="DA338" s="399">
        <v>0</v>
      </c>
      <c r="DB338" s="399">
        <v>0</v>
      </c>
      <c r="DC338" s="399">
        <v>0</v>
      </c>
      <c r="DD338" s="399">
        <v>0</v>
      </c>
      <c r="DE338" s="399">
        <v>0</v>
      </c>
      <c r="DF338" s="399">
        <v>0</v>
      </c>
      <c r="DG338" s="399">
        <v>0</v>
      </c>
      <c r="DH338" s="399">
        <v>0</v>
      </c>
      <c r="DI338" s="399">
        <v>0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0</v>
      </c>
      <c r="DP338" s="399">
        <v>-8.6191798165473066E-3</v>
      </c>
      <c r="DQ338" s="399">
        <v>0</v>
      </c>
      <c r="DR338" s="399">
        <v>0</v>
      </c>
      <c r="DS338" s="399"/>
      <c r="DT338" s="399"/>
      <c r="DU338" s="399"/>
      <c r="DV338" s="399">
        <v>41.108884783677837</v>
      </c>
      <c r="DW338" s="399">
        <v>0</v>
      </c>
      <c r="DX338" s="399">
        <v>0</v>
      </c>
      <c r="DY338" s="399">
        <v>-26.478900000000003</v>
      </c>
      <c r="DZ338" s="399">
        <v>0</v>
      </c>
      <c r="EA338" s="399">
        <v>0</v>
      </c>
      <c r="EB338" s="399">
        <v>0</v>
      </c>
      <c r="EC338" s="399">
        <v>-25.630440734925187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221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338</v>
      </c>
      <c r="B339" s="399" t="s">
        <v>956</v>
      </c>
      <c r="C339" s="399" t="s">
        <v>2328</v>
      </c>
      <c r="D339" s="399" t="s">
        <v>1821</v>
      </c>
      <c r="E339" s="399" t="s">
        <v>889</v>
      </c>
      <c r="F339" s="399" t="s">
        <v>2333</v>
      </c>
      <c r="G339" s="399" t="s">
        <v>1239</v>
      </c>
      <c r="H339" s="399" t="s">
        <v>1239</v>
      </c>
      <c r="I339" s="399" t="s">
        <v>1239</v>
      </c>
      <c r="J339" s="399" t="s">
        <v>2326</v>
      </c>
      <c r="K339" s="786">
        <v>44682</v>
      </c>
      <c r="L339" s="399">
        <v>0</v>
      </c>
      <c r="M339" s="399">
        <v>0</v>
      </c>
      <c r="N339" s="399">
        <v>15.872</v>
      </c>
      <c r="O339" s="399">
        <v>15.872</v>
      </c>
      <c r="P339" s="399">
        <v>15.872</v>
      </c>
      <c r="Q339" s="399">
        <v>15.872</v>
      </c>
      <c r="R339" s="399"/>
      <c r="S339" s="399">
        <v>753.62</v>
      </c>
      <c r="T339" s="399">
        <v>185.74</v>
      </c>
      <c r="U339" s="399"/>
      <c r="V339" s="399">
        <v>14909.521920000001</v>
      </c>
      <c r="W339" s="399">
        <v>14909.521920000001</v>
      </c>
      <c r="X339" s="399">
        <v>8905.6204800000014</v>
      </c>
      <c r="Y339" s="399">
        <v>0</v>
      </c>
      <c r="Z339" s="399">
        <v>0</v>
      </c>
      <c r="AA339" s="399">
        <v>0</v>
      </c>
      <c r="AB339" s="399">
        <v>0</v>
      </c>
      <c r="AC339" s="399">
        <v>0</v>
      </c>
      <c r="AD339" s="399">
        <v>2068.6248416184753</v>
      </c>
      <c r="AE339" s="399">
        <v>9321.1459898076373</v>
      </c>
      <c r="AF339" s="399">
        <v>2948.1333381593486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0</v>
      </c>
      <c r="AM339" s="399"/>
      <c r="AN339" s="399">
        <v>37.630406551696517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534.10072101274659</v>
      </c>
      <c r="BH339" s="399">
        <v>0</v>
      </c>
      <c r="BI339" s="399">
        <v>2.44</v>
      </c>
      <c r="BJ339" s="399">
        <v>15.79</v>
      </c>
      <c r="BK339" s="399">
        <v>1812.74</v>
      </c>
      <c r="BL339" s="399">
        <v>135</v>
      </c>
      <c r="BM339" s="399"/>
      <c r="BN339" s="399"/>
      <c r="BO339" s="399"/>
      <c r="BP339" s="399"/>
      <c r="BQ339" s="399"/>
      <c r="BR339" s="399"/>
      <c r="BS339" s="399"/>
      <c r="BT339" s="399">
        <v>890.41920000000073</v>
      </c>
      <c r="BU339" s="399"/>
      <c r="BV339" s="399">
        <v>3482.2340591720949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8014.1912999999986</v>
      </c>
      <c r="CJ339" s="399">
        <v>-5404.5036600000021</v>
      </c>
      <c r="CK339" s="399"/>
      <c r="CL339" s="399"/>
      <c r="CM339" s="399"/>
      <c r="CN339" s="399"/>
      <c r="CO339" s="399">
        <v>-6003.9014399999996</v>
      </c>
      <c r="CP339" s="399">
        <v>0</v>
      </c>
      <c r="CQ339" s="399">
        <v>31</v>
      </c>
      <c r="CR339" s="399">
        <v>-192.38493795953673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-190.43060050170493</v>
      </c>
      <c r="DA339" s="399">
        <v>0</v>
      </c>
      <c r="DB339" s="399">
        <v>0</v>
      </c>
      <c r="DC339" s="399">
        <v>0</v>
      </c>
      <c r="DD339" s="399">
        <v>0</v>
      </c>
      <c r="DE339" s="399">
        <v>0</v>
      </c>
      <c r="DF339" s="399">
        <v>0</v>
      </c>
      <c r="DG339" s="399">
        <v>0</v>
      </c>
      <c r="DH339" s="399">
        <v>0</v>
      </c>
      <c r="DI339" s="399">
        <v>0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0</v>
      </c>
      <c r="DP339" s="399">
        <v>-1.9543374578319757</v>
      </c>
      <c r="DQ339" s="399">
        <v>0</v>
      </c>
      <c r="DR339" s="399">
        <v>0</v>
      </c>
      <c r="DS339" s="399"/>
      <c r="DT339" s="399"/>
      <c r="DU339" s="399"/>
      <c r="DV339" s="399">
        <v>9321.1459898076373</v>
      </c>
      <c r="DW339" s="399">
        <v>0</v>
      </c>
      <c r="DX339" s="399">
        <v>0</v>
      </c>
      <c r="DY339" s="399">
        <v>-6003.9014399999996</v>
      </c>
      <c r="DZ339" s="399">
        <v>0</v>
      </c>
      <c r="EA339" s="399">
        <v>0</v>
      </c>
      <c r="EB339" s="399">
        <v>0</v>
      </c>
      <c r="EC339" s="399">
        <v>-5811.5193620676073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221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339</v>
      </c>
      <c r="B340" s="399" t="s">
        <v>2330</v>
      </c>
      <c r="C340" s="399" t="s">
        <v>2328</v>
      </c>
      <c r="D340" s="399" t="s">
        <v>1821</v>
      </c>
      <c r="E340" s="399" t="s">
        <v>889</v>
      </c>
      <c r="F340" s="399" t="s">
        <v>2333</v>
      </c>
      <c r="G340" s="399" t="s">
        <v>1239</v>
      </c>
      <c r="H340" s="399" t="s">
        <v>1239</v>
      </c>
      <c r="I340" s="399" t="s">
        <v>1239</v>
      </c>
      <c r="J340" s="399" t="s">
        <v>2326</v>
      </c>
      <c r="K340" s="786">
        <v>44682</v>
      </c>
      <c r="L340" s="399">
        <v>0</v>
      </c>
      <c r="M340" s="399">
        <v>0</v>
      </c>
      <c r="N340" s="399">
        <v>3.4000000000000002E-2</v>
      </c>
      <c r="O340" s="399">
        <v>2.3800000000000002E-2</v>
      </c>
      <c r="P340" s="399">
        <v>3.4000000000000002E-2</v>
      </c>
      <c r="Q340" s="399">
        <v>2.3800000000000002E-2</v>
      </c>
      <c r="R340" s="399"/>
      <c r="S340" s="399">
        <v>753.62</v>
      </c>
      <c r="T340" s="399">
        <v>185.74</v>
      </c>
      <c r="U340" s="399"/>
      <c r="V340" s="399">
        <v>31.93824</v>
      </c>
      <c r="W340" s="399">
        <v>31.93824</v>
      </c>
      <c r="X340" s="399">
        <v>19.077060000000003</v>
      </c>
      <c r="Y340" s="399">
        <v>0</v>
      </c>
      <c r="Z340" s="399">
        <v>0</v>
      </c>
      <c r="AA340" s="399">
        <v>0</v>
      </c>
      <c r="AB340" s="399">
        <v>0</v>
      </c>
      <c r="AC340" s="399">
        <v>0</v>
      </c>
      <c r="AD340" s="399">
        <v>4.4312780125395763</v>
      </c>
      <c r="AE340" s="399">
        <v>19.967172609214948</v>
      </c>
      <c r="AF340" s="399">
        <v>6.3153057899078791</v>
      </c>
      <c r="AG340" s="399">
        <v>0</v>
      </c>
      <c r="AH340" s="399">
        <v>0</v>
      </c>
      <c r="AI340" s="399">
        <v>0</v>
      </c>
      <c r="AJ340" s="399">
        <v>0</v>
      </c>
      <c r="AK340" s="399">
        <v>0</v>
      </c>
      <c r="AL340" s="399">
        <v>0</v>
      </c>
      <c r="AM340" s="399"/>
      <c r="AN340" s="399">
        <v>8.0609489841083778E-2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1.1441169678952485</v>
      </c>
      <c r="BH340" s="399">
        <v>0</v>
      </c>
      <c r="BI340" s="399">
        <v>0</v>
      </c>
      <c r="BJ340" s="399">
        <v>0.04</v>
      </c>
      <c r="BK340" s="399">
        <v>39.5</v>
      </c>
      <c r="BL340" s="399">
        <v>0</v>
      </c>
      <c r="BM340" s="399"/>
      <c r="BN340" s="399"/>
      <c r="BO340" s="399"/>
      <c r="BP340" s="399"/>
      <c r="BQ340" s="399"/>
      <c r="BR340" s="399"/>
      <c r="BS340" s="399"/>
      <c r="BT340" s="399">
        <v>7.0582980000000015</v>
      </c>
      <c r="BU340" s="399"/>
      <c r="BV340" s="399">
        <v>7.4594227578031278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10.0998</v>
      </c>
      <c r="CJ340" s="399">
        <v>-10.051434000000006</v>
      </c>
      <c r="CK340" s="399"/>
      <c r="CL340" s="399"/>
      <c r="CM340" s="399"/>
      <c r="CN340" s="399"/>
      <c r="CO340" s="399">
        <v>-12.861180000000001</v>
      </c>
      <c r="CP340" s="399">
        <v>0</v>
      </c>
      <c r="CQ340" s="399">
        <v>31</v>
      </c>
      <c r="CR340" s="399">
        <v>-0.41211491246372667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-0.4079284536956882</v>
      </c>
      <c r="DA340" s="399">
        <v>0</v>
      </c>
      <c r="DB340" s="399">
        <v>0</v>
      </c>
      <c r="DC340" s="399">
        <v>0</v>
      </c>
      <c r="DD340" s="399">
        <v>0</v>
      </c>
      <c r="DE340" s="399">
        <v>0</v>
      </c>
      <c r="DF340" s="399">
        <v>0</v>
      </c>
      <c r="DG340" s="399">
        <v>0</v>
      </c>
      <c r="DH340" s="399">
        <v>0</v>
      </c>
      <c r="DI340" s="399">
        <v>0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0</v>
      </c>
      <c r="DP340" s="399">
        <v>-4.1864587680372628E-3</v>
      </c>
      <c r="DQ340" s="399">
        <v>0</v>
      </c>
      <c r="DR340" s="399">
        <v>0</v>
      </c>
      <c r="DS340" s="399"/>
      <c r="DT340" s="399"/>
      <c r="DU340" s="399"/>
      <c r="DV340" s="399">
        <v>19.967172609214948</v>
      </c>
      <c r="DW340" s="399">
        <v>0</v>
      </c>
      <c r="DX340" s="399">
        <v>0</v>
      </c>
      <c r="DY340" s="399">
        <v>-12.861179999999999</v>
      </c>
      <c r="DZ340" s="399">
        <v>0</v>
      </c>
      <c r="EA340" s="399">
        <v>0</v>
      </c>
      <c r="EB340" s="399">
        <v>0</v>
      </c>
      <c r="EC340" s="399">
        <v>-12.449071214106517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221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340</v>
      </c>
      <c r="B341" s="399" t="s">
        <v>956</v>
      </c>
      <c r="C341" s="399" t="s">
        <v>2328</v>
      </c>
      <c r="D341" s="399" t="s">
        <v>1821</v>
      </c>
      <c r="E341" s="399" t="s">
        <v>889</v>
      </c>
      <c r="F341" s="399" t="s">
        <v>2334</v>
      </c>
      <c r="G341" s="399" t="s">
        <v>1239</v>
      </c>
      <c r="H341" s="399" t="s">
        <v>1239</v>
      </c>
      <c r="I341" s="399" t="s">
        <v>1239</v>
      </c>
      <c r="J341" s="399" t="s">
        <v>2326</v>
      </c>
      <c r="K341" s="786">
        <v>44682</v>
      </c>
      <c r="L341" s="399">
        <v>0</v>
      </c>
      <c r="M341" s="399">
        <v>0</v>
      </c>
      <c r="N341" s="399">
        <v>7.53</v>
      </c>
      <c r="O341" s="399">
        <v>7.53</v>
      </c>
      <c r="P341" s="399">
        <v>7.53</v>
      </c>
      <c r="Q341" s="399">
        <v>7.53</v>
      </c>
      <c r="R341" s="399"/>
      <c r="S341" s="399">
        <v>753.62</v>
      </c>
      <c r="T341" s="399">
        <v>185.74</v>
      </c>
      <c r="U341" s="399"/>
      <c r="V341" s="399">
        <v>7073.3807999999999</v>
      </c>
      <c r="W341" s="399">
        <v>7073.3807999999999</v>
      </c>
      <c r="X341" s="399">
        <v>4225.0077000000001</v>
      </c>
      <c r="Y341" s="399">
        <v>0</v>
      </c>
      <c r="Z341" s="399">
        <v>0</v>
      </c>
      <c r="AA341" s="399">
        <v>0</v>
      </c>
      <c r="AB341" s="399">
        <v>0</v>
      </c>
      <c r="AC341" s="399">
        <v>0</v>
      </c>
      <c r="AD341" s="399">
        <v>981.39774807126503</v>
      </c>
      <c r="AE341" s="399">
        <v>4422.1414631584867</v>
      </c>
      <c r="AF341" s="399">
        <v>1398.6544881766567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0</v>
      </c>
      <c r="AM341" s="399"/>
      <c r="AN341" s="399">
        <v>17.852631132451791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253.38825788974179</v>
      </c>
      <c r="BH341" s="399">
        <v>0</v>
      </c>
      <c r="BI341" s="399">
        <v>1.79</v>
      </c>
      <c r="BJ341" s="399">
        <v>8.5</v>
      </c>
      <c r="BK341" s="399">
        <v>1411.66</v>
      </c>
      <c r="BL341" s="399">
        <v>72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1652.0427460663986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4225.0077000000001</v>
      </c>
      <c r="CJ341" s="399">
        <v>-2848.4031000000004</v>
      </c>
      <c r="CK341" s="399"/>
      <c r="CL341" s="399"/>
      <c r="CM341" s="399"/>
      <c r="CN341" s="399"/>
      <c r="CO341" s="399">
        <v>-2848.3730999999998</v>
      </c>
      <c r="CP341" s="399">
        <v>0</v>
      </c>
      <c r="CQ341" s="399">
        <v>31</v>
      </c>
      <c r="CR341" s="399">
        <v>-91.271332083877951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-90.344154597898068</v>
      </c>
      <c r="DA341" s="399">
        <v>0</v>
      </c>
      <c r="DB341" s="399">
        <v>0</v>
      </c>
      <c r="DC341" s="399">
        <v>0</v>
      </c>
      <c r="DD341" s="399">
        <v>0</v>
      </c>
      <c r="DE341" s="399">
        <v>0</v>
      </c>
      <c r="DF341" s="399">
        <v>0</v>
      </c>
      <c r="DG341" s="399">
        <v>0</v>
      </c>
      <c r="DH341" s="399">
        <v>0</v>
      </c>
      <c r="DI341" s="399">
        <v>0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0</v>
      </c>
      <c r="DP341" s="399">
        <v>-0.92717748598001748</v>
      </c>
      <c r="DQ341" s="399">
        <v>0</v>
      </c>
      <c r="DR341" s="399">
        <v>0</v>
      </c>
      <c r="DS341" s="399"/>
      <c r="DT341" s="399"/>
      <c r="DU341" s="399"/>
      <c r="DV341" s="399">
        <v>4422.1414631584867</v>
      </c>
      <c r="DW341" s="399">
        <v>0</v>
      </c>
      <c r="DX341" s="399">
        <v>0</v>
      </c>
      <c r="DY341" s="399">
        <v>-2848.3730999999998</v>
      </c>
      <c r="DZ341" s="399">
        <v>0</v>
      </c>
      <c r="EA341" s="399">
        <v>0</v>
      </c>
      <c r="EB341" s="399">
        <v>0</v>
      </c>
      <c r="EC341" s="399">
        <v>-2757.1031247712372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221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341</v>
      </c>
      <c r="B342" s="399" t="s">
        <v>2330</v>
      </c>
      <c r="C342" s="399" t="s">
        <v>2328</v>
      </c>
      <c r="D342" s="399" t="s">
        <v>1821</v>
      </c>
      <c r="E342" s="399" t="s">
        <v>889</v>
      </c>
      <c r="F342" s="399" t="s">
        <v>2334</v>
      </c>
      <c r="G342" s="399" t="s">
        <v>1239</v>
      </c>
      <c r="H342" s="399" t="s">
        <v>1239</v>
      </c>
      <c r="I342" s="399" t="s">
        <v>1239</v>
      </c>
      <c r="J342" s="399" t="s">
        <v>2326</v>
      </c>
      <c r="K342" s="786">
        <v>44682</v>
      </c>
      <c r="L342" s="399">
        <v>0</v>
      </c>
      <c r="M342" s="399">
        <v>0</v>
      </c>
      <c r="N342" s="399">
        <v>0</v>
      </c>
      <c r="O342" s="399">
        <v>0</v>
      </c>
      <c r="P342" s="399">
        <v>0</v>
      </c>
      <c r="Q342" s="399">
        <v>0</v>
      </c>
      <c r="R342" s="399"/>
      <c r="S342" s="399"/>
      <c r="T342" s="399"/>
      <c r="U342" s="399"/>
      <c r="V342" s="399"/>
      <c r="W342" s="399"/>
      <c r="X342" s="399"/>
      <c r="Y342" s="399"/>
      <c r="Z342" s="399"/>
      <c r="AA342" s="399">
        <v>0</v>
      </c>
      <c r="AB342" s="399"/>
      <c r="AC342" s="399"/>
      <c r="AD342" s="399"/>
      <c r="AE342" s="399"/>
      <c r="AF342" s="399"/>
      <c r="AG342" s="399"/>
      <c r="AH342" s="399"/>
      <c r="AI342" s="399"/>
      <c r="AJ342" s="399"/>
      <c r="AK342" s="399"/>
      <c r="AL342" s="399"/>
      <c r="AM342" s="399"/>
      <c r="AN342" s="399"/>
      <c r="AO342" s="399"/>
      <c r="AP342" s="399"/>
      <c r="AQ342" s="399"/>
      <c r="AR342" s="399"/>
      <c r="AS342" s="399"/>
      <c r="AT342" s="399"/>
      <c r="AU342" s="399"/>
      <c r="AV342" s="399"/>
      <c r="AW342" s="399"/>
      <c r="AX342" s="399"/>
      <c r="AY342" s="399"/>
      <c r="AZ342" s="399">
        <v>0</v>
      </c>
      <c r="BA342" s="399"/>
      <c r="BB342" s="399"/>
      <c r="BC342" s="399"/>
      <c r="BD342" s="399"/>
      <c r="BE342" s="399"/>
      <c r="BF342" s="399"/>
      <c r="BG342" s="399"/>
      <c r="BH342" s="399"/>
      <c r="BI342" s="399">
        <v>0</v>
      </c>
      <c r="BJ342" s="399">
        <v>0</v>
      </c>
      <c r="BK342" s="399">
        <v>31.72</v>
      </c>
      <c r="BL342" s="399">
        <v>3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/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/>
      <c r="CJ342" s="399">
        <v>-0.03</v>
      </c>
      <c r="CK342" s="399"/>
      <c r="CL342" s="399"/>
      <c r="CM342" s="399"/>
      <c r="CN342" s="399"/>
      <c r="CO342" s="399">
        <v>0</v>
      </c>
      <c r="CP342" s="399">
        <v>0</v>
      </c>
      <c r="CQ342" s="399">
        <v>31</v>
      </c>
      <c r="CR342" s="399"/>
      <c r="CS342" s="399"/>
      <c r="CT342" s="399"/>
      <c r="CU342" s="399"/>
      <c r="CV342" s="399"/>
      <c r="CW342" s="399"/>
      <c r="CX342" s="399"/>
      <c r="CY342" s="399"/>
      <c r="CZ342" s="399"/>
      <c r="DA342" s="399"/>
      <c r="DB342" s="399"/>
      <c r="DC342" s="399"/>
      <c r="DD342" s="399"/>
      <c r="DE342" s="399"/>
      <c r="DF342" s="399"/>
      <c r="DG342" s="399"/>
      <c r="DH342" s="399"/>
      <c r="DI342" s="399"/>
      <c r="DJ342" s="399"/>
      <c r="DK342" s="399">
        <v>0</v>
      </c>
      <c r="DL342" s="399"/>
      <c r="DM342" s="399"/>
      <c r="DN342" s="399"/>
      <c r="DO342" s="399"/>
      <c r="DP342" s="399"/>
      <c r="DQ342" s="399"/>
      <c r="DR342" s="399"/>
      <c r="DS342" s="399"/>
      <c r="DT342" s="399"/>
      <c r="DU342" s="399"/>
      <c r="DV342" s="399"/>
      <c r="DW342" s="399"/>
      <c r="DX342" s="399"/>
      <c r="DY342" s="399"/>
      <c r="DZ342" s="399"/>
      <c r="EA342" s="399"/>
      <c r="EB342" s="399"/>
      <c r="EC342" s="399"/>
      <c r="ED342" s="399"/>
      <c r="EE342" s="399"/>
      <c r="EF342" s="399"/>
      <c r="EG342" s="399"/>
      <c r="EH342" s="399"/>
      <c r="EI342" s="399"/>
      <c r="EJ342" s="399"/>
      <c r="EK342" s="399"/>
      <c r="EL342" s="399"/>
      <c r="EM342" s="399"/>
      <c r="EN342" s="399"/>
      <c r="EO342" s="399"/>
      <c r="EP342" s="399"/>
      <c r="EQ342" s="399"/>
      <c r="ER342" s="399"/>
      <c r="ES342" s="399"/>
      <c r="ET342" s="399"/>
      <c r="EU342" s="399"/>
      <c r="EV342" s="399">
        <v>221</v>
      </c>
      <c r="EW342" s="399"/>
      <c r="EX342" s="399"/>
      <c r="EY342" s="399"/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342</v>
      </c>
      <c r="B343" s="399" t="s">
        <v>956</v>
      </c>
      <c r="C343" s="399" t="s">
        <v>2335</v>
      </c>
      <c r="D343" s="399" t="s">
        <v>1821</v>
      </c>
      <c r="E343" s="399" t="s">
        <v>889</v>
      </c>
      <c r="F343" s="399" t="s">
        <v>889</v>
      </c>
      <c r="G343" s="399" t="s">
        <v>1239</v>
      </c>
      <c r="H343" s="399" t="s">
        <v>1239</v>
      </c>
      <c r="I343" s="399" t="s">
        <v>893</v>
      </c>
      <c r="J343" s="399" t="s">
        <v>2326</v>
      </c>
      <c r="K343" s="786">
        <v>44682</v>
      </c>
      <c r="L343" s="399">
        <v>0</v>
      </c>
      <c r="M343" s="399">
        <v>0</v>
      </c>
      <c r="N343" s="399">
        <v>9.6000000000000002E-2</v>
      </c>
      <c r="O343" s="399">
        <v>9.6000000000000002E-2</v>
      </c>
      <c r="P343" s="399">
        <v>9.6000000000000002E-2</v>
      </c>
      <c r="Q343" s="399">
        <v>9.6000000000000002E-2</v>
      </c>
      <c r="R343" s="399"/>
      <c r="S343" s="399">
        <v>2045.69</v>
      </c>
      <c r="T343" s="399">
        <v>185.74</v>
      </c>
      <c r="U343" s="399"/>
      <c r="V343" s="399">
        <v>214.21728000000002</v>
      </c>
      <c r="W343" s="399">
        <v>214.21728000000002</v>
      </c>
      <c r="X343" s="399">
        <v>115.76832</v>
      </c>
      <c r="Y343" s="399">
        <v>0</v>
      </c>
      <c r="Z343" s="399">
        <v>5.9851359444585794</v>
      </c>
      <c r="AA343" s="399">
        <v>0</v>
      </c>
      <c r="AB343" s="399">
        <v>0</v>
      </c>
      <c r="AC343" s="399">
        <v>0</v>
      </c>
      <c r="AD343" s="399">
        <v>33.797432169437087</v>
      </c>
      <c r="AE343" s="399">
        <v>152.22028016684641</v>
      </c>
      <c r="AF343" s="399">
        <v>17.831451642092834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0.92497864478033676</v>
      </c>
      <c r="AM343" s="399"/>
      <c r="AN343" s="399">
        <v>0.22760326543364831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3.2304479093512897</v>
      </c>
      <c r="BH343" s="399">
        <v>0</v>
      </c>
      <c r="BI343" s="399">
        <v>0</v>
      </c>
      <c r="BJ343" s="399">
        <v>0</v>
      </c>
      <c r="BK343" s="399">
        <v>0</v>
      </c>
      <c r="BL343" s="399">
        <v>0</v>
      </c>
      <c r="BM343" s="399"/>
      <c r="BN343" s="399"/>
      <c r="BO343" s="399"/>
      <c r="BP343" s="399"/>
      <c r="BQ343" s="399"/>
      <c r="BR343" s="399"/>
      <c r="BS343" s="399"/>
      <c r="BT343" s="399"/>
      <c r="BU343" s="399"/>
      <c r="BV343" s="399">
        <v>21.061899551444125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120.592</v>
      </c>
      <c r="CJ343" s="399">
        <v>-93.655279999999991</v>
      </c>
      <c r="CK343" s="399"/>
      <c r="CL343" s="399"/>
      <c r="CM343" s="399"/>
      <c r="CN343" s="399"/>
      <c r="CO343" s="399">
        <v>-98.448960000000028</v>
      </c>
      <c r="CP343" s="399">
        <v>0</v>
      </c>
      <c r="CQ343" s="399">
        <v>31</v>
      </c>
      <c r="CR343" s="399">
        <v>-3.5428608979109129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-3.1112771992074215</v>
      </c>
      <c r="DA343" s="399">
        <v>0</v>
      </c>
      <c r="DB343" s="399">
        <v>0</v>
      </c>
      <c r="DC343" s="399">
        <v>0</v>
      </c>
      <c r="DD343" s="399">
        <v>0</v>
      </c>
      <c r="DE343" s="399">
        <v>0</v>
      </c>
      <c r="DF343" s="399">
        <v>0</v>
      </c>
      <c r="DG343" s="399">
        <v>0</v>
      </c>
      <c r="DH343" s="399">
        <v>0</v>
      </c>
      <c r="DI343" s="399">
        <v>-0.37017278863390057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-4.9590320606890614E-2</v>
      </c>
      <c r="DP343" s="399">
        <v>-1.1820589462693432E-2</v>
      </c>
      <c r="DQ343" s="399">
        <v>0</v>
      </c>
      <c r="DR343" s="399">
        <v>0</v>
      </c>
      <c r="DS343" s="399"/>
      <c r="DT343" s="399"/>
      <c r="DU343" s="399"/>
      <c r="DV343" s="399">
        <v>152.22028016684641</v>
      </c>
      <c r="DW343" s="399">
        <v>0</v>
      </c>
      <c r="DX343" s="399">
        <v>0</v>
      </c>
      <c r="DY343" s="399">
        <v>-98.448960000000014</v>
      </c>
      <c r="DZ343" s="399">
        <v>0</v>
      </c>
      <c r="EA343" s="399">
        <v>0</v>
      </c>
      <c r="EB343" s="399">
        <v>0</v>
      </c>
      <c r="EC343" s="399">
        <v>-94.905830941420419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221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343</v>
      </c>
      <c r="B344" s="399" t="s">
        <v>956</v>
      </c>
      <c r="C344" s="399" t="s">
        <v>2335</v>
      </c>
      <c r="D344" s="399" t="s">
        <v>1821</v>
      </c>
      <c r="E344" s="399" t="s">
        <v>889</v>
      </c>
      <c r="F344" s="399" t="s">
        <v>889</v>
      </c>
      <c r="G344" s="399" t="s">
        <v>1239</v>
      </c>
      <c r="H344" s="399" t="s">
        <v>1239</v>
      </c>
      <c r="I344" s="399" t="s">
        <v>2323</v>
      </c>
      <c r="J344" s="399" t="s">
        <v>2326</v>
      </c>
      <c r="K344" s="786">
        <v>44682</v>
      </c>
      <c r="L344" s="399">
        <v>0</v>
      </c>
      <c r="M344" s="399">
        <v>0</v>
      </c>
      <c r="N344" s="399">
        <v>0.95899999999999996</v>
      </c>
      <c r="O344" s="399">
        <v>0.95899999999999996</v>
      </c>
      <c r="P344" s="399">
        <v>0.95899999999999996</v>
      </c>
      <c r="Q344" s="399">
        <v>0.95899999999999996</v>
      </c>
      <c r="R344" s="399"/>
      <c r="S344" s="399">
        <v>495.6</v>
      </c>
      <c r="T344" s="399">
        <v>185.74</v>
      </c>
      <c r="U344" s="399"/>
      <c r="V344" s="399">
        <v>653.40506000000005</v>
      </c>
      <c r="W344" s="399">
        <v>653.40506000000005</v>
      </c>
      <c r="X344" s="399">
        <v>453.26175999999998</v>
      </c>
      <c r="Y344" s="399">
        <v>0</v>
      </c>
      <c r="Z344" s="399">
        <v>59.789014278497675</v>
      </c>
      <c r="AA344" s="399">
        <v>0</v>
      </c>
      <c r="AB344" s="399">
        <v>0</v>
      </c>
      <c r="AC344" s="399">
        <v>0</v>
      </c>
      <c r="AD344" s="399">
        <v>67.586208106403873</v>
      </c>
      <c r="AE344" s="399">
        <v>304.12319755092119</v>
      </c>
      <c r="AF344" s="399">
        <v>178.12877213298987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9.2401512535869053</v>
      </c>
      <c r="AM344" s="399"/>
      <c r="AN344" s="399">
        <v>2.2736617869882156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32.27082859445715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210.39960072744702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453.73439999999999</v>
      </c>
      <c r="CJ344" s="399">
        <v>-199.70066000000003</v>
      </c>
      <c r="CK344" s="399"/>
      <c r="CL344" s="399"/>
      <c r="CM344" s="399"/>
      <c r="CN344" s="399"/>
      <c r="CO344" s="399">
        <v>-200.14330000000004</v>
      </c>
      <c r="CP344" s="399">
        <v>0</v>
      </c>
      <c r="CQ344" s="399">
        <v>31</v>
      </c>
      <c r="CR344" s="399">
        <v>-10.533098858462267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-6.2217575349554934</v>
      </c>
      <c r="DA344" s="399">
        <v>0</v>
      </c>
      <c r="DB344" s="399">
        <v>0</v>
      </c>
      <c r="DC344" s="399">
        <v>0</v>
      </c>
      <c r="DD344" s="399">
        <v>0</v>
      </c>
      <c r="DE344" s="399">
        <v>0</v>
      </c>
      <c r="DF344" s="399">
        <v>0</v>
      </c>
      <c r="DG344" s="399">
        <v>0</v>
      </c>
      <c r="DH344" s="399">
        <v>0</v>
      </c>
      <c r="DI344" s="399">
        <v>-3.6978719197907353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-0.49538664022925083</v>
      </c>
      <c r="DP344" s="399">
        <v>-0.11808276348669766</v>
      </c>
      <c r="DQ344" s="399">
        <v>0</v>
      </c>
      <c r="DR344" s="399">
        <v>0</v>
      </c>
      <c r="DS344" s="399"/>
      <c r="DT344" s="399"/>
      <c r="DU344" s="399"/>
      <c r="DV344" s="399">
        <v>304.12319755092119</v>
      </c>
      <c r="DW344" s="399">
        <v>0</v>
      </c>
      <c r="DX344" s="399">
        <v>0</v>
      </c>
      <c r="DY344" s="399">
        <v>-200.14330000000001</v>
      </c>
      <c r="DZ344" s="399">
        <v>0</v>
      </c>
      <c r="EA344" s="399">
        <v>0</v>
      </c>
      <c r="EB344" s="399">
        <v>0</v>
      </c>
      <c r="EC344" s="399">
        <v>-189.61379351355549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221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344</v>
      </c>
      <c r="B345" s="399" t="s">
        <v>956</v>
      </c>
      <c r="C345" s="399" t="s">
        <v>2335</v>
      </c>
      <c r="D345" s="399" t="s">
        <v>1821</v>
      </c>
      <c r="E345" s="399" t="s">
        <v>889</v>
      </c>
      <c r="F345" s="399" t="s">
        <v>889</v>
      </c>
      <c r="G345" s="399" t="s">
        <v>1239</v>
      </c>
      <c r="H345" s="399" t="s">
        <v>1239</v>
      </c>
      <c r="I345" s="399" t="s">
        <v>1239</v>
      </c>
      <c r="J345" s="399" t="s">
        <v>2326</v>
      </c>
      <c r="K345" s="786">
        <v>44682</v>
      </c>
      <c r="L345" s="399">
        <v>0</v>
      </c>
      <c r="M345" s="399">
        <v>0</v>
      </c>
      <c r="N345" s="399">
        <v>0</v>
      </c>
      <c r="O345" s="399">
        <v>0</v>
      </c>
      <c r="P345" s="399">
        <v>0</v>
      </c>
      <c r="Q345" s="399">
        <v>0</v>
      </c>
      <c r="R345" s="399"/>
      <c r="S345" s="399"/>
      <c r="T345" s="399"/>
      <c r="U345" s="399"/>
      <c r="V345" s="399"/>
      <c r="W345" s="399"/>
      <c r="X345" s="399"/>
      <c r="Y345" s="399"/>
      <c r="Z345" s="399"/>
      <c r="AA345" s="399">
        <v>0</v>
      </c>
      <c r="AB345" s="399"/>
      <c r="AC345" s="399"/>
      <c r="AD345" s="399"/>
      <c r="AE345" s="399"/>
      <c r="AF345" s="399"/>
      <c r="AG345" s="399"/>
      <c r="AH345" s="399"/>
      <c r="AI345" s="399"/>
      <c r="AJ345" s="399"/>
      <c r="AK345" s="399"/>
      <c r="AL345" s="399"/>
      <c r="AM345" s="399"/>
      <c r="AN345" s="399"/>
      <c r="AO345" s="399"/>
      <c r="AP345" s="399"/>
      <c r="AQ345" s="399"/>
      <c r="AR345" s="399"/>
      <c r="AS345" s="399"/>
      <c r="AT345" s="399"/>
      <c r="AU345" s="399"/>
      <c r="AV345" s="399"/>
      <c r="AW345" s="399"/>
      <c r="AX345" s="399"/>
      <c r="AY345" s="399"/>
      <c r="AZ345" s="399">
        <v>0</v>
      </c>
      <c r="BA345" s="399"/>
      <c r="BB345" s="399"/>
      <c r="BC345" s="399"/>
      <c r="BD345" s="399"/>
      <c r="BE345" s="399"/>
      <c r="BF345" s="399"/>
      <c r="BG345" s="399"/>
      <c r="BH345" s="399"/>
      <c r="BI345" s="399">
        <v>0.25</v>
      </c>
      <c r="BJ345" s="399">
        <v>1.32</v>
      </c>
      <c r="BK345" s="399">
        <v>166.83</v>
      </c>
      <c r="BL345" s="399">
        <v>2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/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/>
      <c r="CJ345" s="399">
        <v>-0.03</v>
      </c>
      <c r="CK345" s="399"/>
      <c r="CL345" s="399"/>
      <c r="CM345" s="399"/>
      <c r="CN345" s="399"/>
      <c r="CO345" s="399">
        <v>0</v>
      </c>
      <c r="CP345" s="399">
        <v>0</v>
      </c>
      <c r="CQ345" s="399">
        <v>31</v>
      </c>
      <c r="CR345" s="399"/>
      <c r="CS345" s="399"/>
      <c r="CT345" s="399"/>
      <c r="CU345" s="399"/>
      <c r="CV345" s="399"/>
      <c r="CW345" s="399"/>
      <c r="CX345" s="399"/>
      <c r="CY345" s="399"/>
      <c r="CZ345" s="399"/>
      <c r="DA345" s="399"/>
      <c r="DB345" s="399"/>
      <c r="DC345" s="399"/>
      <c r="DD345" s="399"/>
      <c r="DE345" s="399"/>
      <c r="DF345" s="399"/>
      <c r="DG345" s="399"/>
      <c r="DH345" s="399"/>
      <c r="DI345" s="399"/>
      <c r="DJ345" s="399"/>
      <c r="DK345" s="399">
        <v>0</v>
      </c>
      <c r="DL345" s="399"/>
      <c r="DM345" s="399"/>
      <c r="DN345" s="399"/>
      <c r="DO345" s="399"/>
      <c r="DP345" s="399"/>
      <c r="DQ345" s="399"/>
      <c r="DR345" s="399"/>
      <c r="DS345" s="399"/>
      <c r="DT345" s="399"/>
      <c r="DU345" s="399"/>
      <c r="DV345" s="399"/>
      <c r="DW345" s="399"/>
      <c r="DX345" s="399"/>
      <c r="DY345" s="399"/>
      <c r="DZ345" s="399"/>
      <c r="EA345" s="399"/>
      <c r="EB345" s="399"/>
      <c r="EC345" s="399"/>
      <c r="ED345" s="399"/>
      <c r="EE345" s="399"/>
      <c r="EF345" s="399"/>
      <c r="EG345" s="399"/>
      <c r="EH345" s="399"/>
      <c r="EI345" s="399"/>
      <c r="EJ345" s="399"/>
      <c r="EK345" s="399"/>
      <c r="EL345" s="399"/>
      <c r="EM345" s="399"/>
      <c r="EN345" s="399"/>
      <c r="EO345" s="399"/>
      <c r="EP345" s="399"/>
      <c r="EQ345" s="399"/>
      <c r="ER345" s="399"/>
      <c r="ES345" s="399"/>
      <c r="ET345" s="399"/>
      <c r="EU345" s="399"/>
      <c r="EV345" s="399">
        <v>221</v>
      </c>
      <c r="EW345" s="399"/>
      <c r="EX345" s="399"/>
      <c r="EY345" s="399"/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345</v>
      </c>
      <c r="B346" s="399" t="s">
        <v>956</v>
      </c>
      <c r="C346" s="399" t="s">
        <v>2335</v>
      </c>
      <c r="D346" s="399" t="s">
        <v>1821</v>
      </c>
      <c r="E346" s="399" t="s">
        <v>889</v>
      </c>
      <c r="F346" s="399" t="s">
        <v>889</v>
      </c>
      <c r="G346" s="399" t="s">
        <v>1239</v>
      </c>
      <c r="H346" s="399" t="s">
        <v>1239</v>
      </c>
      <c r="I346" s="399" t="s">
        <v>2336</v>
      </c>
      <c r="J346" s="399" t="s">
        <v>2326</v>
      </c>
      <c r="K346" s="786">
        <v>44682</v>
      </c>
      <c r="L346" s="399">
        <v>0</v>
      </c>
      <c r="M346" s="399">
        <v>0</v>
      </c>
      <c r="N346" s="399">
        <v>3.5999999999999997E-2</v>
      </c>
      <c r="O346" s="399">
        <v>3.5999999999999997E-2</v>
      </c>
      <c r="P346" s="399">
        <v>3.5999999999999997E-2</v>
      </c>
      <c r="Q346" s="399">
        <v>3.5999999999999997E-2</v>
      </c>
      <c r="R346" s="399"/>
      <c r="S346" s="399">
        <v>1270.6099999999999</v>
      </c>
      <c r="T346" s="399">
        <v>185.74</v>
      </c>
      <c r="U346" s="399"/>
      <c r="V346" s="399">
        <v>52.428599999999989</v>
      </c>
      <c r="W346" s="399">
        <v>52.428599999999989</v>
      </c>
      <c r="X346" s="399">
        <v>30.212999999999997</v>
      </c>
      <c r="Y346" s="399">
        <v>0</v>
      </c>
      <c r="Z346" s="399">
        <v>2.2444259791719667</v>
      </c>
      <c r="AA346" s="399">
        <v>0</v>
      </c>
      <c r="AB346" s="399">
        <v>0</v>
      </c>
      <c r="AC346" s="399">
        <v>0</v>
      </c>
      <c r="AD346" s="399">
        <v>7.6044229587420835</v>
      </c>
      <c r="AE346" s="399">
        <v>34.249580846022809</v>
      </c>
      <c r="AF346" s="399">
        <v>6.6867943657848121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0.34686699179262626</v>
      </c>
      <c r="AM346" s="399"/>
      <c r="AN346" s="399">
        <v>8.5351224537618106E-2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1.2114179660067335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7.8982123317915454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33.57</v>
      </c>
      <c r="CJ346" s="399">
        <v>-18.888599999999983</v>
      </c>
      <c r="CK346" s="399"/>
      <c r="CL346" s="399"/>
      <c r="CM346" s="399"/>
      <c r="CN346" s="399"/>
      <c r="CO346" s="399">
        <v>-22.215599999999995</v>
      </c>
      <c r="CP346" s="399">
        <v>0</v>
      </c>
      <c r="CQ346" s="399">
        <v>31</v>
      </c>
      <c r="CR346" s="399">
        <v>-0.86188132317320409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-0.70003743615939573</v>
      </c>
      <c r="DA346" s="399">
        <v>0</v>
      </c>
      <c r="DB346" s="399">
        <v>0</v>
      </c>
      <c r="DC346" s="399">
        <v>0</v>
      </c>
      <c r="DD346" s="399">
        <v>0</v>
      </c>
      <c r="DE346" s="399">
        <v>0</v>
      </c>
      <c r="DF346" s="399">
        <v>0</v>
      </c>
      <c r="DG346" s="399">
        <v>0</v>
      </c>
      <c r="DH346" s="399">
        <v>0</v>
      </c>
      <c r="DI346" s="399">
        <v>-0.1388147957377126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-1.859637022758398E-2</v>
      </c>
      <c r="DP346" s="399">
        <v>-4.4327210485100299E-3</v>
      </c>
      <c r="DQ346" s="399">
        <v>0</v>
      </c>
      <c r="DR346" s="399">
        <v>0</v>
      </c>
      <c r="DS346" s="399"/>
      <c r="DT346" s="399"/>
      <c r="DU346" s="399"/>
      <c r="DV346" s="399">
        <v>34.249580846022809</v>
      </c>
      <c r="DW346" s="399">
        <v>0</v>
      </c>
      <c r="DX346" s="399">
        <v>0</v>
      </c>
      <c r="DY346" s="399">
        <v>-22.215599999999995</v>
      </c>
      <c r="DZ346" s="399">
        <v>0</v>
      </c>
      <c r="EA346" s="399">
        <v>0</v>
      </c>
      <c r="EB346" s="399">
        <v>0</v>
      </c>
      <c r="EC346" s="399">
        <v>-21.353823064997272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221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346</v>
      </c>
      <c r="B347" s="399" t="s">
        <v>956</v>
      </c>
      <c r="C347" s="399" t="s">
        <v>2328</v>
      </c>
      <c r="D347" s="399" t="s">
        <v>1824</v>
      </c>
      <c r="E347" s="399" t="s">
        <v>890</v>
      </c>
      <c r="F347" s="399" t="s">
        <v>1239</v>
      </c>
      <c r="G347" s="399" t="s">
        <v>1239</v>
      </c>
      <c r="H347" s="399" t="s">
        <v>1239</v>
      </c>
      <c r="I347" s="399" t="s">
        <v>1239</v>
      </c>
      <c r="J347" s="399" t="s">
        <v>2326</v>
      </c>
      <c r="K347" s="786">
        <v>44682</v>
      </c>
      <c r="L347" s="399">
        <v>0</v>
      </c>
      <c r="M347" s="399">
        <v>0</v>
      </c>
      <c r="N347" s="399">
        <v>36.68</v>
      </c>
      <c r="O347" s="399">
        <v>36.68</v>
      </c>
      <c r="P347" s="399">
        <v>36.68</v>
      </c>
      <c r="Q347" s="399">
        <v>36.68</v>
      </c>
      <c r="R347" s="399"/>
      <c r="S347" s="399">
        <v>825.6</v>
      </c>
      <c r="T347" s="399">
        <v>185.74</v>
      </c>
      <c r="U347" s="399"/>
      <c r="V347" s="399">
        <v>37095.951200000003</v>
      </c>
      <c r="W347" s="399">
        <v>37095.951200000003</v>
      </c>
      <c r="X347" s="399">
        <v>23060.716</v>
      </c>
      <c r="Y347" s="399">
        <v>0</v>
      </c>
      <c r="Z347" s="399">
        <v>2286.8206921118822</v>
      </c>
      <c r="AA347" s="399">
        <v>0</v>
      </c>
      <c r="AB347" s="399">
        <v>0</v>
      </c>
      <c r="AC347" s="399">
        <v>0</v>
      </c>
      <c r="AD347" s="399">
        <v>4780.5669852926958</v>
      </c>
      <c r="AE347" s="399">
        <v>21541.055626647183</v>
      </c>
      <c r="AF347" s="399">
        <v>6813.1004815829701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353.41892385982032</v>
      </c>
      <c r="AM347" s="399"/>
      <c r="AN347" s="399">
        <v>86.96341433443979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1234.3003053646385</v>
      </c>
      <c r="BH347" s="399">
        <v>0</v>
      </c>
      <c r="BI347" s="399">
        <v>9.25</v>
      </c>
      <c r="BJ347" s="399">
        <v>47.43</v>
      </c>
      <c r="BK347" s="399">
        <v>7892.82</v>
      </c>
      <c r="BL347" s="399">
        <v>42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8047.4007869476081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23060.716</v>
      </c>
      <c r="CJ347" s="399">
        <v>-14035.265200000002</v>
      </c>
      <c r="CK347" s="399"/>
      <c r="CL347" s="399"/>
      <c r="CM347" s="399"/>
      <c r="CN347" s="399"/>
      <c r="CO347" s="399">
        <v>-14035.235200000001</v>
      </c>
      <c r="CP347" s="399">
        <v>0</v>
      </c>
      <c r="CQ347" s="399">
        <v>31</v>
      </c>
      <c r="CR347" s="399">
        <v>-604.98375237642176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-440.08281416346563</v>
      </c>
      <c r="DA347" s="399">
        <v>0</v>
      </c>
      <c r="DB347" s="399">
        <v>0</v>
      </c>
      <c r="DC347" s="399">
        <v>0</v>
      </c>
      <c r="DD347" s="399">
        <v>0</v>
      </c>
      <c r="DE347" s="399">
        <v>0</v>
      </c>
      <c r="DF347" s="399">
        <v>0</v>
      </c>
      <c r="DG347" s="399">
        <v>0</v>
      </c>
      <c r="DH347" s="399">
        <v>0</v>
      </c>
      <c r="DI347" s="399">
        <v>-141.43685299053641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-18.947634998549461</v>
      </c>
      <c r="DP347" s="399">
        <v>-4.5164502238707911</v>
      </c>
      <c r="DQ347" s="399">
        <v>0</v>
      </c>
      <c r="DR347" s="399">
        <v>0</v>
      </c>
      <c r="DS347" s="399"/>
      <c r="DT347" s="399"/>
      <c r="DU347" s="399"/>
      <c r="DV347" s="399">
        <v>21541.055626647183</v>
      </c>
      <c r="DW347" s="399">
        <v>0</v>
      </c>
      <c r="DX347" s="399">
        <v>0</v>
      </c>
      <c r="DY347" s="399">
        <v>-14035.235200000003</v>
      </c>
      <c r="DZ347" s="399">
        <v>0</v>
      </c>
      <c r="EA347" s="399">
        <v>0</v>
      </c>
      <c r="EB347" s="399">
        <v>0</v>
      </c>
      <c r="EC347" s="399">
        <v>-13430.350945100796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221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347</v>
      </c>
      <c r="B348" s="399" t="s">
        <v>2330</v>
      </c>
      <c r="C348" s="399" t="s">
        <v>2328</v>
      </c>
      <c r="D348" s="399" t="s">
        <v>1824</v>
      </c>
      <c r="E348" s="399" t="s">
        <v>890</v>
      </c>
      <c r="F348" s="399" t="s">
        <v>1239</v>
      </c>
      <c r="G348" s="399" t="s">
        <v>1239</v>
      </c>
      <c r="H348" s="399" t="s">
        <v>1239</v>
      </c>
      <c r="I348" s="399" t="s">
        <v>1239</v>
      </c>
      <c r="J348" s="399" t="s">
        <v>2326</v>
      </c>
      <c r="K348" s="786">
        <v>44682</v>
      </c>
      <c r="L348" s="399">
        <v>0</v>
      </c>
      <c r="M348" s="399">
        <v>0</v>
      </c>
      <c r="N348" s="399">
        <v>4.1260000000000003</v>
      </c>
      <c r="O348" s="399">
        <v>4.1260000000000003</v>
      </c>
      <c r="P348" s="399">
        <v>4.1260000000000003</v>
      </c>
      <c r="Q348" s="399">
        <v>4.1260000000000003</v>
      </c>
      <c r="R348" s="399"/>
      <c r="S348" s="399">
        <v>825.6</v>
      </c>
      <c r="T348" s="399">
        <v>185.74</v>
      </c>
      <c r="U348" s="399"/>
      <c r="V348" s="399">
        <v>4172.7888400000011</v>
      </c>
      <c r="W348" s="399">
        <v>4172.7888400000011</v>
      </c>
      <c r="X348" s="399">
        <v>2594.0162</v>
      </c>
      <c r="Y348" s="399">
        <v>0</v>
      </c>
      <c r="Z348" s="399">
        <v>257.23615527954269</v>
      </c>
      <c r="AA348" s="399">
        <v>0</v>
      </c>
      <c r="AB348" s="399">
        <v>0</v>
      </c>
      <c r="AC348" s="399">
        <v>0</v>
      </c>
      <c r="AD348" s="399">
        <v>537.74861999230279</v>
      </c>
      <c r="AE348" s="399">
        <v>2423.0751231064964</v>
      </c>
      <c r="AF348" s="399">
        <v>766.38093203411495</v>
      </c>
      <c r="AG348" s="399">
        <v>0</v>
      </c>
      <c r="AH348" s="399">
        <v>0</v>
      </c>
      <c r="AI348" s="399">
        <v>0</v>
      </c>
      <c r="AJ348" s="399">
        <v>0</v>
      </c>
      <c r="AK348" s="399">
        <v>0</v>
      </c>
      <c r="AL348" s="399">
        <v>39.754811337121559</v>
      </c>
      <c r="AM348" s="399"/>
      <c r="AN348" s="399">
        <v>9.7821986789503441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138.84195910399399</v>
      </c>
      <c r="BH348" s="399">
        <v>0</v>
      </c>
      <c r="BI348" s="399">
        <v>1.03</v>
      </c>
      <c r="BJ348" s="399">
        <v>5.22</v>
      </c>
      <c r="BK348" s="399">
        <v>2138.12</v>
      </c>
      <c r="BL348" s="399">
        <v>3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905.22289113810893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2596.5309999999999</v>
      </c>
      <c r="CJ348" s="399">
        <v>-1576.2878400000018</v>
      </c>
      <c r="CK348" s="399"/>
      <c r="CL348" s="399"/>
      <c r="CM348" s="399"/>
      <c r="CN348" s="399"/>
      <c r="CO348" s="399">
        <v>-1578.7726400000004</v>
      </c>
      <c r="CP348" s="399">
        <v>0</v>
      </c>
      <c r="CQ348" s="399">
        <v>31</v>
      </c>
      <c r="CR348" s="399">
        <v>-68.052425362735221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-49.503317645541529</v>
      </c>
      <c r="DA348" s="399">
        <v>0</v>
      </c>
      <c r="DB348" s="399">
        <v>0</v>
      </c>
      <c r="DC348" s="399">
        <v>0</v>
      </c>
      <c r="DD348" s="399">
        <v>0</v>
      </c>
      <c r="DE348" s="399">
        <v>0</v>
      </c>
      <c r="DF348" s="399">
        <v>0</v>
      </c>
      <c r="DG348" s="399">
        <v>0</v>
      </c>
      <c r="DH348" s="399">
        <v>0</v>
      </c>
      <c r="DI348" s="399">
        <v>-15.909717978161183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-2.131350654416984</v>
      </c>
      <c r="DP348" s="399">
        <v>-0.50803908461534597</v>
      </c>
      <c r="DQ348" s="399">
        <v>0</v>
      </c>
      <c r="DR348" s="399">
        <v>0</v>
      </c>
      <c r="DS348" s="399"/>
      <c r="DT348" s="399"/>
      <c r="DU348" s="399"/>
      <c r="DV348" s="399">
        <v>2423.0751231064964</v>
      </c>
      <c r="DW348" s="399">
        <v>0</v>
      </c>
      <c r="DX348" s="399">
        <v>0</v>
      </c>
      <c r="DY348" s="399">
        <v>-1578.7726400000004</v>
      </c>
      <c r="DZ348" s="399">
        <v>0</v>
      </c>
      <c r="EA348" s="399">
        <v>0</v>
      </c>
      <c r="EB348" s="399">
        <v>0</v>
      </c>
      <c r="EC348" s="399">
        <v>-1510.7314067471616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221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348</v>
      </c>
      <c r="B349" s="399" t="s">
        <v>956</v>
      </c>
      <c r="C349" s="399" t="s">
        <v>2325</v>
      </c>
      <c r="D349" s="399" t="s">
        <v>533</v>
      </c>
      <c r="E349" s="399" t="s">
        <v>890</v>
      </c>
      <c r="F349" s="399" t="s">
        <v>1239</v>
      </c>
      <c r="G349" s="399" t="s">
        <v>1239</v>
      </c>
      <c r="H349" s="399" t="s">
        <v>1239</v>
      </c>
      <c r="I349" s="399" t="s">
        <v>893</v>
      </c>
      <c r="J349" s="399" t="s">
        <v>2326</v>
      </c>
      <c r="K349" s="786">
        <v>44682</v>
      </c>
      <c r="L349" s="399">
        <v>0</v>
      </c>
      <c r="M349" s="399">
        <v>0</v>
      </c>
      <c r="N349" s="399">
        <v>2.0659999999999998</v>
      </c>
      <c r="O349" s="399">
        <v>2.0659999999999998</v>
      </c>
      <c r="P349" s="399">
        <v>2.0659999999999998</v>
      </c>
      <c r="Q349" s="399">
        <v>2.0659999999999998</v>
      </c>
      <c r="R349" s="399"/>
      <c r="S349" s="399">
        <v>4433.21</v>
      </c>
      <c r="T349" s="399">
        <v>185.74</v>
      </c>
      <c r="U349" s="399"/>
      <c r="V349" s="399">
        <v>9542.7506999999987</v>
      </c>
      <c r="W349" s="399">
        <v>9542.7506999999987</v>
      </c>
      <c r="X349" s="399">
        <v>4980.3409199999996</v>
      </c>
      <c r="Y349" s="399">
        <v>0</v>
      </c>
      <c r="Z349" s="399">
        <v>112.06044843009087</v>
      </c>
      <c r="AA349" s="399">
        <v>0</v>
      </c>
      <c r="AB349" s="399">
        <v>0</v>
      </c>
      <c r="AC349" s="399">
        <v>0</v>
      </c>
      <c r="AD349" s="399">
        <v>1986.7130662009729</v>
      </c>
      <c r="AE349" s="399">
        <v>7011.3502276002264</v>
      </c>
      <c r="AF349" s="399">
        <v>383.7476988808728</v>
      </c>
      <c r="AG349" s="399">
        <v>0</v>
      </c>
      <c r="AH349" s="399">
        <v>0</v>
      </c>
      <c r="AI349" s="399">
        <v>0</v>
      </c>
      <c r="AJ349" s="399">
        <v>0</v>
      </c>
      <c r="AK349" s="399">
        <v>0</v>
      </c>
      <c r="AL349" s="399">
        <v>19.906311251210163</v>
      </c>
      <c r="AM349" s="399"/>
      <c r="AN349" s="399">
        <v>2.1401310210847941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26.841831065573224</v>
      </c>
      <c r="BH349" s="399">
        <v>0</v>
      </c>
      <c r="BI349" s="399">
        <v>0</v>
      </c>
      <c r="BJ349" s="399">
        <v>0</v>
      </c>
      <c r="BK349" s="399">
        <v>0</v>
      </c>
      <c r="BL349" s="399">
        <v>0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410.58952994644602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4989.9833999999992</v>
      </c>
      <c r="CJ349" s="399">
        <v>-4552.7973000000002</v>
      </c>
      <c r="CK349" s="399"/>
      <c r="CL349" s="399"/>
      <c r="CM349" s="399"/>
      <c r="CN349" s="399"/>
      <c r="CO349" s="399">
        <v>-4562.409779999999</v>
      </c>
      <c r="CP349" s="399">
        <v>0</v>
      </c>
      <c r="CQ349" s="399">
        <v>31</v>
      </c>
      <c r="CR349" s="399">
        <v>-190.9992439859252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-182.89007973298612</v>
      </c>
      <c r="DA349" s="399">
        <v>0</v>
      </c>
      <c r="DB349" s="399">
        <v>0</v>
      </c>
      <c r="DC349" s="399">
        <v>0</v>
      </c>
      <c r="DD349" s="399">
        <v>0</v>
      </c>
      <c r="DE349" s="399">
        <v>0</v>
      </c>
      <c r="DF349" s="399">
        <v>0</v>
      </c>
      <c r="DG349" s="399">
        <v>0</v>
      </c>
      <c r="DH349" s="399">
        <v>0</v>
      </c>
      <c r="DI349" s="399">
        <v>-6.9307913931910434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-1.0672250247274597</v>
      </c>
      <c r="DP349" s="399">
        <v>-0.11114783502081282</v>
      </c>
      <c r="DQ349" s="399">
        <v>0</v>
      </c>
      <c r="DR349" s="399">
        <v>0</v>
      </c>
      <c r="DS349" s="399"/>
      <c r="DT349" s="399"/>
      <c r="DU349" s="399"/>
      <c r="DV349" s="399">
        <v>7011.3502276002264</v>
      </c>
      <c r="DW349" s="399">
        <v>0</v>
      </c>
      <c r="DX349" s="399">
        <v>0</v>
      </c>
      <c r="DY349" s="399">
        <v>-4562.409779999999</v>
      </c>
      <c r="DZ349" s="399">
        <v>0</v>
      </c>
      <c r="EA349" s="399">
        <v>0</v>
      </c>
      <c r="EB349" s="399">
        <v>0</v>
      </c>
      <c r="EC349" s="399">
        <v>-4371.4150219823641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221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349</v>
      </c>
      <c r="B350" s="399" t="s">
        <v>956</v>
      </c>
      <c r="C350" s="399" t="s">
        <v>2325</v>
      </c>
      <c r="D350" s="399" t="s">
        <v>533</v>
      </c>
      <c r="E350" s="399" t="s">
        <v>890</v>
      </c>
      <c r="F350" s="399" t="s">
        <v>1239</v>
      </c>
      <c r="G350" s="399" t="s">
        <v>1239</v>
      </c>
      <c r="H350" s="399" t="s">
        <v>1239</v>
      </c>
      <c r="I350" s="399" t="s">
        <v>2323</v>
      </c>
      <c r="J350" s="399" t="s">
        <v>2326</v>
      </c>
      <c r="K350" s="786">
        <v>44682</v>
      </c>
      <c r="L350" s="399">
        <v>0</v>
      </c>
      <c r="M350" s="399">
        <v>0</v>
      </c>
      <c r="N350" s="399">
        <v>50.875999999999998</v>
      </c>
      <c r="O350" s="399">
        <v>50.875999999999998</v>
      </c>
      <c r="P350" s="399">
        <v>50.875999999999998</v>
      </c>
      <c r="Q350" s="399">
        <v>50.875999999999998</v>
      </c>
      <c r="R350" s="399"/>
      <c r="S350" s="399">
        <v>77.900000000000006</v>
      </c>
      <c r="T350" s="399">
        <v>185.74</v>
      </c>
      <c r="U350" s="399"/>
      <c r="V350" s="399">
        <v>13412.948640000001</v>
      </c>
      <c r="W350" s="399">
        <v>13412.948640000001</v>
      </c>
      <c r="X350" s="399">
        <v>13213.514719999999</v>
      </c>
      <c r="Y350" s="399">
        <v>0</v>
      </c>
      <c r="Z350" s="399">
        <v>2759.5292228118601</v>
      </c>
      <c r="AA350" s="399">
        <v>0</v>
      </c>
      <c r="AB350" s="399">
        <v>0</v>
      </c>
      <c r="AC350" s="399">
        <v>0</v>
      </c>
      <c r="AD350" s="399">
        <v>0</v>
      </c>
      <c r="AE350" s="399">
        <v>0</v>
      </c>
      <c r="AF350" s="399">
        <v>9449.9263931574478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490.20014095671257</v>
      </c>
      <c r="AM350" s="399"/>
      <c r="AN350" s="399">
        <v>52.701503305280724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660.98983412008874</v>
      </c>
      <c r="BH350" s="399">
        <v>0</v>
      </c>
      <c r="BI350" s="399">
        <v>0</v>
      </c>
      <c r="BJ350" s="399">
        <v>0</v>
      </c>
      <c r="BK350" s="399">
        <v>0</v>
      </c>
      <c r="BL350" s="399">
        <v>0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10110.916227277536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13214.553600000001</v>
      </c>
      <c r="CJ350" s="399">
        <v>-198.42504000000008</v>
      </c>
      <c r="CK350" s="399"/>
      <c r="CL350" s="399"/>
      <c r="CM350" s="399"/>
      <c r="CN350" s="399"/>
      <c r="CO350" s="399">
        <v>-199.43392000000009</v>
      </c>
      <c r="CP350" s="399">
        <v>0</v>
      </c>
      <c r="CQ350" s="399">
        <v>31</v>
      </c>
      <c r="CR350" s="399">
        <v>-199.69111352010623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0</v>
      </c>
      <c r="DA350" s="399">
        <v>0</v>
      </c>
      <c r="DB350" s="399">
        <v>0</v>
      </c>
      <c r="DC350" s="399">
        <v>0</v>
      </c>
      <c r="DD350" s="399">
        <v>0</v>
      </c>
      <c r="DE350" s="399">
        <v>0</v>
      </c>
      <c r="DF350" s="399">
        <v>0</v>
      </c>
      <c r="DG350" s="399">
        <v>0</v>
      </c>
      <c r="DH350" s="399">
        <v>0</v>
      </c>
      <c r="DI350" s="399">
        <v>-170.67325407550197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-26.280803658293337</v>
      </c>
      <c r="DP350" s="399">
        <v>-2.73705578631116</v>
      </c>
      <c r="DQ350" s="399">
        <v>0</v>
      </c>
      <c r="DR350" s="399">
        <v>0</v>
      </c>
      <c r="DS350" s="399"/>
      <c r="DT350" s="399"/>
      <c r="DU350" s="399"/>
      <c r="DV350" s="399">
        <v>0</v>
      </c>
      <c r="DW350" s="399">
        <v>0</v>
      </c>
      <c r="DX350" s="399">
        <v>0</v>
      </c>
      <c r="DY350" s="399">
        <v>-199.43391999999994</v>
      </c>
      <c r="DZ350" s="399">
        <v>0</v>
      </c>
      <c r="EA350" s="399">
        <v>0</v>
      </c>
      <c r="EB350" s="399">
        <v>0</v>
      </c>
      <c r="EC350" s="399">
        <v>0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221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350</v>
      </c>
      <c r="B351" s="399" t="s">
        <v>956</v>
      </c>
      <c r="C351" s="399" t="s">
        <v>2325</v>
      </c>
      <c r="D351" s="399" t="s">
        <v>533</v>
      </c>
      <c r="E351" s="399" t="s">
        <v>890</v>
      </c>
      <c r="F351" s="399" t="s">
        <v>1239</v>
      </c>
      <c r="G351" s="399" t="s">
        <v>1239</v>
      </c>
      <c r="H351" s="399" t="s">
        <v>1239</v>
      </c>
      <c r="I351" s="399" t="s">
        <v>1239</v>
      </c>
      <c r="J351" s="399" t="s">
        <v>2326</v>
      </c>
      <c r="K351" s="786">
        <v>44682</v>
      </c>
      <c r="L351" s="399">
        <v>343</v>
      </c>
      <c r="M351" s="399">
        <v>343</v>
      </c>
      <c r="N351" s="399">
        <v>0</v>
      </c>
      <c r="O351" s="399">
        <v>0</v>
      </c>
      <c r="P351" s="399">
        <v>0</v>
      </c>
      <c r="Q351" s="399">
        <v>0</v>
      </c>
      <c r="R351" s="399">
        <v>55.59</v>
      </c>
      <c r="S351" s="399"/>
      <c r="T351" s="399"/>
      <c r="U351" s="399">
        <v>19067.370000000003</v>
      </c>
      <c r="V351" s="399"/>
      <c r="W351" s="399">
        <v>19067.370000000003</v>
      </c>
      <c r="X351" s="399">
        <v>10121.93</v>
      </c>
      <c r="Y351" s="399">
        <v>0</v>
      </c>
      <c r="Z351" s="399">
        <v>0</v>
      </c>
      <c r="AA351" s="399">
        <v>0</v>
      </c>
      <c r="AB351" s="399">
        <v>0</v>
      </c>
      <c r="AC351" s="399">
        <v>0</v>
      </c>
      <c r="AD351" s="399">
        <v>5541.0520939270991</v>
      </c>
      <c r="AE351" s="399">
        <v>13524.738035841348</v>
      </c>
      <c r="AF351" s="399"/>
      <c r="AG351" s="399"/>
      <c r="AH351" s="399"/>
      <c r="AI351" s="399">
        <v>0</v>
      </c>
      <c r="AJ351" s="399">
        <v>0</v>
      </c>
      <c r="AK351" s="399">
        <v>0</v>
      </c>
      <c r="AL351" s="399">
        <v>0</v>
      </c>
      <c r="AM351" s="399"/>
      <c r="AN351" s="399">
        <v>0</v>
      </c>
      <c r="AO351" s="399">
        <v>0</v>
      </c>
      <c r="AP351" s="399">
        <v>0</v>
      </c>
      <c r="AQ351" s="399">
        <v>0</v>
      </c>
      <c r="AR351" s="399">
        <v>0</v>
      </c>
      <c r="AS351" s="399"/>
      <c r="AT351" s="399"/>
      <c r="AU351" s="399">
        <v>0</v>
      </c>
      <c r="AV351" s="399">
        <v>0</v>
      </c>
      <c r="AW351" s="399">
        <v>0</v>
      </c>
      <c r="AX351" s="399"/>
      <c r="AY351" s="399"/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/>
      <c r="BG351" s="399">
        <v>0</v>
      </c>
      <c r="BH351" s="399">
        <v>0</v>
      </c>
      <c r="BI351" s="399">
        <v>11.86</v>
      </c>
      <c r="BJ351" s="399">
        <v>59.51</v>
      </c>
      <c r="BK351" s="399">
        <v>9323.2000000000007</v>
      </c>
      <c r="BL351" s="399">
        <v>5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0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10121.93</v>
      </c>
      <c r="CJ351" s="399">
        <v>-8945.4699999999975</v>
      </c>
      <c r="CK351" s="399"/>
      <c r="CL351" s="399"/>
      <c r="CM351" s="399"/>
      <c r="CN351" s="399"/>
      <c r="CO351" s="399">
        <v>-8945.44</v>
      </c>
      <c r="CP351" s="399">
        <v>0</v>
      </c>
      <c r="CQ351" s="399">
        <v>31</v>
      </c>
      <c r="CR351" s="399">
        <v>-510.09049897720615</v>
      </c>
      <c r="CS351" s="399">
        <v>0</v>
      </c>
      <c r="CT351" s="399">
        <v>0</v>
      </c>
      <c r="CU351" s="399">
        <v>0</v>
      </c>
      <c r="CV351" s="399">
        <v>0</v>
      </c>
      <c r="CW351" s="399"/>
      <c r="CX351" s="399"/>
      <c r="CY351" s="399"/>
      <c r="CZ351" s="399">
        <v>-510.09049897720615</v>
      </c>
      <c r="DA351" s="399">
        <v>0</v>
      </c>
      <c r="DB351" s="399">
        <v>0</v>
      </c>
      <c r="DC351" s="399"/>
      <c r="DD351" s="399"/>
      <c r="DE351" s="399">
        <v>0</v>
      </c>
      <c r="DF351" s="399">
        <v>0</v>
      </c>
      <c r="DG351" s="399">
        <v>0</v>
      </c>
      <c r="DH351" s="399">
        <v>0</v>
      </c>
      <c r="DI351" s="399">
        <v>0</v>
      </c>
      <c r="DJ351" s="399"/>
      <c r="DK351" s="399">
        <v>0</v>
      </c>
      <c r="DL351" s="399">
        <v>0</v>
      </c>
      <c r="DM351" s="399"/>
      <c r="DN351" s="399">
        <v>0</v>
      </c>
      <c r="DO351" s="399">
        <v>0</v>
      </c>
      <c r="DP351" s="399">
        <v>0</v>
      </c>
      <c r="DQ351" s="399">
        <v>0</v>
      </c>
      <c r="DR351" s="399">
        <v>0</v>
      </c>
      <c r="DS351" s="399"/>
      <c r="DT351" s="399"/>
      <c r="DU351" s="399">
        <v>13524.738035841348</v>
      </c>
      <c r="DV351" s="399"/>
      <c r="DW351" s="399">
        <v>0</v>
      </c>
      <c r="DX351" s="399">
        <v>0</v>
      </c>
      <c r="DY351" s="399">
        <v>-8945.4400000000023</v>
      </c>
      <c r="DZ351" s="399"/>
      <c r="EA351" s="399">
        <v>0</v>
      </c>
      <c r="EB351" s="399"/>
      <c r="EC351" s="399">
        <v>-8432.3619700978597</v>
      </c>
      <c r="ED351" s="399"/>
      <c r="EE351" s="399">
        <v>0</v>
      </c>
      <c r="EF351" s="399">
        <v>0</v>
      </c>
      <c r="EG351" s="399"/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/>
      <c r="EN351" s="399"/>
      <c r="EO351" s="399">
        <v>0</v>
      </c>
      <c r="EP351" s="399">
        <v>0</v>
      </c>
      <c r="EQ351" s="399"/>
      <c r="ER351" s="399">
        <v>0</v>
      </c>
      <c r="ES351" s="399"/>
      <c r="ET351" s="399">
        <v>0</v>
      </c>
      <c r="EU351" s="399"/>
      <c r="EV351" s="399">
        <v>221</v>
      </c>
      <c r="EW351" s="399"/>
      <c r="EX351" s="399"/>
      <c r="EY351" s="399"/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351</v>
      </c>
      <c r="B352" s="399" t="s">
        <v>956</v>
      </c>
      <c r="C352" s="399" t="s">
        <v>2328</v>
      </c>
      <c r="D352" s="399" t="s">
        <v>1824</v>
      </c>
      <c r="E352" s="399" t="s">
        <v>918</v>
      </c>
      <c r="F352" s="399" t="s">
        <v>1239</v>
      </c>
      <c r="G352" s="399" t="s">
        <v>1239</v>
      </c>
      <c r="H352" s="399" t="s">
        <v>1239</v>
      </c>
      <c r="I352" s="399" t="s">
        <v>1239</v>
      </c>
      <c r="J352" s="399" t="s">
        <v>2326</v>
      </c>
      <c r="K352" s="786">
        <v>44682</v>
      </c>
      <c r="L352" s="399">
        <v>0</v>
      </c>
      <c r="M352" s="399">
        <v>0</v>
      </c>
      <c r="N352" s="399">
        <v>142.82</v>
      </c>
      <c r="O352" s="399">
        <v>142.82</v>
      </c>
      <c r="P352" s="399">
        <v>142.82</v>
      </c>
      <c r="Q352" s="399">
        <v>142.82</v>
      </c>
      <c r="R352" s="399"/>
      <c r="S352" s="399">
        <v>825.6</v>
      </c>
      <c r="T352" s="399">
        <v>185.74</v>
      </c>
      <c r="U352" s="399"/>
      <c r="V352" s="399">
        <v>144439.57879999999</v>
      </c>
      <c r="W352" s="399">
        <v>144439.57879999999</v>
      </c>
      <c r="X352" s="399">
        <v>89790.933999999994</v>
      </c>
      <c r="Y352" s="399">
        <v>0</v>
      </c>
      <c r="Z352" s="399">
        <v>8904.1366207038973</v>
      </c>
      <c r="AA352" s="399">
        <v>0</v>
      </c>
      <c r="AB352" s="399">
        <v>0</v>
      </c>
      <c r="AC352" s="399">
        <v>0</v>
      </c>
      <c r="AD352" s="399">
        <v>18613.974286791243</v>
      </c>
      <c r="AE352" s="399">
        <v>83873.870354355255</v>
      </c>
      <c r="AF352" s="399">
        <v>26527.999203371855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1376.0984379950801</v>
      </c>
      <c r="AM352" s="399"/>
      <c r="AN352" s="399">
        <v>338.60727467951716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4805.9642751411575</v>
      </c>
      <c r="BH352" s="399">
        <v>0</v>
      </c>
      <c r="BI352" s="399">
        <v>35.549999999999997</v>
      </c>
      <c r="BJ352" s="399">
        <v>187.18</v>
      </c>
      <c r="BK352" s="399">
        <v>30139.65</v>
      </c>
      <c r="BL352" s="399">
        <v>358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31333.963478513011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89790.933999999994</v>
      </c>
      <c r="CJ352" s="399">
        <v>-54648.674799999993</v>
      </c>
      <c r="CK352" s="399"/>
      <c r="CL352" s="399"/>
      <c r="CM352" s="399"/>
      <c r="CN352" s="399"/>
      <c r="CO352" s="399">
        <v>-54648.644800000002</v>
      </c>
      <c r="CP352" s="399">
        <v>0</v>
      </c>
      <c r="CQ352" s="399">
        <v>31</v>
      </c>
      <c r="CR352" s="399">
        <v>-2355.6101285278273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-1713.5394634358308</v>
      </c>
      <c r="DA352" s="399">
        <v>0</v>
      </c>
      <c r="DB352" s="399">
        <v>0</v>
      </c>
      <c r="DC352" s="399">
        <v>0</v>
      </c>
      <c r="DD352" s="399">
        <v>0</v>
      </c>
      <c r="DE352" s="399">
        <v>0</v>
      </c>
      <c r="DF352" s="399">
        <v>0</v>
      </c>
      <c r="DG352" s="399">
        <v>0</v>
      </c>
      <c r="DH352" s="399">
        <v>0</v>
      </c>
      <c r="DI352" s="399">
        <v>-550.70914242389154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-73.775933219542821</v>
      </c>
      <c r="DP352" s="399">
        <v>-17.585589448561166</v>
      </c>
      <c r="DQ352" s="399">
        <v>0</v>
      </c>
      <c r="DR352" s="399">
        <v>0</v>
      </c>
      <c r="DS352" s="399"/>
      <c r="DT352" s="399"/>
      <c r="DU352" s="399"/>
      <c r="DV352" s="399">
        <v>83873.870354355255</v>
      </c>
      <c r="DW352" s="399">
        <v>0</v>
      </c>
      <c r="DX352" s="399">
        <v>0</v>
      </c>
      <c r="DY352" s="399">
        <v>-54648.644800000002</v>
      </c>
      <c r="DZ352" s="399">
        <v>0</v>
      </c>
      <c r="EA352" s="399">
        <v>0</v>
      </c>
      <c r="EB352" s="399">
        <v>0</v>
      </c>
      <c r="EC352" s="399">
        <v>-52293.422082314493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221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352</v>
      </c>
      <c r="B353" s="399" t="s">
        <v>2330</v>
      </c>
      <c r="C353" s="399" t="s">
        <v>2328</v>
      </c>
      <c r="D353" s="399" t="s">
        <v>1824</v>
      </c>
      <c r="E353" s="399" t="s">
        <v>918</v>
      </c>
      <c r="F353" s="399" t="s">
        <v>1239</v>
      </c>
      <c r="G353" s="399" t="s">
        <v>1239</v>
      </c>
      <c r="H353" s="399" t="s">
        <v>1239</v>
      </c>
      <c r="I353" s="399" t="s">
        <v>1239</v>
      </c>
      <c r="J353" s="399" t="s">
        <v>2326</v>
      </c>
      <c r="K353" s="786">
        <v>44682</v>
      </c>
      <c r="L353" s="399">
        <v>0</v>
      </c>
      <c r="M353" s="399">
        <v>0</v>
      </c>
      <c r="N353" s="399">
        <v>4.97</v>
      </c>
      <c r="O353" s="399">
        <v>4.97</v>
      </c>
      <c r="P353" s="399">
        <v>4.97</v>
      </c>
      <c r="Q353" s="399">
        <v>4.97</v>
      </c>
      <c r="R353" s="399"/>
      <c r="S353" s="399">
        <v>825.6</v>
      </c>
      <c r="T353" s="399">
        <v>185.74</v>
      </c>
      <c r="U353" s="399"/>
      <c r="V353" s="399">
        <v>5026.3598000000002</v>
      </c>
      <c r="W353" s="399">
        <v>5026.3598000000002</v>
      </c>
      <c r="X353" s="399">
        <v>3124.6390000000001</v>
      </c>
      <c r="Y353" s="399">
        <v>0</v>
      </c>
      <c r="Z353" s="399">
        <v>309.85547545790769</v>
      </c>
      <c r="AA353" s="399">
        <v>0</v>
      </c>
      <c r="AB353" s="399">
        <v>0</v>
      </c>
      <c r="AC353" s="399">
        <v>0</v>
      </c>
      <c r="AD353" s="399">
        <v>647.74858006828504</v>
      </c>
      <c r="AE353" s="399">
        <v>2918.7308196411259</v>
      </c>
      <c r="AF353" s="399">
        <v>923.14911105418105</v>
      </c>
      <c r="AG353" s="399">
        <v>0</v>
      </c>
      <c r="AH353" s="399">
        <v>0</v>
      </c>
      <c r="AI353" s="399">
        <v>0</v>
      </c>
      <c r="AJ353" s="399">
        <v>0</v>
      </c>
      <c r="AK353" s="399">
        <v>0</v>
      </c>
      <c r="AL353" s="399">
        <v>47.886915255815346</v>
      </c>
      <c r="AM353" s="399"/>
      <c r="AN353" s="399">
        <v>11.783210720887833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167.24298030704071</v>
      </c>
      <c r="BH353" s="399">
        <v>0</v>
      </c>
      <c r="BI353" s="399">
        <v>1.21</v>
      </c>
      <c r="BJ353" s="399">
        <v>6.41</v>
      </c>
      <c r="BK353" s="399">
        <v>2917.93</v>
      </c>
      <c r="BL353" s="399">
        <v>12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1090.3920913612217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3124.6390000000001</v>
      </c>
      <c r="CJ353" s="399">
        <v>-1901.7508000000007</v>
      </c>
      <c r="CK353" s="399"/>
      <c r="CL353" s="399"/>
      <c r="CM353" s="399"/>
      <c r="CN353" s="399"/>
      <c r="CO353" s="399">
        <v>-1901.7208000000001</v>
      </c>
      <c r="CP353" s="399">
        <v>0</v>
      </c>
      <c r="CQ353" s="399">
        <v>31</v>
      </c>
      <c r="CR353" s="399">
        <v>-81.972989348713782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-59.629541613752053</v>
      </c>
      <c r="DA353" s="399">
        <v>0</v>
      </c>
      <c r="DB353" s="399">
        <v>0</v>
      </c>
      <c r="DC353" s="399">
        <v>0</v>
      </c>
      <c r="DD353" s="399">
        <v>0</v>
      </c>
      <c r="DE353" s="399">
        <v>0</v>
      </c>
      <c r="DF353" s="399">
        <v>0</v>
      </c>
      <c r="DG353" s="399">
        <v>0</v>
      </c>
      <c r="DH353" s="399">
        <v>0</v>
      </c>
      <c r="DI353" s="399">
        <v>-19.164153744900943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-2.5673322230858986</v>
      </c>
      <c r="DP353" s="399">
        <v>-0.61196176697485782</v>
      </c>
      <c r="DQ353" s="399">
        <v>0</v>
      </c>
      <c r="DR353" s="399">
        <v>0</v>
      </c>
      <c r="DS353" s="399"/>
      <c r="DT353" s="399"/>
      <c r="DU353" s="399"/>
      <c r="DV353" s="399">
        <v>2918.7308196411259</v>
      </c>
      <c r="DW353" s="399">
        <v>0</v>
      </c>
      <c r="DX353" s="399">
        <v>0</v>
      </c>
      <c r="DY353" s="399">
        <v>-1901.7208000000001</v>
      </c>
      <c r="DZ353" s="399">
        <v>0</v>
      </c>
      <c r="EA353" s="399">
        <v>0</v>
      </c>
      <c r="EB353" s="399">
        <v>0</v>
      </c>
      <c r="EC353" s="399">
        <v>-1819.7612921796879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221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353</v>
      </c>
      <c r="B354" s="399" t="s">
        <v>956</v>
      </c>
      <c r="C354" s="399" t="s">
        <v>2577</v>
      </c>
      <c r="D354" s="399" t="s">
        <v>533</v>
      </c>
      <c r="E354" s="399" t="s">
        <v>918</v>
      </c>
      <c r="F354" s="399" t="s">
        <v>1239</v>
      </c>
      <c r="G354" s="399" t="s">
        <v>1239</v>
      </c>
      <c r="H354" s="399" t="s">
        <v>1239</v>
      </c>
      <c r="I354" s="399" t="s">
        <v>893</v>
      </c>
      <c r="J354" s="399" t="s">
        <v>2326</v>
      </c>
      <c r="K354" s="786">
        <v>44682</v>
      </c>
      <c r="L354" s="399">
        <v>533</v>
      </c>
      <c r="M354" s="399">
        <v>533</v>
      </c>
      <c r="N354" s="399">
        <v>29.103000000000002</v>
      </c>
      <c r="O354" s="399">
        <v>29.103000000000002</v>
      </c>
      <c r="P354" s="399">
        <v>29.103000000000002</v>
      </c>
      <c r="Q354" s="399">
        <v>29.103000000000002</v>
      </c>
      <c r="R354" s="399">
        <v>181.08</v>
      </c>
      <c r="S354" s="399">
        <v>77.900000000000006</v>
      </c>
      <c r="T354" s="399">
        <v>185.74</v>
      </c>
      <c r="U354" s="399">
        <v>96515.64</v>
      </c>
      <c r="V354" s="399">
        <v>7672.7149200000003</v>
      </c>
      <c r="W354" s="399">
        <v>104188.35492</v>
      </c>
      <c r="X354" s="399">
        <v>55219.491160000005</v>
      </c>
      <c r="Y354" s="399">
        <v>0</v>
      </c>
      <c r="Z354" s="399">
        <v>1578.5552907361739</v>
      </c>
      <c r="AA354" s="399">
        <v>0</v>
      </c>
      <c r="AB354" s="399">
        <v>0</v>
      </c>
      <c r="AC354" s="399">
        <v>0</v>
      </c>
      <c r="AD354" s="399">
        <v>21303.166762598841</v>
      </c>
      <c r="AE354" s="399">
        <v>75211.310115191183</v>
      </c>
      <c r="AF354" s="399">
        <v>5405.7160118732054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280.41305728168896</v>
      </c>
      <c r="AM354" s="399"/>
      <c r="AN354" s="399">
        <v>30.14725707000521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378.11123402777235</v>
      </c>
      <c r="BH354" s="399">
        <v>0</v>
      </c>
      <c r="BI354" s="399">
        <v>0</v>
      </c>
      <c r="BJ354" s="399">
        <v>0</v>
      </c>
      <c r="BK354" s="399">
        <v>0</v>
      </c>
      <c r="BL354" s="399">
        <v>0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5783.8272459009777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55218.712</v>
      </c>
      <c r="CJ354" s="399">
        <v>-48969.672919999983</v>
      </c>
      <c r="CK354" s="399"/>
      <c r="CL354" s="399"/>
      <c r="CM354" s="399"/>
      <c r="CN354" s="399"/>
      <c r="CO354" s="399">
        <v>-48968.863760000007</v>
      </c>
      <c r="CP354" s="399">
        <v>0</v>
      </c>
      <c r="CQ354" s="399">
        <v>31</v>
      </c>
      <c r="CR354" s="399">
        <v>-2075.3283041229442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-1961.0974196828174</v>
      </c>
      <c r="DA354" s="399">
        <v>0</v>
      </c>
      <c r="DB354" s="399">
        <v>0</v>
      </c>
      <c r="DC354" s="399">
        <v>0</v>
      </c>
      <c r="DD354" s="399">
        <v>0</v>
      </c>
      <c r="DE354" s="399">
        <v>0</v>
      </c>
      <c r="DF354" s="399">
        <v>0</v>
      </c>
      <c r="DG354" s="399">
        <v>0</v>
      </c>
      <c r="DH354" s="399">
        <v>0</v>
      </c>
      <c r="DI354" s="399">
        <v>-97.631569175236791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-15.033615631482689</v>
      </c>
      <c r="DP354" s="399">
        <v>-1.5656996334030531</v>
      </c>
      <c r="DQ354" s="399">
        <v>0</v>
      </c>
      <c r="DR354" s="399">
        <v>0</v>
      </c>
      <c r="DS354" s="399"/>
      <c r="DT354" s="399"/>
      <c r="DU354" s="399">
        <v>75211.310115191183</v>
      </c>
      <c r="DV354" s="399">
        <v>0</v>
      </c>
      <c r="DW354" s="399">
        <v>0</v>
      </c>
      <c r="DX354" s="399">
        <v>0</v>
      </c>
      <c r="DY354" s="399">
        <v>-48968.863759999993</v>
      </c>
      <c r="DZ354" s="399">
        <v>0</v>
      </c>
      <c r="EA354" s="399">
        <v>0</v>
      </c>
      <c r="EB354" s="399">
        <v>0</v>
      </c>
      <c r="EC354" s="399">
        <v>-46892.515733457098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221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354</v>
      </c>
      <c r="B355" s="399" t="s">
        <v>956</v>
      </c>
      <c r="C355" s="399" t="s">
        <v>2577</v>
      </c>
      <c r="D355" s="399" t="s">
        <v>533</v>
      </c>
      <c r="E355" s="399" t="s">
        <v>918</v>
      </c>
      <c r="F355" s="399" t="s">
        <v>1239</v>
      </c>
      <c r="G355" s="399" t="s">
        <v>1239</v>
      </c>
      <c r="H355" s="399" t="s">
        <v>1239</v>
      </c>
      <c r="I355" s="399" t="s">
        <v>2323</v>
      </c>
      <c r="J355" s="399" t="s">
        <v>2326</v>
      </c>
      <c r="K355" s="786">
        <v>44682</v>
      </c>
      <c r="L355" s="399">
        <v>527</v>
      </c>
      <c r="M355" s="399">
        <v>527</v>
      </c>
      <c r="N355" s="399">
        <v>299.13900000000001</v>
      </c>
      <c r="O355" s="399">
        <v>299.13900000000001</v>
      </c>
      <c r="P355" s="399">
        <v>299.13900000000001</v>
      </c>
      <c r="Q355" s="399">
        <v>299.13900000000001</v>
      </c>
      <c r="R355" s="399">
        <v>55.59</v>
      </c>
      <c r="S355" s="399">
        <v>77.900000000000006</v>
      </c>
      <c r="T355" s="399">
        <v>185.74</v>
      </c>
      <c r="U355" s="399">
        <v>29295.93</v>
      </c>
      <c r="V355" s="399">
        <v>78865.00596000001</v>
      </c>
      <c r="W355" s="399">
        <v>108160.93596</v>
      </c>
      <c r="X355" s="399">
        <v>93244.151080000011</v>
      </c>
      <c r="Y355" s="399">
        <v>0</v>
      </c>
      <c r="Z355" s="399">
        <v>16225.387455435121</v>
      </c>
      <c r="AA355" s="399">
        <v>0</v>
      </c>
      <c r="AB355" s="399">
        <v>0</v>
      </c>
      <c r="AC355" s="399">
        <v>0</v>
      </c>
      <c r="AD355" s="399">
        <v>8513.5115262378458</v>
      </c>
      <c r="AE355" s="399">
        <v>20779.99109296907</v>
      </c>
      <c r="AF355" s="399">
        <v>55563.360549625082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2882.2623627181788</v>
      </c>
      <c r="AM355" s="399"/>
      <c r="AN355" s="399">
        <v>309.87253316373875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3886.4658776014085</v>
      </c>
      <c r="BH355" s="399">
        <v>0</v>
      </c>
      <c r="BI355" s="399">
        <v>0</v>
      </c>
      <c r="BJ355" s="399">
        <v>0</v>
      </c>
      <c r="BK355" s="399">
        <v>0</v>
      </c>
      <c r="BL355" s="399">
        <v>0</v>
      </c>
      <c r="BM355" s="399"/>
      <c r="BN355" s="399"/>
      <c r="BO355" s="399"/>
      <c r="BP355" s="399"/>
      <c r="BQ355" s="399"/>
      <c r="BR355" s="399"/>
      <c r="BS355" s="399"/>
      <c r="BT355" s="399"/>
      <c r="BU355" s="399"/>
      <c r="BV355" s="399">
        <v>59449.826427226493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93244.410799999998</v>
      </c>
      <c r="CJ355" s="399">
        <v>-14916.555160000004</v>
      </c>
      <c r="CK355" s="399"/>
      <c r="CL355" s="399"/>
      <c r="CM355" s="399"/>
      <c r="CN355" s="399"/>
      <c r="CO355" s="399">
        <v>-14916.784880000003</v>
      </c>
      <c r="CP355" s="399">
        <v>0</v>
      </c>
      <c r="CQ355" s="399">
        <v>31</v>
      </c>
      <c r="CR355" s="399">
        <v>-1957.8621702056262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-783.7250523643952</v>
      </c>
      <c r="DA355" s="399">
        <v>0</v>
      </c>
      <c r="DB355" s="399">
        <v>0</v>
      </c>
      <c r="DC355" s="399">
        <v>0</v>
      </c>
      <c r="DD355" s="399">
        <v>0</v>
      </c>
      <c r="DE355" s="399">
        <v>0</v>
      </c>
      <c r="DF355" s="399">
        <v>0</v>
      </c>
      <c r="DG355" s="399">
        <v>0</v>
      </c>
      <c r="DH355" s="399">
        <v>0</v>
      </c>
      <c r="DI355" s="399">
        <v>-1003.5188802360972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-154.52498870859017</v>
      </c>
      <c r="DP355" s="399">
        <v>-16.093248896558976</v>
      </c>
      <c r="DQ355" s="399">
        <v>0</v>
      </c>
      <c r="DR355" s="399">
        <v>0</v>
      </c>
      <c r="DS355" s="399"/>
      <c r="DT355" s="399"/>
      <c r="DU355" s="399">
        <v>20779.99109296907</v>
      </c>
      <c r="DV355" s="399">
        <v>0</v>
      </c>
      <c r="DW355" s="399">
        <v>0</v>
      </c>
      <c r="DX355" s="399">
        <v>0</v>
      </c>
      <c r="DY355" s="399">
        <v>-14916.784879999992</v>
      </c>
      <c r="DZ355" s="399">
        <v>0</v>
      </c>
      <c r="EA355" s="399">
        <v>0</v>
      </c>
      <c r="EB355" s="399">
        <v>0</v>
      </c>
      <c r="EC355" s="399">
        <v>-12955.844776214497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221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355</v>
      </c>
      <c r="B356" s="399" t="s">
        <v>956</v>
      </c>
      <c r="C356" s="399" t="s">
        <v>2577</v>
      </c>
      <c r="D356" s="399" t="s">
        <v>533</v>
      </c>
      <c r="E356" s="399" t="s">
        <v>918</v>
      </c>
      <c r="F356" s="399" t="s">
        <v>1239</v>
      </c>
      <c r="G356" s="399" t="s">
        <v>1239</v>
      </c>
      <c r="H356" s="399" t="s">
        <v>1239</v>
      </c>
      <c r="I356" s="399" t="s">
        <v>1239</v>
      </c>
      <c r="J356" s="399" t="s">
        <v>2326</v>
      </c>
      <c r="K356" s="786">
        <v>44682</v>
      </c>
      <c r="L356" s="399">
        <v>0</v>
      </c>
      <c r="M356" s="399">
        <v>0</v>
      </c>
      <c r="N356" s="399">
        <v>0</v>
      </c>
      <c r="O356" s="399">
        <v>0</v>
      </c>
      <c r="P356" s="399">
        <v>0</v>
      </c>
      <c r="Q356" s="399">
        <v>0</v>
      </c>
      <c r="R356" s="399"/>
      <c r="S356" s="399"/>
      <c r="T356" s="399"/>
      <c r="U356" s="399"/>
      <c r="V356" s="399"/>
      <c r="W356" s="399"/>
      <c r="X356" s="399"/>
      <c r="Y356" s="399"/>
      <c r="Z356" s="399"/>
      <c r="AA356" s="399">
        <v>0</v>
      </c>
      <c r="AB356" s="399"/>
      <c r="AC356" s="399"/>
      <c r="AD356" s="399"/>
      <c r="AE356" s="399"/>
      <c r="AF356" s="399"/>
      <c r="AG356" s="399"/>
      <c r="AH356" s="399"/>
      <c r="AI356" s="399"/>
      <c r="AJ356" s="399"/>
      <c r="AK356" s="399"/>
      <c r="AL356" s="399"/>
      <c r="AM356" s="399"/>
      <c r="AN356" s="399"/>
      <c r="AO356" s="399"/>
      <c r="AP356" s="399"/>
      <c r="AQ356" s="399"/>
      <c r="AR356" s="399"/>
      <c r="AS356" s="399"/>
      <c r="AT356" s="399"/>
      <c r="AU356" s="399"/>
      <c r="AV356" s="399"/>
      <c r="AW356" s="399"/>
      <c r="AX356" s="399"/>
      <c r="AY356" s="399"/>
      <c r="AZ356" s="399">
        <v>0</v>
      </c>
      <c r="BA356" s="399"/>
      <c r="BB356" s="399"/>
      <c r="BC356" s="399"/>
      <c r="BD356" s="399"/>
      <c r="BE356" s="399"/>
      <c r="BF356" s="399"/>
      <c r="BG356" s="399"/>
      <c r="BH356" s="399"/>
      <c r="BI356" s="399">
        <v>59.52</v>
      </c>
      <c r="BJ356" s="399">
        <v>297.64</v>
      </c>
      <c r="BK356" s="399">
        <v>49577.35</v>
      </c>
      <c r="BL356" s="399">
        <v>1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/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/>
      <c r="CJ356" s="399">
        <v>-0.03</v>
      </c>
      <c r="CK356" s="399"/>
      <c r="CL356" s="399"/>
      <c r="CM356" s="399"/>
      <c r="CN356" s="399"/>
      <c r="CO356" s="399">
        <v>0</v>
      </c>
      <c r="CP356" s="399">
        <v>0</v>
      </c>
      <c r="CQ356" s="399">
        <v>31</v>
      </c>
      <c r="CR356" s="399"/>
      <c r="CS356" s="399"/>
      <c r="CT356" s="399"/>
      <c r="CU356" s="399"/>
      <c r="CV356" s="399"/>
      <c r="CW356" s="399"/>
      <c r="CX356" s="399"/>
      <c r="CY356" s="399"/>
      <c r="CZ356" s="399"/>
      <c r="DA356" s="399"/>
      <c r="DB356" s="399"/>
      <c r="DC356" s="399"/>
      <c r="DD356" s="399"/>
      <c r="DE356" s="399"/>
      <c r="DF356" s="399"/>
      <c r="DG356" s="399"/>
      <c r="DH356" s="399"/>
      <c r="DI356" s="399"/>
      <c r="DJ356" s="399"/>
      <c r="DK356" s="399">
        <v>0</v>
      </c>
      <c r="DL356" s="399"/>
      <c r="DM356" s="399"/>
      <c r="DN356" s="399"/>
      <c r="DO356" s="399"/>
      <c r="DP356" s="399"/>
      <c r="DQ356" s="399"/>
      <c r="DR356" s="399"/>
      <c r="DS356" s="399"/>
      <c r="DT356" s="399"/>
      <c r="DU356" s="399"/>
      <c r="DV356" s="399"/>
      <c r="DW356" s="399"/>
      <c r="DX356" s="399"/>
      <c r="DY356" s="399"/>
      <c r="DZ356" s="399"/>
      <c r="EA356" s="399"/>
      <c r="EB356" s="399"/>
      <c r="EC356" s="399"/>
      <c r="ED356" s="399"/>
      <c r="EE356" s="399"/>
      <c r="EF356" s="399"/>
      <c r="EG356" s="399"/>
      <c r="EH356" s="399"/>
      <c r="EI356" s="399"/>
      <c r="EJ356" s="399"/>
      <c r="EK356" s="399"/>
      <c r="EL356" s="399"/>
      <c r="EM356" s="399"/>
      <c r="EN356" s="399"/>
      <c r="EO356" s="399"/>
      <c r="EP356" s="399"/>
      <c r="EQ356" s="399"/>
      <c r="ER356" s="399"/>
      <c r="ES356" s="399"/>
      <c r="ET356" s="399"/>
      <c r="EU356" s="399"/>
      <c r="EV356" s="399">
        <v>221</v>
      </c>
      <c r="EW356" s="399"/>
      <c r="EX356" s="399"/>
      <c r="EY356" s="399"/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356</v>
      </c>
      <c r="B357" s="399" t="s">
        <v>956</v>
      </c>
      <c r="C357" s="399" t="s">
        <v>2325</v>
      </c>
      <c r="D357" s="399" t="s">
        <v>533</v>
      </c>
      <c r="E357" s="399" t="s">
        <v>918</v>
      </c>
      <c r="F357" s="399" t="s">
        <v>1239</v>
      </c>
      <c r="G357" s="399" t="s">
        <v>1239</v>
      </c>
      <c r="H357" s="399" t="s">
        <v>1239</v>
      </c>
      <c r="I357" s="399" t="s">
        <v>893</v>
      </c>
      <c r="J357" s="399" t="s">
        <v>2326</v>
      </c>
      <c r="K357" s="786">
        <v>44682</v>
      </c>
      <c r="L357" s="399">
        <v>0</v>
      </c>
      <c r="M357" s="399">
        <v>0</v>
      </c>
      <c r="N357" s="399">
        <v>6.93</v>
      </c>
      <c r="O357" s="399">
        <v>6.93</v>
      </c>
      <c r="P357" s="399">
        <v>6.93</v>
      </c>
      <c r="Q357" s="399">
        <v>6.93</v>
      </c>
      <c r="R357" s="399"/>
      <c r="S357" s="399">
        <v>4433.21</v>
      </c>
      <c r="T357" s="399">
        <v>185.74</v>
      </c>
      <c r="U357" s="399"/>
      <c r="V357" s="399">
        <v>32009.323499999999</v>
      </c>
      <c r="W357" s="399">
        <v>32009.323499999999</v>
      </c>
      <c r="X357" s="399">
        <v>16705.596600000001</v>
      </c>
      <c r="Y357" s="399">
        <v>0</v>
      </c>
      <c r="Z357" s="399">
        <v>375.88524086182468</v>
      </c>
      <c r="AA357" s="399">
        <v>0</v>
      </c>
      <c r="AB357" s="399">
        <v>0</v>
      </c>
      <c r="AC357" s="399">
        <v>0</v>
      </c>
      <c r="AD357" s="399">
        <v>6664.0472162501173</v>
      </c>
      <c r="AE357" s="399">
        <v>23518.227046113054</v>
      </c>
      <c r="AF357" s="399">
        <v>1287.2079154135763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66.771895920080553</v>
      </c>
      <c r="AM357" s="399"/>
      <c r="AN357" s="399">
        <v>7.1786582653037865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90.035764416467785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1377.2436798300441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16705.596600000001</v>
      </c>
      <c r="CJ357" s="399">
        <v>-15303.756899999993</v>
      </c>
      <c r="CK357" s="399"/>
      <c r="CL357" s="399"/>
      <c r="CM357" s="399"/>
      <c r="CN357" s="399"/>
      <c r="CO357" s="399">
        <v>-15303.7269</v>
      </c>
      <c r="CP357" s="399">
        <v>0</v>
      </c>
      <c r="CQ357" s="399">
        <v>31</v>
      </c>
      <c r="CR357" s="399">
        <v>-640.67026177273056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-613.4696285332011</v>
      </c>
      <c r="DA357" s="399">
        <v>0</v>
      </c>
      <c r="DB357" s="399">
        <v>0</v>
      </c>
      <c r="DC357" s="399">
        <v>0</v>
      </c>
      <c r="DD357" s="399">
        <v>0</v>
      </c>
      <c r="DE357" s="399">
        <v>0</v>
      </c>
      <c r="DF357" s="399">
        <v>0</v>
      </c>
      <c r="DG357" s="399">
        <v>0</v>
      </c>
      <c r="DH357" s="399">
        <v>0</v>
      </c>
      <c r="DI357" s="399">
        <v>-23.248007916173265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-3.5798012688099092</v>
      </c>
      <c r="DP357" s="399">
        <v>-0.37282405454706247</v>
      </c>
      <c r="DQ357" s="399">
        <v>0</v>
      </c>
      <c r="DR357" s="399">
        <v>0</v>
      </c>
      <c r="DS357" s="399"/>
      <c r="DT357" s="399"/>
      <c r="DU357" s="399"/>
      <c r="DV357" s="399">
        <v>23518.227046113054</v>
      </c>
      <c r="DW357" s="399">
        <v>0</v>
      </c>
      <c r="DX357" s="399">
        <v>0</v>
      </c>
      <c r="DY357" s="399">
        <v>-15303.7269</v>
      </c>
      <c r="DZ357" s="399">
        <v>0</v>
      </c>
      <c r="EA357" s="399">
        <v>0</v>
      </c>
      <c r="EB357" s="399">
        <v>0</v>
      </c>
      <c r="EC357" s="399">
        <v>-14663.071685545876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221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357</v>
      </c>
      <c r="B358" s="399" t="s">
        <v>2329</v>
      </c>
      <c r="C358" s="399" t="s">
        <v>2325</v>
      </c>
      <c r="D358" s="399" t="s">
        <v>533</v>
      </c>
      <c r="E358" s="399" t="s">
        <v>918</v>
      </c>
      <c r="F358" s="399" t="s">
        <v>1239</v>
      </c>
      <c r="G358" s="399" t="s">
        <v>1239</v>
      </c>
      <c r="H358" s="399" t="s">
        <v>1239</v>
      </c>
      <c r="I358" s="399" t="s">
        <v>893</v>
      </c>
      <c r="J358" s="399" t="s">
        <v>2326</v>
      </c>
      <c r="K358" s="786">
        <v>44682</v>
      </c>
      <c r="L358" s="399">
        <v>0</v>
      </c>
      <c r="M358" s="399">
        <v>0</v>
      </c>
      <c r="N358" s="399">
        <v>-1.45</v>
      </c>
      <c r="O358" s="399">
        <v>-1.45</v>
      </c>
      <c r="P358" s="399">
        <v>-1.45</v>
      </c>
      <c r="Q358" s="399">
        <v>-1.45</v>
      </c>
      <c r="R358" s="399"/>
      <c r="S358" s="399">
        <v>4433.21</v>
      </c>
      <c r="T358" s="399">
        <v>185.74</v>
      </c>
      <c r="U358" s="399"/>
      <c r="V358" s="399">
        <v>-6697.4775</v>
      </c>
      <c r="W358" s="399">
        <v>-6697.4775</v>
      </c>
      <c r="X358" s="399">
        <v>-3495.3989999999999</v>
      </c>
      <c r="Y358" s="399">
        <v>0</v>
      </c>
      <c r="Z358" s="399">
        <v>-78.648427020150905</v>
      </c>
      <c r="AA358" s="399">
        <v>0</v>
      </c>
      <c r="AB358" s="399">
        <v>0</v>
      </c>
      <c r="AC358" s="399">
        <v>0</v>
      </c>
      <c r="AD358" s="399">
        <v>-1394.3533136454071</v>
      </c>
      <c r="AE358" s="399">
        <v>-4920.8411568346219</v>
      </c>
      <c r="AF358" s="399">
        <v>-269.32921751077714</v>
      </c>
      <c r="AG358" s="399">
        <v>0</v>
      </c>
      <c r="AH358" s="399">
        <v>0</v>
      </c>
      <c r="AI358" s="399">
        <v>0</v>
      </c>
      <c r="AJ358" s="399">
        <v>0</v>
      </c>
      <c r="AK358" s="399">
        <v>0</v>
      </c>
      <c r="AL358" s="399">
        <v>-13.971031613869668</v>
      </c>
      <c r="AM358" s="399"/>
      <c r="AN358" s="399">
        <v>-1.5020280641689019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-18.838652006331646</v>
      </c>
      <c r="BH358" s="399">
        <v>0</v>
      </c>
      <c r="BI358" s="399">
        <v>0</v>
      </c>
      <c r="BJ358" s="399">
        <v>0</v>
      </c>
      <c r="BK358" s="399">
        <v>0</v>
      </c>
      <c r="BL358" s="399">
        <v>0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>
        <v>-288.16786951710878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-3495.3989999999999</v>
      </c>
      <c r="CJ358" s="399">
        <v>3202.0484999999994</v>
      </c>
      <c r="CK358" s="399"/>
      <c r="CL358" s="399"/>
      <c r="CM358" s="399"/>
      <c r="CN358" s="399"/>
      <c r="CO358" s="399">
        <v>3202.0784999999996</v>
      </c>
      <c r="CP358" s="399">
        <v>0</v>
      </c>
      <c r="CQ358" s="399">
        <v>31</v>
      </c>
      <c r="CR358" s="399">
        <v>134.05077627279366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128.35944608559066</v>
      </c>
      <c r="DA358" s="399">
        <v>0</v>
      </c>
      <c r="DB358" s="399">
        <v>0</v>
      </c>
      <c r="DC358" s="399">
        <v>0</v>
      </c>
      <c r="DD358" s="399">
        <v>0</v>
      </c>
      <c r="DE358" s="399">
        <v>0</v>
      </c>
      <c r="DF358" s="399">
        <v>0</v>
      </c>
      <c r="DG358" s="399">
        <v>0</v>
      </c>
      <c r="DH358" s="399">
        <v>0</v>
      </c>
      <c r="DI358" s="399">
        <v>4.8643018006423091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0.7490204674999088</v>
      </c>
      <c r="DP358" s="399">
        <v>7.8007919061073627E-2</v>
      </c>
      <c r="DQ358" s="399">
        <v>0</v>
      </c>
      <c r="DR358" s="399">
        <v>0</v>
      </c>
      <c r="DS358" s="399"/>
      <c r="DT358" s="399"/>
      <c r="DU358" s="399"/>
      <c r="DV358" s="399">
        <v>-4920.8411568346219</v>
      </c>
      <c r="DW358" s="399">
        <v>0</v>
      </c>
      <c r="DX358" s="399">
        <v>0</v>
      </c>
      <c r="DY358" s="399">
        <v>3202.0784999999996</v>
      </c>
      <c r="DZ358" s="399">
        <v>0</v>
      </c>
      <c r="EA358" s="399">
        <v>0</v>
      </c>
      <c r="EB358" s="399">
        <v>0</v>
      </c>
      <c r="EC358" s="399">
        <v>3068.0308721560641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221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358</v>
      </c>
      <c r="B359" s="399" t="s">
        <v>956</v>
      </c>
      <c r="C359" s="399" t="s">
        <v>2325</v>
      </c>
      <c r="D359" s="399" t="s">
        <v>533</v>
      </c>
      <c r="E359" s="399" t="s">
        <v>918</v>
      </c>
      <c r="F359" s="399" t="s">
        <v>1239</v>
      </c>
      <c r="G359" s="399" t="s">
        <v>1239</v>
      </c>
      <c r="H359" s="399" t="s">
        <v>1239</v>
      </c>
      <c r="I359" s="399" t="s">
        <v>2323</v>
      </c>
      <c r="J359" s="399" t="s">
        <v>2326</v>
      </c>
      <c r="K359" s="786">
        <v>44682</v>
      </c>
      <c r="L359" s="399">
        <v>0</v>
      </c>
      <c r="M359" s="399">
        <v>0</v>
      </c>
      <c r="N359" s="399">
        <v>411.096</v>
      </c>
      <c r="O359" s="399">
        <v>411.096</v>
      </c>
      <c r="P359" s="399">
        <v>411.096</v>
      </c>
      <c r="Q359" s="399">
        <v>411.096</v>
      </c>
      <c r="R359" s="399"/>
      <c r="S359" s="399">
        <v>77.900000000000006</v>
      </c>
      <c r="T359" s="399">
        <v>185.74</v>
      </c>
      <c r="U359" s="399"/>
      <c r="V359" s="399">
        <v>108381.34944000001</v>
      </c>
      <c r="W359" s="399">
        <v>108381.34944000001</v>
      </c>
      <c r="X359" s="399">
        <v>106769.85312000001</v>
      </c>
      <c r="Y359" s="399">
        <v>0</v>
      </c>
      <c r="Z359" s="399">
        <v>22297.968106397213</v>
      </c>
      <c r="AA359" s="399">
        <v>0</v>
      </c>
      <c r="AB359" s="399">
        <v>0</v>
      </c>
      <c r="AC359" s="399">
        <v>0</v>
      </c>
      <c r="AD359" s="399">
        <v>0</v>
      </c>
      <c r="AE359" s="399">
        <v>0</v>
      </c>
      <c r="AF359" s="399">
        <v>76358.73379435204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3960.9898016105967</v>
      </c>
      <c r="AM359" s="399"/>
      <c r="AN359" s="399">
        <v>425.84670970177859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5341.0306794447679</v>
      </c>
      <c r="BH359" s="399">
        <v>0</v>
      </c>
      <c r="BI359" s="399">
        <v>0</v>
      </c>
      <c r="BJ359" s="399">
        <v>0</v>
      </c>
      <c r="BK359" s="399">
        <v>0</v>
      </c>
      <c r="BL359" s="399">
        <v>0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>
        <v>81699.764473796808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106770.89200000001</v>
      </c>
      <c r="CJ359" s="399">
        <v>-1610.4874399999972</v>
      </c>
      <c r="CK359" s="399"/>
      <c r="CL359" s="399"/>
      <c r="CM359" s="399"/>
      <c r="CN359" s="399"/>
      <c r="CO359" s="399">
        <v>-1611.4963200000007</v>
      </c>
      <c r="CP359" s="399">
        <v>0</v>
      </c>
      <c r="CQ359" s="399">
        <v>31</v>
      </c>
      <c r="CR359" s="399">
        <v>-1613.5745342334703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0</v>
      </c>
      <c r="DA359" s="399">
        <v>0</v>
      </c>
      <c r="DB359" s="399">
        <v>0</v>
      </c>
      <c r="DC359" s="399">
        <v>0</v>
      </c>
      <c r="DD359" s="399">
        <v>0</v>
      </c>
      <c r="DE359" s="399">
        <v>0</v>
      </c>
      <c r="DF359" s="399">
        <v>0</v>
      </c>
      <c r="DG359" s="399">
        <v>0</v>
      </c>
      <c r="DH359" s="399">
        <v>0</v>
      </c>
      <c r="DI359" s="399">
        <v>-1379.1000089909321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-212.35815041885689</v>
      </c>
      <c r="DP359" s="399">
        <v>-22.116374823676665</v>
      </c>
      <c r="DQ359" s="399">
        <v>0</v>
      </c>
      <c r="DR359" s="399">
        <v>0</v>
      </c>
      <c r="DS359" s="399"/>
      <c r="DT359" s="399"/>
      <c r="DU359" s="399"/>
      <c r="DV359" s="399">
        <v>0</v>
      </c>
      <c r="DW359" s="399">
        <v>0</v>
      </c>
      <c r="DX359" s="399">
        <v>0</v>
      </c>
      <c r="DY359" s="399">
        <v>-1611.4963199999984</v>
      </c>
      <c r="DZ359" s="399">
        <v>0</v>
      </c>
      <c r="EA359" s="399">
        <v>0</v>
      </c>
      <c r="EB359" s="399">
        <v>0</v>
      </c>
      <c r="EC359" s="399">
        <v>0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221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359</v>
      </c>
      <c r="B360" s="399" t="s">
        <v>2329</v>
      </c>
      <c r="C360" s="399" t="s">
        <v>2325</v>
      </c>
      <c r="D360" s="399" t="s">
        <v>533</v>
      </c>
      <c r="E360" s="399" t="s">
        <v>918</v>
      </c>
      <c r="F360" s="399" t="s">
        <v>1239</v>
      </c>
      <c r="G360" s="399" t="s">
        <v>1239</v>
      </c>
      <c r="H360" s="399" t="s">
        <v>1239</v>
      </c>
      <c r="I360" s="399" t="s">
        <v>2323</v>
      </c>
      <c r="J360" s="399" t="s">
        <v>2326</v>
      </c>
      <c r="K360" s="786">
        <v>44682</v>
      </c>
      <c r="L360" s="399">
        <v>0</v>
      </c>
      <c r="M360" s="399">
        <v>0</v>
      </c>
      <c r="N360" s="399">
        <v>-21.530999999999999</v>
      </c>
      <c r="O360" s="399">
        <v>-21.530999999999999</v>
      </c>
      <c r="P360" s="399">
        <v>-21.530999999999999</v>
      </c>
      <c r="Q360" s="399">
        <v>-21.530999999999999</v>
      </c>
      <c r="R360" s="399"/>
      <c r="S360" s="399">
        <v>77.900000000000006</v>
      </c>
      <c r="T360" s="399">
        <v>185.74</v>
      </c>
      <c r="U360" s="399"/>
      <c r="V360" s="399">
        <v>-5676.4328399999995</v>
      </c>
      <c r="W360" s="399">
        <v>-5676.4328399999995</v>
      </c>
      <c r="X360" s="399">
        <v>-5592.0313200000001</v>
      </c>
      <c r="Y360" s="399">
        <v>0</v>
      </c>
      <c r="Z360" s="399">
        <v>-1167.8477808074961</v>
      </c>
      <c r="AA360" s="399">
        <v>0</v>
      </c>
      <c r="AB360" s="399">
        <v>0</v>
      </c>
      <c r="AC360" s="399">
        <v>0</v>
      </c>
      <c r="AD360" s="399">
        <v>0</v>
      </c>
      <c r="AE360" s="399">
        <v>0</v>
      </c>
      <c r="AF360" s="399">
        <v>-3999.2602636031329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-207.45536667463989</v>
      </c>
      <c r="AM360" s="399"/>
      <c r="AN360" s="399">
        <v>-22.303562930772845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-279.7344940333287</v>
      </c>
      <c r="BH360" s="399">
        <v>0</v>
      </c>
      <c r="BI360" s="399">
        <v>0</v>
      </c>
      <c r="BJ360" s="399">
        <v>0</v>
      </c>
      <c r="BK360" s="399">
        <v>0</v>
      </c>
      <c r="BL360" s="399">
        <v>0</v>
      </c>
      <c r="BM360" s="399"/>
      <c r="BN360" s="399"/>
      <c r="BO360" s="399"/>
      <c r="BP360" s="399"/>
      <c r="BQ360" s="399"/>
      <c r="BR360" s="399"/>
      <c r="BS360" s="399"/>
      <c r="BT360" s="399"/>
      <c r="BU360" s="399"/>
      <c r="BV360" s="399">
        <v>-4278.9947576364611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-5591.7716</v>
      </c>
      <c r="CJ360" s="399">
        <v>84.631239999999707</v>
      </c>
      <c r="CK360" s="399"/>
      <c r="CL360" s="399"/>
      <c r="CM360" s="399"/>
      <c r="CN360" s="399"/>
      <c r="CO360" s="399">
        <v>84.401520000000033</v>
      </c>
      <c r="CP360" s="399">
        <v>0</v>
      </c>
      <c r="CQ360" s="399">
        <v>31</v>
      </c>
      <c r="CR360" s="399">
        <v>84.510365697017733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0</v>
      </c>
      <c r="DA360" s="399">
        <v>0</v>
      </c>
      <c r="DB360" s="399">
        <v>0</v>
      </c>
      <c r="DC360" s="399">
        <v>0</v>
      </c>
      <c r="DD360" s="399">
        <v>0</v>
      </c>
      <c r="DE360" s="399">
        <v>0</v>
      </c>
      <c r="DF360" s="399">
        <v>0</v>
      </c>
      <c r="DG360" s="399">
        <v>0</v>
      </c>
      <c r="DH360" s="399">
        <v>0</v>
      </c>
      <c r="DI360" s="399">
        <v>72.22984970319294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11.122179093614164</v>
      </c>
      <c r="DP360" s="399">
        <v>1.1583369002096404</v>
      </c>
      <c r="DQ360" s="399">
        <v>0</v>
      </c>
      <c r="DR360" s="399">
        <v>0</v>
      </c>
      <c r="DS360" s="399"/>
      <c r="DT360" s="399"/>
      <c r="DU360" s="399"/>
      <c r="DV360" s="399">
        <v>0</v>
      </c>
      <c r="DW360" s="399">
        <v>0</v>
      </c>
      <c r="DX360" s="399">
        <v>0</v>
      </c>
      <c r="DY360" s="399">
        <v>84.401520000000119</v>
      </c>
      <c r="DZ360" s="399">
        <v>0</v>
      </c>
      <c r="EA360" s="399">
        <v>0</v>
      </c>
      <c r="EB360" s="399">
        <v>0</v>
      </c>
      <c r="EC360" s="399">
        <v>0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221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360</v>
      </c>
      <c r="B361" s="399" t="s">
        <v>956</v>
      </c>
      <c r="C361" s="399" t="s">
        <v>2325</v>
      </c>
      <c r="D361" s="399" t="s">
        <v>533</v>
      </c>
      <c r="E361" s="399" t="s">
        <v>918</v>
      </c>
      <c r="F361" s="399" t="s">
        <v>1239</v>
      </c>
      <c r="G361" s="399" t="s">
        <v>1239</v>
      </c>
      <c r="H361" s="399" t="s">
        <v>1239</v>
      </c>
      <c r="I361" s="399" t="s">
        <v>1239</v>
      </c>
      <c r="J361" s="399" t="s">
        <v>2326</v>
      </c>
      <c r="K361" s="786">
        <v>44682</v>
      </c>
      <c r="L361" s="399">
        <v>1530</v>
      </c>
      <c r="M361" s="399">
        <v>1530</v>
      </c>
      <c r="N361" s="399">
        <v>0</v>
      </c>
      <c r="O361" s="399">
        <v>0</v>
      </c>
      <c r="P361" s="399">
        <v>0</v>
      </c>
      <c r="Q361" s="399">
        <v>0</v>
      </c>
      <c r="R361" s="399">
        <v>55.59</v>
      </c>
      <c r="S361" s="399"/>
      <c r="T361" s="399"/>
      <c r="U361" s="399">
        <v>85052.700000000012</v>
      </c>
      <c r="V361" s="399"/>
      <c r="W361" s="399">
        <v>85052.700000000012</v>
      </c>
      <c r="X361" s="399">
        <v>45150.3</v>
      </c>
      <c r="Y361" s="399">
        <v>0</v>
      </c>
      <c r="Z361" s="399">
        <v>0</v>
      </c>
      <c r="AA361" s="399">
        <v>0</v>
      </c>
      <c r="AB361" s="399">
        <v>0</v>
      </c>
      <c r="AC361" s="399">
        <v>0</v>
      </c>
      <c r="AD361" s="399">
        <v>24716.646366496974</v>
      </c>
      <c r="AE361" s="399">
        <v>60329.00639894246</v>
      </c>
      <c r="AF361" s="399"/>
      <c r="AG361" s="399"/>
      <c r="AH361" s="399"/>
      <c r="AI361" s="399">
        <v>0</v>
      </c>
      <c r="AJ361" s="399">
        <v>0</v>
      </c>
      <c r="AK361" s="399">
        <v>0</v>
      </c>
      <c r="AL361" s="399">
        <v>0</v>
      </c>
      <c r="AM361" s="399"/>
      <c r="AN361" s="399">
        <v>0</v>
      </c>
      <c r="AO361" s="399">
        <v>0</v>
      </c>
      <c r="AP361" s="399">
        <v>0</v>
      </c>
      <c r="AQ361" s="399">
        <v>0</v>
      </c>
      <c r="AR361" s="399">
        <v>0</v>
      </c>
      <c r="AS361" s="399"/>
      <c r="AT361" s="399"/>
      <c r="AU361" s="399">
        <v>0</v>
      </c>
      <c r="AV361" s="399">
        <v>0</v>
      </c>
      <c r="AW361" s="399">
        <v>0</v>
      </c>
      <c r="AX361" s="399"/>
      <c r="AY361" s="399"/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/>
      <c r="BG361" s="399">
        <v>0</v>
      </c>
      <c r="BH361" s="399">
        <v>0</v>
      </c>
      <c r="BI361" s="399">
        <v>71.959999999999994</v>
      </c>
      <c r="BJ361" s="399">
        <v>352.95</v>
      </c>
      <c r="BK361" s="399">
        <v>59181.68</v>
      </c>
      <c r="BL361" s="399">
        <v>6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0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45150.3</v>
      </c>
      <c r="CJ361" s="399">
        <v>-39902.429999999993</v>
      </c>
      <c r="CK361" s="399"/>
      <c r="CL361" s="399"/>
      <c r="CM361" s="399"/>
      <c r="CN361" s="399"/>
      <c r="CO361" s="399">
        <v>-39902.400000000001</v>
      </c>
      <c r="CP361" s="399">
        <v>0</v>
      </c>
      <c r="CQ361" s="399">
        <v>31</v>
      </c>
      <c r="CR361" s="399">
        <v>-2275.3307971869581</v>
      </c>
      <c r="CS361" s="399">
        <v>0</v>
      </c>
      <c r="CT361" s="399">
        <v>0</v>
      </c>
      <c r="CU361" s="399">
        <v>0</v>
      </c>
      <c r="CV361" s="399">
        <v>0</v>
      </c>
      <c r="CW361" s="399"/>
      <c r="CX361" s="399"/>
      <c r="CY361" s="399"/>
      <c r="CZ361" s="399">
        <v>-2275.3307971869581</v>
      </c>
      <c r="DA361" s="399">
        <v>0</v>
      </c>
      <c r="DB361" s="399">
        <v>0</v>
      </c>
      <c r="DC361" s="399"/>
      <c r="DD361" s="399"/>
      <c r="DE361" s="399">
        <v>0</v>
      </c>
      <c r="DF361" s="399">
        <v>0</v>
      </c>
      <c r="DG361" s="399">
        <v>0</v>
      </c>
      <c r="DH361" s="399">
        <v>0</v>
      </c>
      <c r="DI361" s="399">
        <v>0</v>
      </c>
      <c r="DJ361" s="399"/>
      <c r="DK361" s="399">
        <v>0</v>
      </c>
      <c r="DL361" s="399">
        <v>0</v>
      </c>
      <c r="DM361" s="399"/>
      <c r="DN361" s="399">
        <v>0</v>
      </c>
      <c r="DO361" s="399">
        <v>0</v>
      </c>
      <c r="DP361" s="399">
        <v>0</v>
      </c>
      <c r="DQ361" s="399">
        <v>0</v>
      </c>
      <c r="DR361" s="399">
        <v>0</v>
      </c>
      <c r="DS361" s="399"/>
      <c r="DT361" s="399"/>
      <c r="DU361" s="399">
        <v>60329.00639894246</v>
      </c>
      <c r="DV361" s="399"/>
      <c r="DW361" s="399">
        <v>0</v>
      </c>
      <c r="DX361" s="399">
        <v>0</v>
      </c>
      <c r="DY361" s="399">
        <v>-39902.400000000009</v>
      </c>
      <c r="DZ361" s="399"/>
      <c r="EA361" s="399">
        <v>0</v>
      </c>
      <c r="EB361" s="399"/>
      <c r="EC361" s="399">
        <v>-37613.74289868724</v>
      </c>
      <c r="ED361" s="399"/>
      <c r="EE361" s="399">
        <v>0</v>
      </c>
      <c r="EF361" s="399">
        <v>0</v>
      </c>
      <c r="EG361" s="399"/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/>
      <c r="EN361" s="399"/>
      <c r="EO361" s="399">
        <v>0</v>
      </c>
      <c r="EP361" s="399">
        <v>0</v>
      </c>
      <c r="EQ361" s="399"/>
      <c r="ER361" s="399">
        <v>0</v>
      </c>
      <c r="ES361" s="399"/>
      <c r="ET361" s="399">
        <v>0</v>
      </c>
      <c r="EU361" s="399"/>
      <c r="EV361" s="399">
        <v>221</v>
      </c>
      <c r="EW361" s="399"/>
      <c r="EX361" s="399"/>
      <c r="EY361" s="399"/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361</v>
      </c>
      <c r="B362" s="399" t="s">
        <v>2329</v>
      </c>
      <c r="C362" s="399" t="s">
        <v>2325</v>
      </c>
      <c r="D362" s="399" t="s">
        <v>533</v>
      </c>
      <c r="E362" s="399" t="s">
        <v>918</v>
      </c>
      <c r="F362" s="399" t="s">
        <v>1239</v>
      </c>
      <c r="G362" s="399" t="s">
        <v>1239</v>
      </c>
      <c r="H362" s="399" t="s">
        <v>1239</v>
      </c>
      <c r="I362" s="399" t="s">
        <v>1239</v>
      </c>
      <c r="J362" s="399" t="s">
        <v>2326</v>
      </c>
      <c r="K362" s="786">
        <v>44682</v>
      </c>
      <c r="L362" s="399">
        <v>-177</v>
      </c>
      <c r="M362" s="399">
        <v>-177</v>
      </c>
      <c r="N362" s="399">
        <v>0</v>
      </c>
      <c r="O362" s="399">
        <v>0</v>
      </c>
      <c r="P362" s="399">
        <v>0</v>
      </c>
      <c r="Q362" s="399">
        <v>0</v>
      </c>
      <c r="R362" s="399">
        <v>55.59</v>
      </c>
      <c r="S362" s="399"/>
      <c r="T362" s="399"/>
      <c r="U362" s="399">
        <v>-9839.43</v>
      </c>
      <c r="V362" s="399"/>
      <c r="W362" s="399">
        <v>-9839.43</v>
      </c>
      <c r="X362" s="399">
        <v>-5223.2700000000004</v>
      </c>
      <c r="Y362" s="399">
        <v>0</v>
      </c>
      <c r="Z362" s="399">
        <v>0</v>
      </c>
      <c r="AA362" s="399">
        <v>0</v>
      </c>
      <c r="AB362" s="399">
        <v>0</v>
      </c>
      <c r="AC362" s="399">
        <v>0</v>
      </c>
      <c r="AD362" s="399">
        <v>-2859.3767365163167</v>
      </c>
      <c r="AE362" s="399">
        <v>-6979.2379951717749</v>
      </c>
      <c r="AF362" s="399"/>
      <c r="AG362" s="399"/>
      <c r="AH362" s="399"/>
      <c r="AI362" s="399">
        <v>0</v>
      </c>
      <c r="AJ362" s="399">
        <v>0</v>
      </c>
      <c r="AK362" s="399">
        <v>0</v>
      </c>
      <c r="AL362" s="399">
        <v>0</v>
      </c>
      <c r="AM362" s="399"/>
      <c r="AN362" s="399">
        <v>0</v>
      </c>
      <c r="AO362" s="399">
        <v>0</v>
      </c>
      <c r="AP362" s="399">
        <v>0</v>
      </c>
      <c r="AQ362" s="399">
        <v>0</v>
      </c>
      <c r="AR362" s="399">
        <v>0</v>
      </c>
      <c r="AS362" s="399"/>
      <c r="AT362" s="399"/>
      <c r="AU362" s="399">
        <v>0</v>
      </c>
      <c r="AV362" s="399">
        <v>0</v>
      </c>
      <c r="AW362" s="399">
        <v>0</v>
      </c>
      <c r="AX362" s="399"/>
      <c r="AY362" s="399"/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/>
      <c r="BG362" s="399">
        <v>0</v>
      </c>
      <c r="BH362" s="399">
        <v>0</v>
      </c>
      <c r="BI362" s="399">
        <v>-8.57</v>
      </c>
      <c r="BJ362" s="399">
        <v>-36.43</v>
      </c>
      <c r="BK362" s="399">
        <v>-7232.29</v>
      </c>
      <c r="BL362" s="399">
        <v>0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0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-5223.2700000000004</v>
      </c>
      <c r="CJ362" s="399">
        <v>4616.1299999999992</v>
      </c>
      <c r="CK362" s="399"/>
      <c r="CL362" s="399"/>
      <c r="CM362" s="399"/>
      <c r="CN362" s="399"/>
      <c r="CO362" s="399">
        <v>4616.1600000000008</v>
      </c>
      <c r="CP362" s="399">
        <v>0</v>
      </c>
      <c r="CQ362" s="399">
        <v>31</v>
      </c>
      <c r="CR362" s="399">
        <v>263.22454320398128</v>
      </c>
      <c r="CS362" s="399">
        <v>0</v>
      </c>
      <c r="CT362" s="399">
        <v>0</v>
      </c>
      <c r="CU362" s="399">
        <v>0</v>
      </c>
      <c r="CV362" s="399">
        <v>0</v>
      </c>
      <c r="CW362" s="399"/>
      <c r="CX362" s="399"/>
      <c r="CY362" s="399"/>
      <c r="CZ362" s="399">
        <v>263.22454320398128</v>
      </c>
      <c r="DA362" s="399">
        <v>0</v>
      </c>
      <c r="DB362" s="399">
        <v>0</v>
      </c>
      <c r="DC362" s="399"/>
      <c r="DD362" s="399"/>
      <c r="DE362" s="399">
        <v>0</v>
      </c>
      <c r="DF362" s="399">
        <v>0</v>
      </c>
      <c r="DG362" s="399">
        <v>0</v>
      </c>
      <c r="DH362" s="399">
        <v>0</v>
      </c>
      <c r="DI362" s="399">
        <v>0</v>
      </c>
      <c r="DJ362" s="399"/>
      <c r="DK362" s="399">
        <v>0</v>
      </c>
      <c r="DL362" s="399">
        <v>0</v>
      </c>
      <c r="DM362" s="399"/>
      <c r="DN362" s="399">
        <v>0</v>
      </c>
      <c r="DO362" s="399">
        <v>0</v>
      </c>
      <c r="DP362" s="399">
        <v>0</v>
      </c>
      <c r="DQ362" s="399">
        <v>0</v>
      </c>
      <c r="DR362" s="399">
        <v>0</v>
      </c>
      <c r="DS362" s="399"/>
      <c r="DT362" s="399"/>
      <c r="DU362" s="399">
        <v>-6979.2379951717749</v>
      </c>
      <c r="DV362" s="399"/>
      <c r="DW362" s="399">
        <v>0</v>
      </c>
      <c r="DX362" s="399">
        <v>0</v>
      </c>
      <c r="DY362" s="399">
        <v>4616.16</v>
      </c>
      <c r="DZ362" s="399"/>
      <c r="EA362" s="399">
        <v>0</v>
      </c>
      <c r="EB362" s="399"/>
      <c r="EC362" s="399">
        <v>4351.3937863187202</v>
      </c>
      <c r="ED362" s="399"/>
      <c r="EE362" s="399">
        <v>0</v>
      </c>
      <c r="EF362" s="399">
        <v>0</v>
      </c>
      <c r="EG362" s="399"/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/>
      <c r="EN362" s="399"/>
      <c r="EO362" s="399">
        <v>0</v>
      </c>
      <c r="EP362" s="399">
        <v>0</v>
      </c>
      <c r="EQ362" s="399"/>
      <c r="ER362" s="399">
        <v>0</v>
      </c>
      <c r="ES362" s="399"/>
      <c r="ET362" s="399">
        <v>0</v>
      </c>
      <c r="EU362" s="399"/>
      <c r="EV362" s="399">
        <v>221</v>
      </c>
      <c r="EW362" s="399"/>
      <c r="EX362" s="399"/>
      <c r="EY362" s="399"/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362</v>
      </c>
      <c r="B363" s="399" t="s">
        <v>956</v>
      </c>
      <c r="C363" s="399" t="s">
        <v>2328</v>
      </c>
      <c r="D363" s="399" t="s">
        <v>2337</v>
      </c>
      <c r="E363" s="399" t="s">
        <v>894</v>
      </c>
      <c r="F363" s="399" t="s">
        <v>1239</v>
      </c>
      <c r="G363" s="399" t="s">
        <v>1239</v>
      </c>
      <c r="H363" s="399" t="s">
        <v>1239</v>
      </c>
      <c r="I363" s="399" t="s">
        <v>1239</v>
      </c>
      <c r="J363" s="399" t="s">
        <v>2326</v>
      </c>
      <c r="K363" s="786">
        <v>44682</v>
      </c>
      <c r="L363" s="399">
        <v>0</v>
      </c>
      <c r="M363" s="399">
        <v>0</v>
      </c>
      <c r="N363" s="399">
        <v>1347.9069999999999</v>
      </c>
      <c r="O363" s="399">
        <v>1347.9069999999999</v>
      </c>
      <c r="P363" s="399">
        <v>1347.9069999999999</v>
      </c>
      <c r="Q363" s="399">
        <v>1347.9069999999999</v>
      </c>
      <c r="R363" s="399"/>
      <c r="S363" s="399">
        <v>825.6</v>
      </c>
      <c r="T363" s="399">
        <v>185.74</v>
      </c>
      <c r="U363" s="399"/>
      <c r="V363" s="399">
        <v>1363192.26538</v>
      </c>
      <c r="W363" s="399">
        <v>1363192.26538</v>
      </c>
      <c r="X363" s="399">
        <v>847429.13089999999</v>
      </c>
      <c r="Y363" s="399">
        <v>0</v>
      </c>
      <c r="Z363" s="399">
        <v>84035.485786326346</v>
      </c>
      <c r="AA363" s="399">
        <v>0</v>
      </c>
      <c r="AB363" s="399">
        <v>0</v>
      </c>
      <c r="AC363" s="399">
        <v>0</v>
      </c>
      <c r="AD363" s="399">
        <v>175675.01917788771</v>
      </c>
      <c r="AE363" s="399">
        <v>791585.05088732624</v>
      </c>
      <c r="AF363" s="399">
        <v>250366.02592227524</v>
      </c>
      <c r="AG363" s="399">
        <v>0</v>
      </c>
      <c r="AH363" s="399">
        <v>0</v>
      </c>
      <c r="AI363" s="399">
        <v>0</v>
      </c>
      <c r="AJ363" s="399">
        <v>0</v>
      </c>
      <c r="AK363" s="399">
        <v>0</v>
      </c>
      <c r="AL363" s="399">
        <v>12987.34573072843</v>
      </c>
      <c r="AM363" s="399"/>
      <c r="AN363" s="399">
        <v>3195.7086948007559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45357.74323072884</v>
      </c>
      <c r="BH363" s="399">
        <v>0</v>
      </c>
      <c r="BI363" s="399">
        <v>281.18</v>
      </c>
      <c r="BJ363" s="399">
        <v>1551.16</v>
      </c>
      <c r="BK363" s="399">
        <v>147138.94</v>
      </c>
      <c r="BL363" s="399">
        <v>5614</v>
      </c>
      <c r="BM363" s="399"/>
      <c r="BN363" s="399"/>
      <c r="BO363" s="399"/>
      <c r="BP363" s="399"/>
      <c r="BQ363" s="399"/>
      <c r="BR363" s="399">
        <v>101686.10407999999</v>
      </c>
      <c r="BS363" s="399"/>
      <c r="BT363" s="399"/>
      <c r="BU363" s="399"/>
      <c r="BV363" s="399">
        <v>295723.76915300405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745744.68660000013</v>
      </c>
      <c r="CJ363" s="399">
        <v>-453865.61525999987</v>
      </c>
      <c r="CK363" s="399"/>
      <c r="CL363" s="399"/>
      <c r="CM363" s="399"/>
      <c r="CN363" s="399"/>
      <c r="CO363" s="399">
        <v>-515763.13448000001</v>
      </c>
      <c r="CP363" s="399">
        <v>0</v>
      </c>
      <c r="CQ363" s="399">
        <v>31</v>
      </c>
      <c r="CR363" s="399">
        <v>-22231.783934417879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-16172.047595164506</v>
      </c>
      <c r="DA363" s="399">
        <v>0</v>
      </c>
      <c r="DB363" s="399">
        <v>0</v>
      </c>
      <c r="DC363" s="399">
        <v>0</v>
      </c>
      <c r="DD363" s="399">
        <v>0</v>
      </c>
      <c r="DE363" s="399">
        <v>0</v>
      </c>
      <c r="DF363" s="399">
        <v>0</v>
      </c>
      <c r="DG363" s="399">
        <v>0</v>
      </c>
      <c r="DH363" s="399">
        <v>0</v>
      </c>
      <c r="DI363" s="399">
        <v>-5197.4843021786946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-696.28271123200102</v>
      </c>
      <c r="DP363" s="399">
        <v>-165.96932584261185</v>
      </c>
      <c r="DQ363" s="399">
        <v>0</v>
      </c>
      <c r="DR363" s="399">
        <v>0</v>
      </c>
      <c r="DS363" s="399"/>
      <c r="DT363" s="399"/>
      <c r="DU363" s="399"/>
      <c r="DV363" s="399">
        <v>791585.05088732624</v>
      </c>
      <c r="DW363" s="399">
        <v>0</v>
      </c>
      <c r="DX363" s="399">
        <v>0</v>
      </c>
      <c r="DY363" s="399">
        <v>-515763.13448000001</v>
      </c>
      <c r="DZ363" s="399">
        <v>0</v>
      </c>
      <c r="EA363" s="399">
        <v>0</v>
      </c>
      <c r="EB363" s="399">
        <v>0</v>
      </c>
      <c r="EC363" s="399">
        <v>-493535.0068527257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221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363</v>
      </c>
      <c r="B364" s="399" t="s">
        <v>2329</v>
      </c>
      <c r="C364" s="399" t="s">
        <v>2328</v>
      </c>
      <c r="D364" s="399" t="s">
        <v>2337</v>
      </c>
      <c r="E364" s="399" t="s">
        <v>894</v>
      </c>
      <c r="F364" s="399" t="s">
        <v>1239</v>
      </c>
      <c r="G364" s="399" t="s">
        <v>1239</v>
      </c>
      <c r="H364" s="399" t="s">
        <v>1239</v>
      </c>
      <c r="I364" s="399" t="s">
        <v>1239</v>
      </c>
      <c r="J364" s="399" t="s">
        <v>2326</v>
      </c>
      <c r="K364" s="786">
        <v>44682</v>
      </c>
      <c r="L364" s="399">
        <v>0</v>
      </c>
      <c r="M364" s="399">
        <v>0</v>
      </c>
      <c r="N364" s="399">
        <v>-1.5860000000000001</v>
      </c>
      <c r="O364" s="399">
        <v>-1.5860000000000001</v>
      </c>
      <c r="P364" s="399">
        <v>-1.5860000000000001</v>
      </c>
      <c r="Q364" s="399">
        <v>-1.5860000000000001</v>
      </c>
      <c r="R364" s="399"/>
      <c r="S364" s="399">
        <v>825.6</v>
      </c>
      <c r="T364" s="399">
        <v>185.74</v>
      </c>
      <c r="U364" s="399"/>
      <c r="V364" s="399">
        <v>-1603.9852400000002</v>
      </c>
      <c r="W364" s="399">
        <v>-1603.9852400000002</v>
      </c>
      <c r="X364" s="399">
        <v>-997.11820000000012</v>
      </c>
      <c r="Y364" s="399">
        <v>0</v>
      </c>
      <c r="Z364" s="399">
        <v>-98.879433415742781</v>
      </c>
      <c r="AA364" s="399">
        <v>0</v>
      </c>
      <c r="AB364" s="399">
        <v>0</v>
      </c>
      <c r="AC364" s="399">
        <v>0</v>
      </c>
      <c r="AD364" s="399">
        <v>-206.70608611434614</v>
      </c>
      <c r="AE364" s="399">
        <v>-931.40987524161494</v>
      </c>
      <c r="AF364" s="399">
        <v>-294.59044067040867</v>
      </c>
      <c r="AG364" s="399">
        <v>0</v>
      </c>
      <c r="AH364" s="399">
        <v>0</v>
      </c>
      <c r="AI364" s="399">
        <v>0</v>
      </c>
      <c r="AJ364" s="399">
        <v>0</v>
      </c>
      <c r="AK364" s="399">
        <v>0</v>
      </c>
      <c r="AL364" s="399">
        <v>-15.281418027308479</v>
      </c>
      <c r="AM364" s="399"/>
      <c r="AN364" s="399">
        <v>-3.7601956143517317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-53.369691502407768</v>
      </c>
      <c r="BH364" s="399">
        <v>0</v>
      </c>
      <c r="BI364" s="399">
        <v>-0.39</v>
      </c>
      <c r="BJ364" s="399">
        <v>-1.87</v>
      </c>
      <c r="BK364" s="399">
        <v>-310.27</v>
      </c>
      <c r="BL364" s="399">
        <v>0</v>
      </c>
      <c r="BM364" s="399"/>
      <c r="BN364" s="399"/>
      <c r="BO364" s="399"/>
      <c r="BP364" s="399"/>
      <c r="BQ364" s="399"/>
      <c r="BR364" s="399">
        <v>-119.64784</v>
      </c>
      <c r="BS364" s="399"/>
      <c r="BT364" s="399"/>
      <c r="BU364" s="399"/>
      <c r="BV364" s="399">
        <v>-347.96013217281643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-879.68340000000001</v>
      </c>
      <c r="CJ364" s="399">
        <v>531.79488000000003</v>
      </c>
      <c r="CK364" s="399"/>
      <c r="CL364" s="399"/>
      <c r="CM364" s="399"/>
      <c r="CN364" s="399"/>
      <c r="CO364" s="399">
        <v>606.86704000000009</v>
      </c>
      <c r="CP364" s="399">
        <v>0</v>
      </c>
      <c r="CQ364" s="399">
        <v>31</v>
      </c>
      <c r="CR364" s="399">
        <v>26.158784930998081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19.028662575334181</v>
      </c>
      <c r="DA364" s="399">
        <v>0</v>
      </c>
      <c r="DB364" s="399">
        <v>0</v>
      </c>
      <c r="DC364" s="399">
        <v>0</v>
      </c>
      <c r="DD364" s="399">
        <v>0</v>
      </c>
      <c r="DE364" s="399">
        <v>0</v>
      </c>
      <c r="DF364" s="399">
        <v>0</v>
      </c>
      <c r="DG364" s="399">
        <v>0</v>
      </c>
      <c r="DH364" s="399">
        <v>0</v>
      </c>
      <c r="DI364" s="399">
        <v>6.115562945555908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0.8192734216930031</v>
      </c>
      <c r="DP364" s="399">
        <v>0.19528598841491451</v>
      </c>
      <c r="DQ364" s="399">
        <v>0</v>
      </c>
      <c r="DR364" s="399">
        <v>0</v>
      </c>
      <c r="DS364" s="399"/>
      <c r="DT364" s="399"/>
      <c r="DU364" s="399"/>
      <c r="DV364" s="399">
        <v>-931.40987524161494</v>
      </c>
      <c r="DW364" s="399">
        <v>0</v>
      </c>
      <c r="DX364" s="399">
        <v>0</v>
      </c>
      <c r="DY364" s="399">
        <v>606.86704000000009</v>
      </c>
      <c r="DZ364" s="399">
        <v>0</v>
      </c>
      <c r="EA364" s="399">
        <v>0</v>
      </c>
      <c r="EB364" s="399">
        <v>0</v>
      </c>
      <c r="EC364" s="399">
        <v>580.71255722273349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221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364</v>
      </c>
      <c r="B365" s="399" t="s">
        <v>2330</v>
      </c>
      <c r="C365" s="399" t="s">
        <v>2328</v>
      </c>
      <c r="D365" s="399" t="s">
        <v>2337</v>
      </c>
      <c r="E365" s="399" t="s">
        <v>894</v>
      </c>
      <c r="F365" s="399" t="s">
        <v>1239</v>
      </c>
      <c r="G365" s="399" t="s">
        <v>1239</v>
      </c>
      <c r="H365" s="399" t="s">
        <v>1239</v>
      </c>
      <c r="I365" s="399" t="s">
        <v>1239</v>
      </c>
      <c r="J365" s="399" t="s">
        <v>2326</v>
      </c>
      <c r="K365" s="786">
        <v>44682</v>
      </c>
      <c r="L365" s="399">
        <v>0</v>
      </c>
      <c r="M365" s="399">
        <v>0</v>
      </c>
      <c r="N365" s="399">
        <v>46.774999999999999</v>
      </c>
      <c r="O365" s="399">
        <v>46.774999999999999</v>
      </c>
      <c r="P365" s="399">
        <v>46.774999999999999</v>
      </c>
      <c r="Q365" s="399">
        <v>46.774999999999999</v>
      </c>
      <c r="R365" s="399"/>
      <c r="S365" s="399">
        <v>825.6</v>
      </c>
      <c r="T365" s="399">
        <v>185.74</v>
      </c>
      <c r="U365" s="399"/>
      <c r="V365" s="399">
        <v>47305.428500000002</v>
      </c>
      <c r="W365" s="399">
        <v>47305.428500000002</v>
      </c>
      <c r="X365" s="399">
        <v>29407.442499999997</v>
      </c>
      <c r="Y365" s="399">
        <v>0</v>
      </c>
      <c r="Z365" s="399">
        <v>2916.1951437713542</v>
      </c>
      <c r="AA365" s="399">
        <v>0</v>
      </c>
      <c r="AB365" s="399">
        <v>0</v>
      </c>
      <c r="AC365" s="399">
        <v>0</v>
      </c>
      <c r="AD365" s="399">
        <v>6096.2655598981964</v>
      </c>
      <c r="AE365" s="399">
        <v>27469.544082236152</v>
      </c>
      <c r="AF365" s="399">
        <v>8688.1890683217935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450.68620947500261</v>
      </c>
      <c r="AM365" s="399"/>
      <c r="AN365" s="399">
        <v>110.89732021519687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1574.0020933323601</v>
      </c>
      <c r="BH365" s="399">
        <v>0</v>
      </c>
      <c r="BI365" s="399">
        <v>9.0299999999999994</v>
      </c>
      <c r="BJ365" s="399">
        <v>47.62</v>
      </c>
      <c r="BK365" s="399">
        <v>15049.59</v>
      </c>
      <c r="BL365" s="399">
        <v>170</v>
      </c>
      <c r="BM365" s="399"/>
      <c r="BN365" s="399"/>
      <c r="BO365" s="399"/>
      <c r="BP365" s="399"/>
      <c r="BQ365" s="399"/>
      <c r="BR365" s="399">
        <v>3528.7060000000001</v>
      </c>
      <c r="BS365" s="399"/>
      <c r="BT365" s="399"/>
      <c r="BU365" s="399"/>
      <c r="BV365" s="399">
        <v>10262.191161654153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25881.502799999998</v>
      </c>
      <c r="CJ365" s="399">
        <v>-15747.341700000001</v>
      </c>
      <c r="CK365" s="399"/>
      <c r="CL365" s="399"/>
      <c r="CM365" s="399"/>
      <c r="CN365" s="399"/>
      <c r="CO365" s="399">
        <v>-17897.986000000001</v>
      </c>
      <c r="CP365" s="399">
        <v>0</v>
      </c>
      <c r="CQ365" s="399">
        <v>31</v>
      </c>
      <c r="CR365" s="399">
        <v>-771.48623275374121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-561.20157122399451</v>
      </c>
      <c r="DA365" s="399">
        <v>0</v>
      </c>
      <c r="DB365" s="399">
        <v>0</v>
      </c>
      <c r="DC365" s="399">
        <v>0</v>
      </c>
      <c r="DD365" s="399">
        <v>0</v>
      </c>
      <c r="DE365" s="399">
        <v>0</v>
      </c>
      <c r="DF365" s="399">
        <v>0</v>
      </c>
      <c r="DG365" s="399">
        <v>0</v>
      </c>
      <c r="DH365" s="399">
        <v>0</v>
      </c>
      <c r="DI365" s="399">
        <v>-180.36283529531966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-24.162367149867805</v>
      </c>
      <c r="DP365" s="399">
        <v>-5.7594590845571503</v>
      </c>
      <c r="DQ365" s="399">
        <v>0</v>
      </c>
      <c r="DR365" s="399">
        <v>0</v>
      </c>
      <c r="DS365" s="399"/>
      <c r="DT365" s="399"/>
      <c r="DU365" s="399"/>
      <c r="DV365" s="399">
        <v>27469.544082236152</v>
      </c>
      <c r="DW365" s="399">
        <v>0</v>
      </c>
      <c r="DX365" s="399">
        <v>0</v>
      </c>
      <c r="DY365" s="399">
        <v>-17897.986000000004</v>
      </c>
      <c r="DZ365" s="399">
        <v>0</v>
      </c>
      <c r="EA365" s="399">
        <v>0</v>
      </c>
      <c r="EB365" s="399">
        <v>0</v>
      </c>
      <c r="EC365" s="399">
        <v>-17126.626648230362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221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365</v>
      </c>
      <c r="B366" s="399" t="s">
        <v>2330</v>
      </c>
      <c r="C366" s="399" t="s">
        <v>2328</v>
      </c>
      <c r="D366" s="399" t="s">
        <v>2337</v>
      </c>
      <c r="E366" s="399" t="s">
        <v>894</v>
      </c>
      <c r="F366" s="399" t="s">
        <v>1239</v>
      </c>
      <c r="G366" s="399" t="s">
        <v>1239</v>
      </c>
      <c r="H366" s="399" t="s">
        <v>1239</v>
      </c>
      <c r="I366" s="399" t="s">
        <v>1239</v>
      </c>
      <c r="J366" s="399" t="s">
        <v>2326</v>
      </c>
      <c r="K366" s="786">
        <v>44682</v>
      </c>
      <c r="L366" s="399">
        <v>0</v>
      </c>
      <c r="M366" s="399">
        <v>0</v>
      </c>
      <c r="N366" s="399">
        <v>15.874000000000001</v>
      </c>
      <c r="O366" s="399">
        <v>15.874000000000001</v>
      </c>
      <c r="P366" s="399">
        <v>15.874000000000001</v>
      </c>
      <c r="Q366" s="399">
        <v>15.874000000000001</v>
      </c>
      <c r="R366" s="399"/>
      <c r="S366" s="399">
        <v>825.6</v>
      </c>
      <c r="T366" s="399">
        <v>185.74</v>
      </c>
      <c r="U366" s="399"/>
      <c r="V366" s="399">
        <v>16054.011160000002</v>
      </c>
      <c r="W366" s="399">
        <v>16054.011160000002</v>
      </c>
      <c r="X366" s="399">
        <v>9979.9838</v>
      </c>
      <c r="Y366" s="399">
        <v>0</v>
      </c>
      <c r="Z366" s="399">
        <v>989.66716648266129</v>
      </c>
      <c r="AA366" s="399">
        <v>0</v>
      </c>
      <c r="AB366" s="399">
        <v>0</v>
      </c>
      <c r="AC366" s="399">
        <v>0</v>
      </c>
      <c r="AD366" s="399">
        <v>2068.8855050309776</v>
      </c>
      <c r="AE366" s="399">
        <v>9322.3205293728843</v>
      </c>
      <c r="AF366" s="399">
        <v>2948.5048267352254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152.94907299211528</v>
      </c>
      <c r="AM366" s="399"/>
      <c r="AN366" s="399">
        <v>37.635148286393054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534.16802201085807</v>
      </c>
      <c r="BH366" s="399">
        <v>0</v>
      </c>
      <c r="BI366" s="399">
        <v>4.42</v>
      </c>
      <c r="BJ366" s="399">
        <v>18.809999999999999</v>
      </c>
      <c r="BK366" s="399">
        <v>3987.73</v>
      </c>
      <c r="BL366" s="399">
        <v>7</v>
      </c>
      <c r="BM366" s="399"/>
      <c r="BN366" s="399"/>
      <c r="BO366" s="399"/>
      <c r="BP366" s="399"/>
      <c r="BQ366" s="399"/>
      <c r="BR366" s="399">
        <v>1197.5345600000001</v>
      </c>
      <c r="BS366" s="399"/>
      <c r="BT366" s="399"/>
      <c r="BU366" s="399"/>
      <c r="BV366" s="399">
        <v>3482.6728487460832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8780.2361999999994</v>
      </c>
      <c r="CJ366" s="399">
        <v>-5347.3363200000003</v>
      </c>
      <c r="CK366" s="399"/>
      <c r="CL366" s="399"/>
      <c r="CM366" s="399"/>
      <c r="CN366" s="399"/>
      <c r="CO366" s="399">
        <v>-6074.027360000001</v>
      </c>
      <c r="CP366" s="399">
        <v>0</v>
      </c>
      <c r="CQ366" s="399">
        <v>31</v>
      </c>
      <c r="CR366" s="399">
        <v>-261.81875913913154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-190.4545962930988</v>
      </c>
      <c r="DA366" s="399">
        <v>0</v>
      </c>
      <c r="DB366" s="399">
        <v>0</v>
      </c>
      <c r="DC366" s="399">
        <v>0</v>
      </c>
      <c r="DD366" s="399">
        <v>0</v>
      </c>
      <c r="DE366" s="399">
        <v>0</v>
      </c>
      <c r="DF366" s="399">
        <v>0</v>
      </c>
      <c r="DG366" s="399">
        <v>0</v>
      </c>
      <c r="DH366" s="399">
        <v>0</v>
      </c>
      <c r="DI366" s="399">
        <v>-61.209612987234777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-8.1999661386852267</v>
      </c>
      <c r="DP366" s="399">
        <v>-1.9545837201124527</v>
      </c>
      <c r="DQ366" s="399">
        <v>0</v>
      </c>
      <c r="DR366" s="399">
        <v>0</v>
      </c>
      <c r="DS366" s="399"/>
      <c r="DT366" s="399"/>
      <c r="DU366" s="399"/>
      <c r="DV366" s="399">
        <v>9322.3205293728843</v>
      </c>
      <c r="DW366" s="399">
        <v>0</v>
      </c>
      <c r="DX366" s="399">
        <v>0</v>
      </c>
      <c r="DY366" s="399">
        <v>-6074.0273600000019</v>
      </c>
      <c r="DZ366" s="399">
        <v>0</v>
      </c>
      <c r="EA366" s="399">
        <v>0</v>
      </c>
      <c r="EB366" s="399">
        <v>0</v>
      </c>
      <c r="EC366" s="399">
        <v>-5812.2516603743188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221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366</v>
      </c>
      <c r="B367" s="399" t="s">
        <v>956</v>
      </c>
      <c r="C367" s="399" t="s">
        <v>2328</v>
      </c>
      <c r="D367" s="399" t="s">
        <v>1824</v>
      </c>
      <c r="E367" s="399" t="s">
        <v>2338</v>
      </c>
      <c r="F367" s="399" t="s">
        <v>1239</v>
      </c>
      <c r="G367" s="399" t="s">
        <v>1239</v>
      </c>
      <c r="H367" s="399" t="s">
        <v>1239</v>
      </c>
      <c r="I367" s="399" t="s">
        <v>1239</v>
      </c>
      <c r="J367" s="399" t="s">
        <v>2326</v>
      </c>
      <c r="K367" s="786">
        <v>44682</v>
      </c>
      <c r="L367" s="399">
        <v>0</v>
      </c>
      <c r="M367" s="399">
        <v>0</v>
      </c>
      <c r="N367" s="399">
        <v>21.931000000000001</v>
      </c>
      <c r="O367" s="399">
        <v>21.931000000000001</v>
      </c>
      <c r="P367" s="399">
        <v>21.931000000000001</v>
      </c>
      <c r="Q367" s="399">
        <v>21.931000000000001</v>
      </c>
      <c r="R367" s="399"/>
      <c r="S367" s="399">
        <v>825.6</v>
      </c>
      <c r="T367" s="399">
        <v>185.74</v>
      </c>
      <c r="U367" s="399"/>
      <c r="V367" s="399">
        <v>22179.697540000001</v>
      </c>
      <c r="W367" s="399">
        <v>22179.697540000001</v>
      </c>
      <c r="X367" s="399">
        <v>13788.019700000001</v>
      </c>
      <c r="Y367" s="399">
        <v>0</v>
      </c>
      <c r="Z367" s="399">
        <v>1367.2918374783449</v>
      </c>
      <c r="AA367" s="399">
        <v>0</v>
      </c>
      <c r="AB367" s="399">
        <v>0</v>
      </c>
      <c r="AC367" s="399">
        <v>0</v>
      </c>
      <c r="AD367" s="399">
        <v>2858.3046497942778</v>
      </c>
      <c r="AE367" s="399">
        <v>12879.413602726265</v>
      </c>
      <c r="AF367" s="399">
        <v>4073.55797877852</v>
      </c>
      <c r="AG367" s="399">
        <v>0</v>
      </c>
      <c r="AH367" s="399">
        <v>0</v>
      </c>
      <c r="AI367" s="399">
        <v>0</v>
      </c>
      <c r="AJ367" s="399">
        <v>0</v>
      </c>
      <c r="AK367" s="399">
        <v>0</v>
      </c>
      <c r="AL367" s="399">
        <v>211.30944436122465</v>
      </c>
      <c r="AM367" s="399"/>
      <c r="AN367" s="399">
        <v>51.995491814847306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0</v>
      </c>
      <c r="BE367" s="399">
        <v>0</v>
      </c>
      <c r="BF367" s="399">
        <v>0</v>
      </c>
      <c r="BG367" s="399">
        <v>737.98909479149097</v>
      </c>
      <c r="BH367" s="399">
        <v>0</v>
      </c>
      <c r="BI367" s="399">
        <v>5.18</v>
      </c>
      <c r="BJ367" s="399">
        <v>28.56</v>
      </c>
      <c r="BK367" s="399">
        <v>3472.12</v>
      </c>
      <c r="BL367" s="399">
        <v>93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>
        <v>4811.547073570011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13787.391</v>
      </c>
      <c r="CJ367" s="399">
        <v>-8392.3365399999966</v>
      </c>
      <c r="CK367" s="399"/>
      <c r="CL367" s="399"/>
      <c r="CM367" s="399"/>
      <c r="CN367" s="399"/>
      <c r="CO367" s="399">
        <v>-8391.6778400000021</v>
      </c>
      <c r="CP367" s="399">
        <v>0</v>
      </c>
      <c r="CQ367" s="399">
        <v>31</v>
      </c>
      <c r="CR367" s="399">
        <v>-361.72024736551793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-263.12585052941586</v>
      </c>
      <c r="DA367" s="399">
        <v>0</v>
      </c>
      <c r="DB367" s="399">
        <v>0</v>
      </c>
      <c r="DC367" s="399">
        <v>0</v>
      </c>
      <c r="DD367" s="399">
        <v>0</v>
      </c>
      <c r="DE367" s="399">
        <v>0</v>
      </c>
      <c r="DF367" s="399">
        <v>0</v>
      </c>
      <c r="DG367" s="399">
        <v>0</v>
      </c>
      <c r="DH367" s="399">
        <v>0</v>
      </c>
      <c r="DI367" s="399">
        <v>-84.565202370104998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-11.328805429476233</v>
      </c>
      <c r="DP367" s="399">
        <v>-2.7003890365242711</v>
      </c>
      <c r="DQ367" s="399">
        <v>0</v>
      </c>
      <c r="DR367" s="399">
        <v>0</v>
      </c>
      <c r="DS367" s="399"/>
      <c r="DT367" s="399"/>
      <c r="DU367" s="399"/>
      <c r="DV367" s="399">
        <v>12879.413602726265</v>
      </c>
      <c r="DW367" s="399">
        <v>0</v>
      </c>
      <c r="DX367" s="399">
        <v>0</v>
      </c>
      <c r="DY367" s="399">
        <v>-8391.6778400000003</v>
      </c>
      <c r="DZ367" s="399">
        <v>0</v>
      </c>
      <c r="EA367" s="399">
        <v>0</v>
      </c>
      <c r="EB367" s="399">
        <v>0</v>
      </c>
      <c r="EC367" s="399">
        <v>-8030.0170822520595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0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221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367</v>
      </c>
      <c r="B368" s="399" t="s">
        <v>956</v>
      </c>
      <c r="C368" s="399" t="s">
        <v>2328</v>
      </c>
      <c r="D368" s="399" t="s">
        <v>2339</v>
      </c>
      <c r="E368" s="399" t="s">
        <v>2340</v>
      </c>
      <c r="F368" s="399" t="s">
        <v>2341</v>
      </c>
      <c r="G368" s="399" t="s">
        <v>1239</v>
      </c>
      <c r="H368" s="399" t="s">
        <v>1239</v>
      </c>
      <c r="I368" s="399" t="s">
        <v>1239</v>
      </c>
      <c r="J368" s="399" t="s">
        <v>2326</v>
      </c>
      <c r="K368" s="786">
        <v>44682</v>
      </c>
      <c r="L368" s="399">
        <v>0</v>
      </c>
      <c r="M368" s="399">
        <v>0</v>
      </c>
      <c r="N368" s="399">
        <v>191.27699999999999</v>
      </c>
      <c r="O368" s="399">
        <v>191.27699999999999</v>
      </c>
      <c r="P368" s="399">
        <v>191.27699999999999</v>
      </c>
      <c r="Q368" s="399">
        <v>191.27699999999999</v>
      </c>
      <c r="R368" s="399"/>
      <c r="S368" s="399">
        <v>454.08</v>
      </c>
      <c r="T368" s="399">
        <v>102.16</v>
      </c>
      <c r="U368" s="399"/>
      <c r="V368" s="399">
        <v>106395.91847999999</v>
      </c>
      <c r="W368" s="399">
        <v>106395.91847999999</v>
      </c>
      <c r="X368" s="399">
        <v>66141.673829999985</v>
      </c>
      <c r="Y368" s="399">
        <v>0</v>
      </c>
      <c r="Z368" s="399">
        <v>6558.8579836094978</v>
      </c>
      <c r="AA368" s="399">
        <v>0</v>
      </c>
      <c r="AB368" s="399">
        <v>0</v>
      </c>
      <c r="AC368" s="399">
        <v>0</v>
      </c>
      <c r="AD368" s="399">
        <v>13711.201777132179</v>
      </c>
      <c r="AE368" s="399">
        <v>61782.161216030712</v>
      </c>
      <c r="AF368" s="399">
        <v>19540.735590203411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1013.6450742781938</v>
      </c>
      <c r="AM368" s="399"/>
      <c r="AN368" s="399">
        <v>249.42081657597595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3540.1115793368967</v>
      </c>
      <c r="BH368" s="399">
        <v>0</v>
      </c>
      <c r="BI368" s="399">
        <v>26.49</v>
      </c>
      <c r="BJ368" s="399">
        <v>132.58000000000001</v>
      </c>
      <c r="BK368" s="399">
        <v>22100.2</v>
      </c>
      <c r="BL368" s="399">
        <v>9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>
        <v>23080.847169540306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66142.711199999991</v>
      </c>
      <c r="CJ368" s="399">
        <v>-40253.237279999987</v>
      </c>
      <c r="CK368" s="399"/>
      <c r="CL368" s="399"/>
      <c r="CM368" s="399"/>
      <c r="CN368" s="399"/>
      <c r="CO368" s="399">
        <v>-40254.244649999993</v>
      </c>
      <c r="CP368" s="399">
        <v>0</v>
      </c>
      <c r="CQ368" s="399">
        <v>31</v>
      </c>
      <c r="CR368" s="399">
        <v>-1735.1611903440207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-1262.2068223721526</v>
      </c>
      <c r="DA368" s="399">
        <v>0</v>
      </c>
      <c r="DB368" s="399">
        <v>0</v>
      </c>
      <c r="DC368" s="399">
        <v>0</v>
      </c>
      <c r="DD368" s="399">
        <v>0</v>
      </c>
      <c r="DE368" s="399">
        <v>0</v>
      </c>
      <c r="DF368" s="399">
        <v>0</v>
      </c>
      <c r="DG368" s="399">
        <v>0</v>
      </c>
      <c r="DH368" s="399">
        <v>0</v>
      </c>
      <c r="DI368" s="399">
        <v>-405.6567423993738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-54.343940261440594</v>
      </c>
      <c r="DP368" s="399">
        <v>-12.953685311048872</v>
      </c>
      <c r="DQ368" s="399">
        <v>0</v>
      </c>
      <c r="DR368" s="399">
        <v>0</v>
      </c>
      <c r="DS368" s="399"/>
      <c r="DT368" s="399"/>
      <c r="DU368" s="399"/>
      <c r="DV368" s="399">
        <v>61782.161216030712</v>
      </c>
      <c r="DW368" s="399">
        <v>0</v>
      </c>
      <c r="DX368" s="399">
        <v>0</v>
      </c>
      <c r="DY368" s="399">
        <v>-40254.244650000001</v>
      </c>
      <c r="DZ368" s="399">
        <v>0</v>
      </c>
      <c r="EA368" s="399">
        <v>0</v>
      </c>
      <c r="EB368" s="399">
        <v>0</v>
      </c>
      <c r="EC368" s="399">
        <v>-38519.751383569426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221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368</v>
      </c>
      <c r="B369" s="399" t="s">
        <v>956</v>
      </c>
      <c r="C369" s="399" t="s">
        <v>2328</v>
      </c>
      <c r="D369" s="399" t="s">
        <v>2339</v>
      </c>
      <c r="E369" s="399" t="s">
        <v>2340</v>
      </c>
      <c r="F369" s="399" t="s">
        <v>2578</v>
      </c>
      <c r="G369" s="399" t="s">
        <v>1239</v>
      </c>
      <c r="H369" s="399" t="s">
        <v>1239</v>
      </c>
      <c r="I369" s="399" t="s">
        <v>1239</v>
      </c>
      <c r="J369" s="399" t="s">
        <v>2326</v>
      </c>
      <c r="K369" s="786">
        <v>44682</v>
      </c>
      <c r="L369" s="399">
        <v>0</v>
      </c>
      <c r="M369" s="399">
        <v>0</v>
      </c>
      <c r="N369" s="399">
        <v>130.57300000000001</v>
      </c>
      <c r="O369" s="399">
        <v>130.57300000000001</v>
      </c>
      <c r="P369" s="399">
        <v>130.57300000000001</v>
      </c>
      <c r="Q369" s="399">
        <v>130.57300000000001</v>
      </c>
      <c r="R369" s="399"/>
      <c r="S369" s="399">
        <v>495.36</v>
      </c>
      <c r="T369" s="399">
        <v>111.45</v>
      </c>
      <c r="U369" s="399"/>
      <c r="V369" s="399">
        <v>79233.002130000008</v>
      </c>
      <c r="W369" s="399">
        <v>79233.002130000008</v>
      </c>
      <c r="X369" s="399">
        <v>49256.052790000002</v>
      </c>
      <c r="Y369" s="399">
        <v>0</v>
      </c>
      <c r="Z369" s="399">
        <v>4884.3572229736856</v>
      </c>
      <c r="AA369" s="399">
        <v>0</v>
      </c>
      <c r="AB369" s="399">
        <v>0</v>
      </c>
      <c r="AC369" s="399">
        <v>0</v>
      </c>
      <c r="AD369" s="399">
        <v>10210.681128199969</v>
      </c>
      <c r="AE369" s="399">
        <v>46008.946395935782</v>
      </c>
      <c r="AF369" s="399">
        <v>14551.913345393645</v>
      </c>
      <c r="AG369" s="399">
        <v>0</v>
      </c>
      <c r="AH369" s="399">
        <v>0</v>
      </c>
      <c r="AI369" s="399">
        <v>0</v>
      </c>
      <c r="AJ369" s="399">
        <v>0</v>
      </c>
      <c r="AK369" s="399">
        <v>0</v>
      </c>
      <c r="AL369" s="399">
        <v>754.85772865564263</v>
      </c>
      <c r="AM369" s="399"/>
      <c r="AN369" s="399">
        <v>185.74275735917328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2636.3079679232792</v>
      </c>
      <c r="BH369" s="399">
        <v>0</v>
      </c>
      <c r="BI369" s="399">
        <v>19.72</v>
      </c>
      <c r="BJ369" s="399">
        <v>98.75</v>
      </c>
      <c r="BK369" s="399">
        <v>16458.150000000001</v>
      </c>
      <c r="BL369" s="399">
        <v>6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>
        <v>17188.221313316924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49254.921099999992</v>
      </c>
      <c r="CJ369" s="399">
        <v>-29978.111030000015</v>
      </c>
      <c r="CK369" s="399"/>
      <c r="CL369" s="399"/>
      <c r="CM369" s="399"/>
      <c r="CN369" s="399"/>
      <c r="CO369" s="399">
        <v>-29976.949340000006</v>
      </c>
      <c r="CP369" s="399">
        <v>0</v>
      </c>
      <c r="CQ369" s="399">
        <v>31</v>
      </c>
      <c r="CR369" s="399">
        <v>-1292.1681052188724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-939.96074090131333</v>
      </c>
      <c r="DA369" s="399">
        <v>0</v>
      </c>
      <c r="DB369" s="399">
        <v>0</v>
      </c>
      <c r="DC369" s="399">
        <v>0</v>
      </c>
      <c r="DD369" s="399">
        <v>0</v>
      </c>
      <c r="DE369" s="399">
        <v>0</v>
      </c>
      <c r="DF369" s="399">
        <v>0</v>
      </c>
      <c r="DG369" s="399">
        <v>0</v>
      </c>
      <c r="DH369" s="399">
        <v>0</v>
      </c>
      <c r="DI369" s="399">
        <v>-302.09107206434237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-40.469730828771276</v>
      </c>
      <c r="DP369" s="399">
        <v>-9.6465614244511926</v>
      </c>
      <c r="DQ369" s="399">
        <v>0</v>
      </c>
      <c r="DR369" s="399">
        <v>0</v>
      </c>
      <c r="DS369" s="399"/>
      <c r="DT369" s="399"/>
      <c r="DU369" s="399"/>
      <c r="DV369" s="399">
        <v>46008.946395935782</v>
      </c>
      <c r="DW369" s="399">
        <v>0</v>
      </c>
      <c r="DX369" s="399">
        <v>0</v>
      </c>
      <c r="DY369" s="399">
        <v>-29976.949340000006</v>
      </c>
      <c r="DZ369" s="399">
        <v>0</v>
      </c>
      <c r="EA369" s="399">
        <v>0</v>
      </c>
      <c r="EB369" s="399">
        <v>0</v>
      </c>
      <c r="EC369" s="399">
        <v>-28685.516040697668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0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221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369</v>
      </c>
      <c r="B370" s="399" t="s">
        <v>956</v>
      </c>
      <c r="C370" s="399" t="s">
        <v>2328</v>
      </c>
      <c r="D370" s="399" t="s">
        <v>1824</v>
      </c>
      <c r="E370" s="399" t="s">
        <v>921</v>
      </c>
      <c r="F370" s="399" t="s">
        <v>2327</v>
      </c>
      <c r="G370" s="399" t="s">
        <v>1239</v>
      </c>
      <c r="H370" s="399" t="s">
        <v>1239</v>
      </c>
      <c r="I370" s="399" t="s">
        <v>1239</v>
      </c>
      <c r="J370" s="399" t="s">
        <v>2326</v>
      </c>
      <c r="K370" s="786">
        <v>44682</v>
      </c>
      <c r="L370" s="399">
        <v>0</v>
      </c>
      <c r="M370" s="399">
        <v>0</v>
      </c>
      <c r="N370" s="399">
        <v>4.3680000000000003</v>
      </c>
      <c r="O370" s="399">
        <v>4.1059200000000002</v>
      </c>
      <c r="P370" s="399">
        <v>4.3680000000000003</v>
      </c>
      <c r="Q370" s="399">
        <v>4.1059200000000002</v>
      </c>
      <c r="R370" s="399"/>
      <c r="S370" s="399">
        <v>825.6</v>
      </c>
      <c r="T370" s="399">
        <v>185.74</v>
      </c>
      <c r="U370" s="399"/>
      <c r="V370" s="399">
        <v>4417.533120000001</v>
      </c>
      <c r="W370" s="399">
        <v>4417.533120000001</v>
      </c>
      <c r="X370" s="399">
        <v>2746.1616000000004</v>
      </c>
      <c r="Y370" s="399">
        <v>0</v>
      </c>
      <c r="Z370" s="399">
        <v>272.32368547286535</v>
      </c>
      <c r="AA370" s="399">
        <v>0</v>
      </c>
      <c r="AB370" s="399">
        <v>0</v>
      </c>
      <c r="AC370" s="399">
        <v>0</v>
      </c>
      <c r="AD370" s="399">
        <v>569.28889290508448</v>
      </c>
      <c r="AE370" s="399">
        <v>2565.1944105014968</v>
      </c>
      <c r="AF370" s="399">
        <v>811.33104971522391</v>
      </c>
      <c r="AG370" s="399">
        <v>0</v>
      </c>
      <c r="AH370" s="399">
        <v>0</v>
      </c>
      <c r="AI370" s="399">
        <v>0</v>
      </c>
      <c r="AJ370" s="399">
        <v>0</v>
      </c>
      <c r="AK370" s="399">
        <v>0</v>
      </c>
      <c r="AL370" s="399">
        <v>42.086528337505321</v>
      </c>
      <c r="AM370" s="399"/>
      <c r="AN370" s="399">
        <v>10.355948577230999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146.98537987548369</v>
      </c>
      <c r="BH370" s="399">
        <v>0</v>
      </c>
      <c r="BI370" s="399">
        <v>0.98</v>
      </c>
      <c r="BJ370" s="399">
        <v>5.0599999999999996</v>
      </c>
      <c r="BK370" s="399">
        <v>0</v>
      </c>
      <c r="BL370" s="399">
        <v>5</v>
      </c>
      <c r="BM370" s="399"/>
      <c r="BN370" s="399"/>
      <c r="BO370" s="399"/>
      <c r="BP370" s="399"/>
      <c r="BQ370" s="399">
        <v>164.76969600000004</v>
      </c>
      <c r="BR370" s="399"/>
      <c r="BS370" s="399"/>
      <c r="BT370" s="399"/>
      <c r="BU370" s="399"/>
      <c r="BV370" s="399">
        <v>958.31642959070757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2583.9570000000003</v>
      </c>
      <c r="CJ370" s="399">
        <v>-1568.5541328000008</v>
      </c>
      <c r="CK370" s="399"/>
      <c r="CL370" s="399"/>
      <c r="CM370" s="399"/>
      <c r="CN370" s="399"/>
      <c r="CO370" s="399">
        <v>-1671.3715200000004</v>
      </c>
      <c r="CP370" s="399">
        <v>0</v>
      </c>
      <c r="CQ370" s="399">
        <v>31</v>
      </c>
      <c r="CR370" s="399">
        <v>-72.043866695207726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-52.406808404199069</v>
      </c>
      <c r="DA370" s="399">
        <v>0</v>
      </c>
      <c r="DB370" s="399">
        <v>0</v>
      </c>
      <c r="DC370" s="399">
        <v>0</v>
      </c>
      <c r="DD370" s="399">
        <v>0</v>
      </c>
      <c r="DE370" s="399">
        <v>0</v>
      </c>
      <c r="DF370" s="399">
        <v>0</v>
      </c>
      <c r="DG370" s="399">
        <v>0</v>
      </c>
      <c r="DH370" s="399">
        <v>0</v>
      </c>
      <c r="DI370" s="399">
        <v>-16.84286188284247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-2.2563595876135167</v>
      </c>
      <c r="DP370" s="399">
        <v>-0.53783682055255078</v>
      </c>
      <c r="DQ370" s="399">
        <v>0</v>
      </c>
      <c r="DR370" s="399">
        <v>0</v>
      </c>
      <c r="DS370" s="399"/>
      <c r="DT370" s="399"/>
      <c r="DU370" s="399"/>
      <c r="DV370" s="399">
        <v>2565.1944105014968</v>
      </c>
      <c r="DW370" s="399">
        <v>0</v>
      </c>
      <c r="DX370" s="399">
        <v>0</v>
      </c>
      <c r="DY370" s="399">
        <v>-1671.3715200000004</v>
      </c>
      <c r="DZ370" s="399">
        <v>0</v>
      </c>
      <c r="EA370" s="399">
        <v>0</v>
      </c>
      <c r="EB370" s="399">
        <v>0</v>
      </c>
      <c r="EC370" s="399">
        <v>-1599.3395018593314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221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370</v>
      </c>
      <c r="B371" s="399" t="s">
        <v>956</v>
      </c>
      <c r="C371" s="399" t="s">
        <v>2328</v>
      </c>
      <c r="D371" s="399" t="s">
        <v>1824</v>
      </c>
      <c r="E371" s="399" t="s">
        <v>2579</v>
      </c>
      <c r="F371" s="399" t="s">
        <v>1239</v>
      </c>
      <c r="G371" s="399" t="s">
        <v>1239</v>
      </c>
      <c r="H371" s="399" t="s">
        <v>1239</v>
      </c>
      <c r="I371" s="399" t="s">
        <v>1239</v>
      </c>
      <c r="J371" s="399" t="s">
        <v>2326</v>
      </c>
      <c r="K371" s="786">
        <v>44682</v>
      </c>
      <c r="L371" s="399">
        <v>0</v>
      </c>
      <c r="M371" s="399">
        <v>0</v>
      </c>
      <c r="N371" s="399">
        <v>0.50600000000000001</v>
      </c>
      <c r="O371" s="399">
        <v>0.50600000000000001</v>
      </c>
      <c r="P371" s="399">
        <v>0.50600000000000001</v>
      </c>
      <c r="Q371" s="399">
        <v>0.50600000000000001</v>
      </c>
      <c r="R371" s="399"/>
      <c r="S371" s="399">
        <v>825.6</v>
      </c>
      <c r="T371" s="399">
        <v>185.74</v>
      </c>
      <c r="U371" s="399"/>
      <c r="V371" s="399">
        <v>511.73804000000001</v>
      </c>
      <c r="W371" s="399">
        <v>511.73804000000001</v>
      </c>
      <c r="X371" s="399">
        <v>318.12220000000002</v>
      </c>
      <c r="Y371" s="399">
        <v>0</v>
      </c>
      <c r="Z371" s="399">
        <v>31.546654040583761</v>
      </c>
      <c r="AA371" s="399">
        <v>0</v>
      </c>
      <c r="AB371" s="399">
        <v>0</v>
      </c>
      <c r="AC371" s="399">
        <v>0</v>
      </c>
      <c r="AD371" s="399">
        <v>65.947843363088992</v>
      </c>
      <c r="AE371" s="399">
        <v>297.15851000772835</v>
      </c>
      <c r="AF371" s="399">
        <v>93.986609696864306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4.8754082735296915</v>
      </c>
      <c r="AM371" s="399"/>
      <c r="AN371" s="399">
        <v>1.1996588782231878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17.027152522205757</v>
      </c>
      <c r="BH371" s="399">
        <v>0</v>
      </c>
      <c r="BI371" s="399">
        <v>0.11</v>
      </c>
      <c r="BJ371" s="399">
        <v>0.65</v>
      </c>
      <c r="BK371" s="399">
        <v>109.77</v>
      </c>
      <c r="BL371" s="399">
        <v>4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111.01376221907006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320.637</v>
      </c>
      <c r="CJ371" s="399">
        <v>-191.13103999999998</v>
      </c>
      <c r="CK371" s="399"/>
      <c r="CL371" s="399"/>
      <c r="CM371" s="399"/>
      <c r="CN371" s="399"/>
      <c r="CO371" s="399">
        <v>-193.61584000000002</v>
      </c>
      <c r="CP371" s="399">
        <v>0</v>
      </c>
      <c r="CQ371" s="399">
        <v>31</v>
      </c>
      <c r="CR371" s="399">
        <v>-8.3457409678972283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-6.0709352226475986</v>
      </c>
      <c r="DA371" s="399">
        <v>0</v>
      </c>
      <c r="DB371" s="399">
        <v>0</v>
      </c>
      <c r="DC371" s="399">
        <v>0</v>
      </c>
      <c r="DD371" s="399">
        <v>0</v>
      </c>
      <c r="DE371" s="399">
        <v>0</v>
      </c>
      <c r="DF371" s="399">
        <v>0</v>
      </c>
      <c r="DG371" s="399">
        <v>0</v>
      </c>
      <c r="DH371" s="399">
        <v>0</v>
      </c>
      <c r="DI371" s="399">
        <v>-1.9511190734245183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-0.26138231486548591</v>
      </c>
      <c r="DP371" s="399">
        <v>-6.2304356959613116E-2</v>
      </c>
      <c r="DQ371" s="399">
        <v>0</v>
      </c>
      <c r="DR371" s="399">
        <v>0</v>
      </c>
      <c r="DS371" s="399"/>
      <c r="DT371" s="399"/>
      <c r="DU371" s="399"/>
      <c r="DV371" s="399">
        <v>297.15851000772835</v>
      </c>
      <c r="DW371" s="399">
        <v>0</v>
      </c>
      <c r="DX371" s="399">
        <v>0</v>
      </c>
      <c r="DY371" s="399">
        <v>-193.61584000000002</v>
      </c>
      <c r="DZ371" s="399">
        <v>0</v>
      </c>
      <c r="EA371" s="399">
        <v>0</v>
      </c>
      <c r="EB371" s="399">
        <v>0</v>
      </c>
      <c r="EC371" s="399">
        <v>-185.27147159817349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221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371</v>
      </c>
      <c r="B372" s="399" t="s">
        <v>956</v>
      </c>
      <c r="C372" s="399" t="s">
        <v>2328</v>
      </c>
      <c r="D372" s="399" t="s">
        <v>1824</v>
      </c>
      <c r="E372" s="399" t="s">
        <v>921</v>
      </c>
      <c r="F372" s="399" t="s">
        <v>2580</v>
      </c>
      <c r="G372" s="399" t="s">
        <v>1239</v>
      </c>
      <c r="H372" s="399" t="s">
        <v>1239</v>
      </c>
      <c r="I372" s="399" t="s">
        <v>1239</v>
      </c>
      <c r="J372" s="399" t="s">
        <v>2326</v>
      </c>
      <c r="K372" s="786">
        <v>44682</v>
      </c>
      <c r="L372" s="399">
        <v>0</v>
      </c>
      <c r="M372" s="399">
        <v>0</v>
      </c>
      <c r="N372" s="399">
        <v>3.3000000000000002E-2</v>
      </c>
      <c r="O372" s="399">
        <v>3.3000000000000002E-2</v>
      </c>
      <c r="P372" s="399">
        <v>3.3000000000000002E-2</v>
      </c>
      <c r="Q372" s="399">
        <v>3.3000000000000002E-2</v>
      </c>
      <c r="R372" s="399"/>
      <c r="S372" s="399">
        <v>825.6</v>
      </c>
      <c r="T372" s="399">
        <v>185.74</v>
      </c>
      <c r="U372" s="399"/>
      <c r="V372" s="399">
        <v>33.374220000000001</v>
      </c>
      <c r="W372" s="399">
        <v>33.374220000000001</v>
      </c>
      <c r="X372" s="399">
        <v>20.7471</v>
      </c>
      <c r="Y372" s="399">
        <v>0</v>
      </c>
      <c r="Z372" s="399">
        <v>2.0573904809076367</v>
      </c>
      <c r="AA372" s="399">
        <v>0</v>
      </c>
      <c r="AB372" s="399">
        <v>0</v>
      </c>
      <c r="AC372" s="399">
        <v>0</v>
      </c>
      <c r="AD372" s="399">
        <v>4.3009463062884121</v>
      </c>
      <c r="AE372" s="399">
        <v>19.379902826590978</v>
      </c>
      <c r="AF372" s="399">
        <v>6.1295615019694116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0.31796140914324078</v>
      </c>
      <c r="AM372" s="399"/>
      <c r="AN372" s="399">
        <v>7.8238622492816615E-2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1.1104664688395058</v>
      </c>
      <c r="BH372" s="399">
        <v>0</v>
      </c>
      <c r="BI372" s="399">
        <v>0</v>
      </c>
      <c r="BJ372" s="399">
        <v>0.04</v>
      </c>
      <c r="BK372" s="399">
        <v>0</v>
      </c>
      <c r="BL372" s="399">
        <v>1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7.2400279708089172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18.860999999999997</v>
      </c>
      <c r="CJ372" s="399">
        <v>-14.543220000000005</v>
      </c>
      <c r="CK372" s="399"/>
      <c r="CL372" s="399"/>
      <c r="CM372" s="399"/>
      <c r="CN372" s="399"/>
      <c r="CO372" s="399">
        <v>-12.627120000000001</v>
      </c>
      <c r="CP372" s="399">
        <v>0</v>
      </c>
      <c r="CQ372" s="399">
        <v>31</v>
      </c>
      <c r="CR372" s="399">
        <v>-0.54428745442807624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-0.39593055799875598</v>
      </c>
      <c r="DA372" s="399">
        <v>0</v>
      </c>
      <c r="DB372" s="399">
        <v>0</v>
      </c>
      <c r="DC372" s="399">
        <v>0</v>
      </c>
      <c r="DD372" s="399">
        <v>0</v>
      </c>
      <c r="DE372" s="399">
        <v>0</v>
      </c>
      <c r="DF372" s="399">
        <v>0</v>
      </c>
      <c r="DG372" s="399">
        <v>0</v>
      </c>
      <c r="DH372" s="399">
        <v>0</v>
      </c>
      <c r="DI372" s="399">
        <v>-0.12724689609290341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-1.7046672708618649E-2</v>
      </c>
      <c r="DP372" s="399">
        <v>-4.0633276278008723E-3</v>
      </c>
      <c r="DQ372" s="399">
        <v>0</v>
      </c>
      <c r="DR372" s="399">
        <v>0</v>
      </c>
      <c r="DS372" s="399"/>
      <c r="DT372" s="399"/>
      <c r="DU372" s="399"/>
      <c r="DV372" s="399">
        <v>19.379902826590978</v>
      </c>
      <c r="DW372" s="399">
        <v>0</v>
      </c>
      <c r="DX372" s="399">
        <v>0</v>
      </c>
      <c r="DY372" s="399">
        <v>-12.627120000000001</v>
      </c>
      <c r="DZ372" s="399">
        <v>0</v>
      </c>
      <c r="EA372" s="399">
        <v>0</v>
      </c>
      <c r="EB372" s="399">
        <v>0</v>
      </c>
      <c r="EC372" s="399">
        <v>-12.082922060750443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221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372</v>
      </c>
      <c r="B373" s="399" t="s">
        <v>956</v>
      </c>
      <c r="C373" s="399" t="s">
        <v>2328</v>
      </c>
      <c r="D373" s="399" t="s">
        <v>1821</v>
      </c>
      <c r="E373" s="399" t="s">
        <v>889</v>
      </c>
      <c r="F373" s="399" t="s">
        <v>889</v>
      </c>
      <c r="G373" s="399" t="s">
        <v>1239</v>
      </c>
      <c r="H373" s="399" t="s">
        <v>1239</v>
      </c>
      <c r="I373" s="399" t="s">
        <v>1239</v>
      </c>
      <c r="J373" s="399" t="s">
        <v>2326</v>
      </c>
      <c r="K373" s="786">
        <v>44713</v>
      </c>
      <c r="L373" s="399">
        <v>0</v>
      </c>
      <c r="M373" s="399">
        <v>0</v>
      </c>
      <c r="N373" s="399">
        <v>1329.1890000000001</v>
      </c>
      <c r="O373" s="399">
        <v>1329.1890000000001</v>
      </c>
      <c r="P373" s="399">
        <v>1329.1890000000001</v>
      </c>
      <c r="Q373" s="399">
        <v>1329.1890000000001</v>
      </c>
      <c r="R373" s="399"/>
      <c r="S373" s="399">
        <v>825.6</v>
      </c>
      <c r="T373" s="399">
        <v>185.74</v>
      </c>
      <c r="U373" s="399"/>
      <c r="V373" s="399">
        <v>1344262.0032600001</v>
      </c>
      <c r="W373" s="399">
        <v>1344262.0032600001</v>
      </c>
      <c r="X373" s="399">
        <v>835661.12430000002</v>
      </c>
      <c r="Y373" s="399">
        <v>0</v>
      </c>
      <c r="Z373" s="399">
        <v>82868.508967489106</v>
      </c>
      <c r="AA373" s="399">
        <v>0</v>
      </c>
      <c r="AB373" s="399">
        <v>0</v>
      </c>
      <c r="AC373" s="399">
        <v>0</v>
      </c>
      <c r="AD373" s="399">
        <v>173235.47030027845</v>
      </c>
      <c r="AE373" s="399">
        <v>780592.53509617085</v>
      </c>
      <c r="AF373" s="399">
        <v>246889.26434064304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12806.994165384698</v>
      </c>
      <c r="AM373" s="399"/>
      <c r="AN373" s="399">
        <v>3151.3307997758916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44727.87318940345</v>
      </c>
      <c r="BH373" s="399">
        <v>0</v>
      </c>
      <c r="BI373" s="399">
        <v>371.94</v>
      </c>
      <c r="BJ373" s="399">
        <v>1758.83</v>
      </c>
      <c r="BK373" s="399">
        <v>176621.65</v>
      </c>
      <c r="BL373" s="399">
        <v>8264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291617.13753004652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835661.75300000003</v>
      </c>
      <c r="CJ373" s="399">
        <v>-508600.28026000015</v>
      </c>
      <c r="CK373" s="399"/>
      <c r="CL373" s="399"/>
      <c r="CM373" s="399"/>
      <c r="CN373" s="399"/>
      <c r="CO373" s="399">
        <v>-508600.87896000006</v>
      </c>
      <c r="CP373" s="399">
        <v>0</v>
      </c>
      <c r="CQ373" s="399">
        <v>30</v>
      </c>
      <c r="CR373" s="399">
        <v>-21923.057492842549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-15947.470983509353</v>
      </c>
      <c r="DA373" s="399">
        <v>0</v>
      </c>
      <c r="DB373" s="399">
        <v>0</v>
      </c>
      <c r="DC373" s="399">
        <v>0</v>
      </c>
      <c r="DD373" s="399">
        <v>0</v>
      </c>
      <c r="DE373" s="399">
        <v>0</v>
      </c>
      <c r="DF373" s="399">
        <v>0</v>
      </c>
      <c r="DG373" s="399">
        <v>0</v>
      </c>
      <c r="DH373" s="399">
        <v>0</v>
      </c>
      <c r="DI373" s="399">
        <v>-5125.3083203281858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-686.61363184533548</v>
      </c>
      <c r="DP373" s="399">
        <v>-163.66455715966731</v>
      </c>
      <c r="DQ373" s="399">
        <v>0</v>
      </c>
      <c r="DR373" s="399">
        <v>0</v>
      </c>
      <c r="DS373" s="399"/>
      <c r="DT373" s="399"/>
      <c r="DU373" s="399"/>
      <c r="DV373" s="399">
        <v>780592.53509617085</v>
      </c>
      <c r="DW373" s="399">
        <v>0</v>
      </c>
      <c r="DX373" s="399">
        <v>0</v>
      </c>
      <c r="DY373" s="399">
        <v>-508600.87896000012</v>
      </c>
      <c r="DZ373" s="399">
        <v>0</v>
      </c>
      <c r="EA373" s="399">
        <v>0</v>
      </c>
      <c r="EB373" s="399">
        <v>0</v>
      </c>
      <c r="EC373" s="399">
        <v>-486681.42700020672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221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373</v>
      </c>
      <c r="B374" s="399" t="s">
        <v>2329</v>
      </c>
      <c r="C374" s="399" t="s">
        <v>2328</v>
      </c>
      <c r="D374" s="399" t="s">
        <v>1821</v>
      </c>
      <c r="E374" s="399" t="s">
        <v>889</v>
      </c>
      <c r="F374" s="399" t="s">
        <v>889</v>
      </c>
      <c r="G374" s="399" t="s">
        <v>1239</v>
      </c>
      <c r="H374" s="399" t="s">
        <v>1239</v>
      </c>
      <c r="I374" s="399" t="s">
        <v>1239</v>
      </c>
      <c r="J374" s="399" t="s">
        <v>2326</v>
      </c>
      <c r="K374" s="786">
        <v>44713</v>
      </c>
      <c r="L374" s="399">
        <v>0</v>
      </c>
      <c r="M374" s="399">
        <v>0</v>
      </c>
      <c r="N374" s="399">
        <v>-0.57799999999999996</v>
      </c>
      <c r="O374" s="399">
        <v>-0.57799999999999996</v>
      </c>
      <c r="P374" s="399">
        <v>-0.57799999999999996</v>
      </c>
      <c r="Q374" s="399">
        <v>-0.57799999999999996</v>
      </c>
      <c r="R374" s="399"/>
      <c r="S374" s="399">
        <v>825.6</v>
      </c>
      <c r="T374" s="399">
        <v>185.74</v>
      </c>
      <c r="U374" s="399"/>
      <c r="V374" s="399">
        <v>-584.55452000000002</v>
      </c>
      <c r="W374" s="399">
        <v>-584.55452000000002</v>
      </c>
      <c r="X374" s="399">
        <v>-363.3886</v>
      </c>
      <c r="Y374" s="399">
        <v>0</v>
      </c>
      <c r="Z374" s="399">
        <v>-36.03550599892769</v>
      </c>
      <c r="AA374" s="399">
        <v>0</v>
      </c>
      <c r="AB374" s="399">
        <v>0</v>
      </c>
      <c r="AC374" s="399">
        <v>0</v>
      </c>
      <c r="AD374" s="399">
        <v>-75.331726213172786</v>
      </c>
      <c r="AE374" s="399">
        <v>-339.44193435665409</v>
      </c>
      <c r="AF374" s="399">
        <v>-107.36019842843392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-5.5691422571149438</v>
      </c>
      <c r="AM374" s="399"/>
      <c r="AN374" s="399">
        <v>-1.3703613272984241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-19.44998845421922</v>
      </c>
      <c r="BH374" s="399">
        <v>0</v>
      </c>
      <c r="BI374" s="399">
        <v>-0.17</v>
      </c>
      <c r="BJ374" s="399">
        <v>-0.76</v>
      </c>
      <c r="BK374" s="399">
        <v>-91.17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-126.81018688265314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-364.64599999999996</v>
      </c>
      <c r="CJ374" s="399">
        <v>219.87852000000009</v>
      </c>
      <c r="CK374" s="399"/>
      <c r="CL374" s="399"/>
      <c r="CM374" s="399"/>
      <c r="CN374" s="399"/>
      <c r="CO374" s="399">
        <v>221.16592</v>
      </c>
      <c r="CP374" s="399">
        <v>0</v>
      </c>
      <c r="CQ374" s="399">
        <v>30</v>
      </c>
      <c r="CR374" s="399">
        <v>9.5332772321039272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6.9347837128267003</v>
      </c>
      <c r="DA374" s="399">
        <v>0</v>
      </c>
      <c r="DB374" s="399">
        <v>0</v>
      </c>
      <c r="DC374" s="399">
        <v>0</v>
      </c>
      <c r="DD374" s="399">
        <v>0</v>
      </c>
      <c r="DE374" s="399">
        <v>0</v>
      </c>
      <c r="DF374" s="399">
        <v>0</v>
      </c>
      <c r="DG374" s="399">
        <v>0</v>
      </c>
      <c r="DH374" s="399">
        <v>0</v>
      </c>
      <c r="DI374" s="399">
        <v>2.2287486648999391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0.29857505532065343</v>
      </c>
      <c r="DP374" s="399">
        <v>7.1169799056633343E-2</v>
      </c>
      <c r="DQ374" s="399">
        <v>0</v>
      </c>
      <c r="DR374" s="399">
        <v>0</v>
      </c>
      <c r="DS374" s="399"/>
      <c r="DT374" s="399"/>
      <c r="DU374" s="399"/>
      <c r="DV374" s="399">
        <v>-339.44193435665409</v>
      </c>
      <c r="DW374" s="399">
        <v>0</v>
      </c>
      <c r="DX374" s="399">
        <v>0</v>
      </c>
      <c r="DY374" s="399">
        <v>221.16592000000003</v>
      </c>
      <c r="DZ374" s="399">
        <v>0</v>
      </c>
      <c r="EA374" s="399">
        <v>0</v>
      </c>
      <c r="EB374" s="399">
        <v>0</v>
      </c>
      <c r="EC374" s="399">
        <v>211.63421063981079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221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374</v>
      </c>
      <c r="B375" s="399" t="s">
        <v>2330</v>
      </c>
      <c r="C375" s="399" t="s">
        <v>2328</v>
      </c>
      <c r="D375" s="399" t="s">
        <v>1821</v>
      </c>
      <c r="E375" s="399" t="s">
        <v>889</v>
      </c>
      <c r="F375" s="399" t="s">
        <v>889</v>
      </c>
      <c r="G375" s="399" t="s">
        <v>1239</v>
      </c>
      <c r="H375" s="399" t="s">
        <v>1239</v>
      </c>
      <c r="I375" s="399" t="s">
        <v>1239</v>
      </c>
      <c r="J375" s="399" t="s">
        <v>2326</v>
      </c>
      <c r="K375" s="786">
        <v>44713</v>
      </c>
      <c r="L375" s="399">
        <v>0</v>
      </c>
      <c r="M375" s="399">
        <v>0</v>
      </c>
      <c r="N375" s="399">
        <v>0.192</v>
      </c>
      <c r="O375" s="399">
        <v>0.192</v>
      </c>
      <c r="P375" s="399">
        <v>0.192</v>
      </c>
      <c r="Q375" s="399">
        <v>0.192</v>
      </c>
      <c r="R375" s="399"/>
      <c r="S375" s="399">
        <v>825.6</v>
      </c>
      <c r="T375" s="399">
        <v>185.74</v>
      </c>
      <c r="U375" s="399"/>
      <c r="V375" s="399">
        <v>194.17728000000002</v>
      </c>
      <c r="W375" s="399">
        <v>194.17728000000002</v>
      </c>
      <c r="X375" s="399">
        <v>120.71040000000001</v>
      </c>
      <c r="Y375" s="399">
        <v>0</v>
      </c>
      <c r="Z375" s="399">
        <v>11.970271888917159</v>
      </c>
      <c r="AA375" s="399">
        <v>0</v>
      </c>
      <c r="AB375" s="399">
        <v>0</v>
      </c>
      <c r="AC375" s="399">
        <v>0</v>
      </c>
      <c r="AD375" s="399">
        <v>25.023687600223489</v>
      </c>
      <c r="AE375" s="399">
        <v>112.75579826380206</v>
      </c>
      <c r="AF375" s="399">
        <v>35.662903284185667</v>
      </c>
      <c r="AG375" s="399">
        <v>0</v>
      </c>
      <c r="AH375" s="399">
        <v>0</v>
      </c>
      <c r="AI375" s="399">
        <v>0</v>
      </c>
      <c r="AJ375" s="399">
        <v>0</v>
      </c>
      <c r="AK375" s="399">
        <v>0</v>
      </c>
      <c r="AL375" s="399">
        <v>1.8499572895606735</v>
      </c>
      <c r="AM375" s="399"/>
      <c r="AN375" s="399">
        <v>0.45520653086729662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6.4608958187025793</v>
      </c>
      <c r="BH375" s="399">
        <v>0</v>
      </c>
      <c r="BI375" s="399">
        <v>0.02</v>
      </c>
      <c r="BJ375" s="399">
        <v>0.11</v>
      </c>
      <c r="BK375" s="399">
        <v>101.99</v>
      </c>
      <c r="BL375" s="399">
        <v>3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42.123799102888249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119.453</v>
      </c>
      <c r="CJ375" s="399">
        <v>-74.754279999999994</v>
      </c>
      <c r="CK375" s="399"/>
      <c r="CL375" s="399"/>
      <c r="CM375" s="399"/>
      <c r="CN375" s="399"/>
      <c r="CO375" s="399">
        <v>-73.466880000000003</v>
      </c>
      <c r="CP375" s="399">
        <v>0</v>
      </c>
      <c r="CQ375" s="399">
        <v>30</v>
      </c>
      <c r="CR375" s="399">
        <v>-3.1667633712179395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-2.3035959738109462</v>
      </c>
      <c r="DA375" s="399">
        <v>0</v>
      </c>
      <c r="DB375" s="399">
        <v>0</v>
      </c>
      <c r="DC375" s="399">
        <v>0</v>
      </c>
      <c r="DD375" s="399">
        <v>0</v>
      </c>
      <c r="DE375" s="399">
        <v>0</v>
      </c>
      <c r="DF375" s="399">
        <v>0</v>
      </c>
      <c r="DG375" s="399">
        <v>0</v>
      </c>
      <c r="DH375" s="399">
        <v>0</v>
      </c>
      <c r="DI375" s="399">
        <v>-0.74034557726780115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-9.9180641213781229E-2</v>
      </c>
      <c r="DP375" s="399">
        <v>-2.3641178925386863E-2</v>
      </c>
      <c r="DQ375" s="399">
        <v>0</v>
      </c>
      <c r="DR375" s="399">
        <v>0</v>
      </c>
      <c r="DS375" s="399"/>
      <c r="DT375" s="399"/>
      <c r="DU375" s="399"/>
      <c r="DV375" s="399">
        <v>112.75579826380206</v>
      </c>
      <c r="DW375" s="399">
        <v>0</v>
      </c>
      <c r="DX375" s="399">
        <v>0</v>
      </c>
      <c r="DY375" s="399">
        <v>-73.466880000000018</v>
      </c>
      <c r="DZ375" s="399">
        <v>0</v>
      </c>
      <c r="EA375" s="399">
        <v>0</v>
      </c>
      <c r="EB375" s="399">
        <v>0</v>
      </c>
      <c r="EC375" s="399">
        <v>-70.300637444366231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221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375</v>
      </c>
      <c r="B376" s="399" t="s">
        <v>956</v>
      </c>
      <c r="C376" s="399" t="s">
        <v>2328</v>
      </c>
      <c r="D376" s="399" t="s">
        <v>1821</v>
      </c>
      <c r="E376" s="399" t="s">
        <v>889</v>
      </c>
      <c r="F376" s="399" t="s">
        <v>2331</v>
      </c>
      <c r="G376" s="399" t="s">
        <v>1239</v>
      </c>
      <c r="H376" s="399" t="s">
        <v>1239</v>
      </c>
      <c r="I376" s="399" t="s">
        <v>1239</v>
      </c>
      <c r="J376" s="399" t="s">
        <v>2326</v>
      </c>
      <c r="K376" s="786">
        <v>44713</v>
      </c>
      <c r="L376" s="399">
        <v>0</v>
      </c>
      <c r="M376" s="399">
        <v>0</v>
      </c>
      <c r="N376" s="399">
        <v>8.6999999999999993</v>
      </c>
      <c r="O376" s="399">
        <v>8.6999999999999993</v>
      </c>
      <c r="P376" s="399">
        <v>8.6999999999999993</v>
      </c>
      <c r="Q376" s="399">
        <v>8.6999999999999993</v>
      </c>
      <c r="R376" s="399"/>
      <c r="S376" s="399">
        <v>753.62</v>
      </c>
      <c r="T376" s="399">
        <v>185.74</v>
      </c>
      <c r="U376" s="399"/>
      <c r="V376" s="399">
        <v>8172.4319999999998</v>
      </c>
      <c r="W376" s="399">
        <v>8172.4319999999998</v>
      </c>
      <c r="X376" s="399">
        <v>4881.4830000000002</v>
      </c>
      <c r="Y376" s="399">
        <v>0</v>
      </c>
      <c r="Z376" s="399">
        <v>0</v>
      </c>
      <c r="AA376" s="399">
        <v>0</v>
      </c>
      <c r="AB376" s="399">
        <v>0</v>
      </c>
      <c r="AC376" s="399">
        <v>0</v>
      </c>
      <c r="AD376" s="399">
        <v>1133.8858443851268</v>
      </c>
      <c r="AE376" s="399">
        <v>5109.2471088285301</v>
      </c>
      <c r="AF376" s="399">
        <v>1615.975305064663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0</v>
      </c>
      <c r="AM376" s="399"/>
      <c r="AN376" s="399">
        <v>20.626545929924376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292.75934178496061</v>
      </c>
      <c r="BH376" s="399">
        <v>0</v>
      </c>
      <c r="BI376" s="399">
        <v>0</v>
      </c>
      <c r="BJ376" s="399">
        <v>2.9</v>
      </c>
      <c r="BK376" s="399">
        <v>232</v>
      </c>
      <c r="BL376" s="399">
        <v>29</v>
      </c>
      <c r="BM376" s="399"/>
      <c r="BN376" s="399"/>
      <c r="BO376" s="399"/>
      <c r="BP376" s="399"/>
      <c r="BQ376" s="399"/>
      <c r="BR376" s="399"/>
      <c r="BS376" s="399"/>
      <c r="BT376" s="399">
        <v>3172.9769999999999</v>
      </c>
      <c r="BU376" s="399"/>
      <c r="BV376" s="399">
        <v>1908.7346468496235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1708.5059999999999</v>
      </c>
      <c r="CJ376" s="399">
        <v>-1151.9100000000003</v>
      </c>
      <c r="CK376" s="399"/>
      <c r="CL376" s="399"/>
      <c r="CM376" s="399"/>
      <c r="CN376" s="399"/>
      <c r="CO376" s="399">
        <v>-3290.9489999999996</v>
      </c>
      <c r="CP376" s="399">
        <v>0</v>
      </c>
      <c r="CQ376" s="399">
        <v>30</v>
      </c>
      <c r="CR376" s="399">
        <v>-105.45293348336463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-104.38169256330843</v>
      </c>
      <c r="DA376" s="399">
        <v>0</v>
      </c>
      <c r="DB376" s="399">
        <v>0</v>
      </c>
      <c r="DC376" s="399">
        <v>0</v>
      </c>
      <c r="DD376" s="399">
        <v>0</v>
      </c>
      <c r="DE376" s="399">
        <v>0</v>
      </c>
      <c r="DF376" s="399">
        <v>0</v>
      </c>
      <c r="DG376" s="399">
        <v>0</v>
      </c>
      <c r="DH376" s="399">
        <v>0</v>
      </c>
      <c r="DI376" s="399">
        <v>0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0</v>
      </c>
      <c r="DP376" s="399">
        <v>-1.0712409200565922</v>
      </c>
      <c r="DQ376" s="399">
        <v>0</v>
      </c>
      <c r="DR376" s="399">
        <v>0</v>
      </c>
      <c r="DS376" s="399"/>
      <c r="DT376" s="399"/>
      <c r="DU376" s="399"/>
      <c r="DV376" s="399">
        <v>5109.2471088285301</v>
      </c>
      <c r="DW376" s="399">
        <v>0</v>
      </c>
      <c r="DX376" s="399">
        <v>0</v>
      </c>
      <c r="DY376" s="399">
        <v>-3290.9489999999996</v>
      </c>
      <c r="DZ376" s="399">
        <v>0</v>
      </c>
      <c r="EA376" s="399">
        <v>0</v>
      </c>
      <c r="EB376" s="399">
        <v>0</v>
      </c>
      <c r="EC376" s="399">
        <v>-3185.4976341978436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221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376</v>
      </c>
      <c r="B377" s="399" t="s">
        <v>956</v>
      </c>
      <c r="C377" s="399" t="s">
        <v>2328</v>
      </c>
      <c r="D377" s="399" t="s">
        <v>1821</v>
      </c>
      <c r="E377" s="399" t="s">
        <v>889</v>
      </c>
      <c r="F377" s="399" t="s">
        <v>2332</v>
      </c>
      <c r="G377" s="399" t="s">
        <v>1239</v>
      </c>
      <c r="H377" s="399" t="s">
        <v>1239</v>
      </c>
      <c r="I377" s="399" t="s">
        <v>1239</v>
      </c>
      <c r="J377" s="399" t="s">
        <v>2326</v>
      </c>
      <c r="K377" s="786">
        <v>44713</v>
      </c>
      <c r="L377" s="399">
        <v>0</v>
      </c>
      <c r="M377" s="399">
        <v>0</v>
      </c>
      <c r="N377" s="399">
        <v>16.468</v>
      </c>
      <c r="O377" s="399">
        <v>16.468</v>
      </c>
      <c r="P377" s="399">
        <v>16.468</v>
      </c>
      <c r="Q377" s="399">
        <v>16.468</v>
      </c>
      <c r="R377" s="399"/>
      <c r="S377" s="399">
        <v>753.62</v>
      </c>
      <c r="T377" s="399">
        <v>185.74</v>
      </c>
      <c r="U377" s="399"/>
      <c r="V377" s="399">
        <v>15469.38048</v>
      </c>
      <c r="W377" s="399">
        <v>15469.38048</v>
      </c>
      <c r="X377" s="399">
        <v>9240.0301200000013</v>
      </c>
      <c r="Y377" s="399">
        <v>0</v>
      </c>
      <c r="Z377" s="399">
        <v>0</v>
      </c>
      <c r="AA377" s="399">
        <v>0</v>
      </c>
      <c r="AB377" s="399">
        <v>0</v>
      </c>
      <c r="AC377" s="399">
        <v>0</v>
      </c>
      <c r="AD377" s="399">
        <v>2146.3025385441688</v>
      </c>
      <c r="AE377" s="399">
        <v>9671.1587802515223</v>
      </c>
      <c r="AF377" s="399">
        <v>3058.8369337706749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0</v>
      </c>
      <c r="AM377" s="399"/>
      <c r="AN377" s="399">
        <v>39.043443491263751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554.15641844996912</v>
      </c>
      <c r="BH377" s="399">
        <v>0</v>
      </c>
      <c r="BI377" s="399">
        <v>2.2999999999999998</v>
      </c>
      <c r="BJ377" s="399">
        <v>11.83</v>
      </c>
      <c r="BK377" s="399">
        <v>757.42</v>
      </c>
      <c r="BL377" s="399">
        <v>55</v>
      </c>
      <c r="BM377" s="399"/>
      <c r="BN377" s="399"/>
      <c r="BO377" s="399"/>
      <c r="BP377" s="399"/>
      <c r="BQ377" s="399"/>
      <c r="BR377" s="399"/>
      <c r="BS377" s="399"/>
      <c r="BT377" s="399">
        <v>3695.9132400000003</v>
      </c>
      <c r="BU377" s="399"/>
      <c r="BV377" s="399">
        <v>3612.9933522206438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5544.7901999999995</v>
      </c>
      <c r="CJ377" s="399">
        <v>-3736.9339600000021</v>
      </c>
      <c r="CK377" s="399"/>
      <c r="CL377" s="399"/>
      <c r="CM377" s="399"/>
      <c r="CN377" s="399"/>
      <c r="CO377" s="399">
        <v>-6229.3503599999995</v>
      </c>
      <c r="CP377" s="399">
        <v>0</v>
      </c>
      <c r="CQ377" s="399">
        <v>30</v>
      </c>
      <c r="CR377" s="399">
        <v>-199.60906995448931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-197.58134633707618</v>
      </c>
      <c r="DA377" s="399">
        <v>0</v>
      </c>
      <c r="DB377" s="399">
        <v>0</v>
      </c>
      <c r="DC377" s="399">
        <v>0</v>
      </c>
      <c r="DD377" s="399">
        <v>0</v>
      </c>
      <c r="DE377" s="399">
        <v>0</v>
      </c>
      <c r="DF377" s="399">
        <v>0</v>
      </c>
      <c r="DG377" s="399">
        <v>0</v>
      </c>
      <c r="DH377" s="399">
        <v>0</v>
      </c>
      <c r="DI377" s="399">
        <v>0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0</v>
      </c>
      <c r="DP377" s="399">
        <v>-2.0277236174128674</v>
      </c>
      <c r="DQ377" s="399">
        <v>0</v>
      </c>
      <c r="DR377" s="399">
        <v>0</v>
      </c>
      <c r="DS377" s="399"/>
      <c r="DT377" s="399"/>
      <c r="DU377" s="399"/>
      <c r="DV377" s="399">
        <v>9671.1587802515223</v>
      </c>
      <c r="DW377" s="399">
        <v>0</v>
      </c>
      <c r="DX377" s="399">
        <v>0</v>
      </c>
      <c r="DY377" s="399">
        <v>-6229.3503599999985</v>
      </c>
      <c r="DZ377" s="399">
        <v>0</v>
      </c>
      <c r="EA377" s="399">
        <v>0</v>
      </c>
      <c r="EB377" s="399">
        <v>0</v>
      </c>
      <c r="EC377" s="399">
        <v>-6029.744257467828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221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377</v>
      </c>
      <c r="B378" s="399" t="s">
        <v>956</v>
      </c>
      <c r="C378" s="399" t="s">
        <v>2328</v>
      </c>
      <c r="D378" s="399" t="s">
        <v>1821</v>
      </c>
      <c r="E378" s="399" t="s">
        <v>889</v>
      </c>
      <c r="F378" s="399" t="s">
        <v>2333</v>
      </c>
      <c r="G378" s="399" t="s">
        <v>1239</v>
      </c>
      <c r="H378" s="399" t="s">
        <v>1239</v>
      </c>
      <c r="I378" s="399" t="s">
        <v>1239</v>
      </c>
      <c r="J378" s="399" t="s">
        <v>2326</v>
      </c>
      <c r="K378" s="786">
        <v>44713</v>
      </c>
      <c r="L378" s="399">
        <v>0</v>
      </c>
      <c r="M378" s="399">
        <v>0</v>
      </c>
      <c r="N378" s="399">
        <v>17.007999999999999</v>
      </c>
      <c r="O378" s="399">
        <v>17.007999999999999</v>
      </c>
      <c r="P378" s="399">
        <v>17.007999999999999</v>
      </c>
      <c r="Q378" s="399">
        <v>17.007999999999999</v>
      </c>
      <c r="R378" s="399"/>
      <c r="S378" s="399">
        <v>753.62</v>
      </c>
      <c r="T378" s="399">
        <v>185.74</v>
      </c>
      <c r="U378" s="399"/>
      <c r="V378" s="399">
        <v>15976.634879999998</v>
      </c>
      <c r="W378" s="399">
        <v>15976.634879999998</v>
      </c>
      <c r="X378" s="399">
        <v>9543.01872</v>
      </c>
      <c r="Y378" s="399">
        <v>0</v>
      </c>
      <c r="Z378" s="399">
        <v>0</v>
      </c>
      <c r="AA378" s="399">
        <v>0</v>
      </c>
      <c r="AB378" s="399">
        <v>0</v>
      </c>
      <c r="AC378" s="399">
        <v>0</v>
      </c>
      <c r="AD378" s="399">
        <v>2216.6816599197973</v>
      </c>
      <c r="AE378" s="399">
        <v>9988.2844628684652</v>
      </c>
      <c r="AF378" s="399">
        <v>3159.138849257447</v>
      </c>
      <c r="AG378" s="399">
        <v>0</v>
      </c>
      <c r="AH378" s="399">
        <v>0</v>
      </c>
      <c r="AI378" s="399">
        <v>0</v>
      </c>
      <c r="AJ378" s="399">
        <v>0</v>
      </c>
      <c r="AK378" s="399">
        <v>0</v>
      </c>
      <c r="AL378" s="399">
        <v>0</v>
      </c>
      <c r="AM378" s="399"/>
      <c r="AN378" s="399">
        <v>40.323711859328021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572.32768794007006</v>
      </c>
      <c r="BH378" s="399">
        <v>0</v>
      </c>
      <c r="BI378" s="399">
        <v>4.2300000000000004</v>
      </c>
      <c r="BJ378" s="399">
        <v>18.54</v>
      </c>
      <c r="BK378" s="399">
        <v>1975.85</v>
      </c>
      <c r="BL378" s="399">
        <v>129</v>
      </c>
      <c r="BM378" s="399"/>
      <c r="BN378" s="399"/>
      <c r="BO378" s="399"/>
      <c r="BP378" s="399"/>
      <c r="BQ378" s="399"/>
      <c r="BR378" s="399"/>
      <c r="BS378" s="399"/>
      <c r="BT378" s="399">
        <v>954.14880000000085</v>
      </c>
      <c r="BU378" s="399"/>
      <c r="BV378" s="399">
        <v>3731.466537197517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8589.8798999999999</v>
      </c>
      <c r="CJ378" s="399">
        <v>-5789.2235400000009</v>
      </c>
      <c r="CK378" s="399"/>
      <c r="CL378" s="399"/>
      <c r="CM378" s="399"/>
      <c r="CN378" s="399"/>
      <c r="CO378" s="399">
        <v>-6433.6161599999996</v>
      </c>
      <c r="CP378" s="399">
        <v>0</v>
      </c>
      <c r="CQ378" s="399">
        <v>30</v>
      </c>
      <c r="CR378" s="399">
        <v>-206.15442444655946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-204.06021001341946</v>
      </c>
      <c r="DA378" s="399">
        <v>0</v>
      </c>
      <c r="DB378" s="399">
        <v>0</v>
      </c>
      <c r="DC378" s="399">
        <v>0</v>
      </c>
      <c r="DD378" s="399">
        <v>0</v>
      </c>
      <c r="DE378" s="399">
        <v>0</v>
      </c>
      <c r="DF378" s="399">
        <v>0</v>
      </c>
      <c r="DG378" s="399">
        <v>0</v>
      </c>
      <c r="DH378" s="399">
        <v>0</v>
      </c>
      <c r="DI378" s="399">
        <v>0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0</v>
      </c>
      <c r="DP378" s="399">
        <v>-2.0942144331405217</v>
      </c>
      <c r="DQ378" s="399">
        <v>0</v>
      </c>
      <c r="DR378" s="399">
        <v>0</v>
      </c>
      <c r="DS378" s="399"/>
      <c r="DT378" s="399"/>
      <c r="DU378" s="399"/>
      <c r="DV378" s="399">
        <v>9988.2844628684652</v>
      </c>
      <c r="DW378" s="399">
        <v>0</v>
      </c>
      <c r="DX378" s="399">
        <v>0</v>
      </c>
      <c r="DY378" s="399">
        <v>-6433.6161599999987</v>
      </c>
      <c r="DZ378" s="399">
        <v>0</v>
      </c>
      <c r="EA378" s="399">
        <v>0</v>
      </c>
      <c r="EB378" s="399">
        <v>0</v>
      </c>
      <c r="EC378" s="399">
        <v>-6227.4648002801077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221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378</v>
      </c>
      <c r="B379" s="399" t="s">
        <v>956</v>
      </c>
      <c r="C379" s="399" t="s">
        <v>2328</v>
      </c>
      <c r="D379" s="399" t="s">
        <v>1821</v>
      </c>
      <c r="E379" s="399" t="s">
        <v>889</v>
      </c>
      <c r="F379" s="399" t="s">
        <v>2334</v>
      </c>
      <c r="G379" s="399" t="s">
        <v>1239</v>
      </c>
      <c r="H379" s="399" t="s">
        <v>1239</v>
      </c>
      <c r="I379" s="399" t="s">
        <v>1239</v>
      </c>
      <c r="J379" s="399" t="s">
        <v>2326</v>
      </c>
      <c r="K379" s="786">
        <v>44713</v>
      </c>
      <c r="L379" s="399">
        <v>0</v>
      </c>
      <c r="M379" s="399">
        <v>0</v>
      </c>
      <c r="N379" s="399">
        <v>8.8190000000000008</v>
      </c>
      <c r="O379" s="399">
        <v>8.8190000000000008</v>
      </c>
      <c r="P379" s="399">
        <v>8.8190000000000008</v>
      </c>
      <c r="Q379" s="399">
        <v>8.8190000000000008</v>
      </c>
      <c r="R379" s="399"/>
      <c r="S379" s="399">
        <v>753.62</v>
      </c>
      <c r="T379" s="399">
        <v>185.74</v>
      </c>
      <c r="U379" s="399"/>
      <c r="V379" s="399">
        <v>8284.2158400000008</v>
      </c>
      <c r="W379" s="399">
        <v>8284.2158400000008</v>
      </c>
      <c r="X379" s="399">
        <v>4948.2527100000007</v>
      </c>
      <c r="Y379" s="399">
        <v>0</v>
      </c>
      <c r="Z379" s="399">
        <v>0</v>
      </c>
      <c r="AA379" s="399">
        <v>0</v>
      </c>
      <c r="AB379" s="399">
        <v>0</v>
      </c>
      <c r="AC379" s="399">
        <v>0</v>
      </c>
      <c r="AD379" s="399">
        <v>1149.3953174290154</v>
      </c>
      <c r="AE379" s="399">
        <v>5179.1322129607834</v>
      </c>
      <c r="AF379" s="399">
        <v>1638.0788753293407</v>
      </c>
      <c r="AG379" s="399">
        <v>0</v>
      </c>
      <c r="AH379" s="399">
        <v>0</v>
      </c>
      <c r="AI379" s="399">
        <v>0</v>
      </c>
      <c r="AJ379" s="399">
        <v>0</v>
      </c>
      <c r="AK379" s="399">
        <v>0</v>
      </c>
      <c r="AL379" s="399">
        <v>0</v>
      </c>
      <c r="AM379" s="399"/>
      <c r="AN379" s="399">
        <v>20.908679144368172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296.76375117259403</v>
      </c>
      <c r="BH379" s="399">
        <v>0</v>
      </c>
      <c r="BI379" s="399">
        <v>2.5299999999999998</v>
      </c>
      <c r="BJ379" s="399">
        <v>10.32</v>
      </c>
      <c r="BK379" s="399">
        <v>1653.29</v>
      </c>
      <c r="BL379" s="399">
        <v>77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1934.8426265019348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4948.8138000000008</v>
      </c>
      <c r="CJ379" s="399">
        <v>-3335.4320400000006</v>
      </c>
      <c r="CK379" s="399"/>
      <c r="CL379" s="399"/>
      <c r="CM379" s="399"/>
      <c r="CN379" s="399"/>
      <c r="CO379" s="399">
        <v>-3335.9631300000001</v>
      </c>
      <c r="CP379" s="399">
        <v>0</v>
      </c>
      <c r="CQ379" s="399">
        <v>30</v>
      </c>
      <c r="CR379" s="399">
        <v>-106.895335676988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-105.80944215124327</v>
      </c>
      <c r="DA379" s="399">
        <v>0</v>
      </c>
      <c r="DB379" s="399">
        <v>0</v>
      </c>
      <c r="DC379" s="399">
        <v>0</v>
      </c>
      <c r="DD379" s="399">
        <v>0</v>
      </c>
      <c r="DE379" s="399">
        <v>0</v>
      </c>
      <c r="DF379" s="399">
        <v>0</v>
      </c>
      <c r="DG379" s="399">
        <v>0</v>
      </c>
      <c r="DH379" s="399">
        <v>0</v>
      </c>
      <c r="DI379" s="399">
        <v>0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0</v>
      </c>
      <c r="DP379" s="399">
        <v>-1.0858935257447229</v>
      </c>
      <c r="DQ379" s="399">
        <v>0</v>
      </c>
      <c r="DR379" s="399">
        <v>0</v>
      </c>
      <c r="DS379" s="399"/>
      <c r="DT379" s="399"/>
      <c r="DU379" s="399"/>
      <c r="DV379" s="399">
        <v>5179.1322129607834</v>
      </c>
      <c r="DW379" s="399">
        <v>0</v>
      </c>
      <c r="DX379" s="399">
        <v>0</v>
      </c>
      <c r="DY379" s="399">
        <v>-3335.9631299999996</v>
      </c>
      <c r="DZ379" s="399">
        <v>0</v>
      </c>
      <c r="EA379" s="399">
        <v>0</v>
      </c>
      <c r="EB379" s="399">
        <v>0</v>
      </c>
      <c r="EC379" s="399">
        <v>-3229.0693834472172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221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379</v>
      </c>
      <c r="B380" s="399" t="s">
        <v>956</v>
      </c>
      <c r="C380" s="399" t="s">
        <v>2335</v>
      </c>
      <c r="D380" s="399" t="s">
        <v>1821</v>
      </c>
      <c r="E380" s="399" t="s">
        <v>889</v>
      </c>
      <c r="F380" s="399" t="s">
        <v>889</v>
      </c>
      <c r="G380" s="399" t="s">
        <v>1239</v>
      </c>
      <c r="H380" s="399" t="s">
        <v>1239</v>
      </c>
      <c r="I380" s="399" t="s">
        <v>893</v>
      </c>
      <c r="J380" s="399" t="s">
        <v>2326</v>
      </c>
      <c r="K380" s="786">
        <v>44713</v>
      </c>
      <c r="L380" s="399">
        <v>0</v>
      </c>
      <c r="M380" s="399">
        <v>0</v>
      </c>
      <c r="N380" s="399">
        <v>8.4000000000000005E-2</v>
      </c>
      <c r="O380" s="399">
        <v>8.4000000000000005E-2</v>
      </c>
      <c r="P380" s="399">
        <v>8.4000000000000005E-2</v>
      </c>
      <c r="Q380" s="399">
        <v>8.4000000000000005E-2</v>
      </c>
      <c r="R380" s="399"/>
      <c r="S380" s="399">
        <v>2045.69</v>
      </c>
      <c r="T380" s="399">
        <v>185.74</v>
      </c>
      <c r="U380" s="399"/>
      <c r="V380" s="399">
        <v>187.44012000000001</v>
      </c>
      <c r="W380" s="399">
        <v>187.44012000000001</v>
      </c>
      <c r="X380" s="399">
        <v>101.29728</v>
      </c>
      <c r="Y380" s="399">
        <v>0</v>
      </c>
      <c r="Z380" s="399">
        <v>5.2369939514012565</v>
      </c>
      <c r="AA380" s="399">
        <v>0</v>
      </c>
      <c r="AB380" s="399">
        <v>0</v>
      </c>
      <c r="AC380" s="399">
        <v>0</v>
      </c>
      <c r="AD380" s="399">
        <v>29.572753148257455</v>
      </c>
      <c r="AE380" s="399">
        <v>133.19274514599061</v>
      </c>
      <c r="AF380" s="399">
        <v>15.60252018683123</v>
      </c>
      <c r="AG380" s="399">
        <v>0</v>
      </c>
      <c r="AH380" s="399">
        <v>0</v>
      </c>
      <c r="AI380" s="399">
        <v>0</v>
      </c>
      <c r="AJ380" s="399">
        <v>0</v>
      </c>
      <c r="AK380" s="399">
        <v>0</v>
      </c>
      <c r="AL380" s="399">
        <v>0.80935631418279463</v>
      </c>
      <c r="AM380" s="399"/>
      <c r="AN380" s="399">
        <v>0.19915285725444229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2.8266419206823787</v>
      </c>
      <c r="BH380" s="399">
        <v>0</v>
      </c>
      <c r="BI380" s="399">
        <v>0</v>
      </c>
      <c r="BJ380" s="399">
        <v>0</v>
      </c>
      <c r="BK380" s="399">
        <v>0</v>
      </c>
      <c r="BL380" s="399">
        <v>0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18.429162107513609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96.473600000000005</v>
      </c>
      <c r="CJ380" s="399">
        <v>-90.996519999999975</v>
      </c>
      <c r="CK380" s="399"/>
      <c r="CL380" s="399"/>
      <c r="CM380" s="399"/>
      <c r="CN380" s="399"/>
      <c r="CO380" s="399">
        <v>-86.142840000000021</v>
      </c>
      <c r="CP380" s="399">
        <v>0</v>
      </c>
      <c r="CQ380" s="399">
        <v>30</v>
      </c>
      <c r="CR380" s="399">
        <v>-3.1000032856720381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-2.7223675493064974</v>
      </c>
      <c r="DA380" s="399">
        <v>0</v>
      </c>
      <c r="DB380" s="399">
        <v>0</v>
      </c>
      <c r="DC380" s="399">
        <v>0</v>
      </c>
      <c r="DD380" s="399">
        <v>0</v>
      </c>
      <c r="DE380" s="399">
        <v>0</v>
      </c>
      <c r="DF380" s="399">
        <v>0</v>
      </c>
      <c r="DG380" s="399">
        <v>0</v>
      </c>
      <c r="DH380" s="399">
        <v>0</v>
      </c>
      <c r="DI380" s="399">
        <v>-0.32390119005466289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-4.3391530531029177E-2</v>
      </c>
      <c r="DP380" s="399">
        <v>-1.0343015779856773E-2</v>
      </c>
      <c r="DQ380" s="399">
        <v>0</v>
      </c>
      <c r="DR380" s="399">
        <v>0</v>
      </c>
      <c r="DS380" s="399"/>
      <c r="DT380" s="399"/>
      <c r="DU380" s="399"/>
      <c r="DV380" s="399">
        <v>133.19274514599061</v>
      </c>
      <c r="DW380" s="399">
        <v>0</v>
      </c>
      <c r="DX380" s="399">
        <v>0</v>
      </c>
      <c r="DY380" s="399">
        <v>-86.142840000000007</v>
      </c>
      <c r="DZ380" s="399">
        <v>0</v>
      </c>
      <c r="EA380" s="399">
        <v>0</v>
      </c>
      <c r="EB380" s="399">
        <v>0</v>
      </c>
      <c r="EC380" s="399">
        <v>-83.04260207374287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221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380</v>
      </c>
      <c r="B381" s="399" t="s">
        <v>956</v>
      </c>
      <c r="C381" s="399" t="s">
        <v>2335</v>
      </c>
      <c r="D381" s="399" t="s">
        <v>1821</v>
      </c>
      <c r="E381" s="399" t="s">
        <v>889</v>
      </c>
      <c r="F381" s="399" t="s">
        <v>889</v>
      </c>
      <c r="G381" s="399" t="s">
        <v>1239</v>
      </c>
      <c r="H381" s="399" t="s">
        <v>1239</v>
      </c>
      <c r="I381" s="399" t="s">
        <v>2323</v>
      </c>
      <c r="J381" s="399" t="s">
        <v>2326</v>
      </c>
      <c r="K381" s="786">
        <v>44713</v>
      </c>
      <c r="L381" s="399">
        <v>0</v>
      </c>
      <c r="M381" s="399">
        <v>0</v>
      </c>
      <c r="N381" s="399">
        <v>0.72699999999999998</v>
      </c>
      <c r="O381" s="399">
        <v>0.72699999999999998</v>
      </c>
      <c r="P381" s="399">
        <v>0.72699999999999998</v>
      </c>
      <c r="Q381" s="399">
        <v>0.72699999999999998</v>
      </c>
      <c r="R381" s="399"/>
      <c r="S381" s="399">
        <v>495.6</v>
      </c>
      <c r="T381" s="399">
        <v>185.74</v>
      </c>
      <c r="U381" s="399"/>
      <c r="V381" s="399">
        <v>495.33418</v>
      </c>
      <c r="W381" s="399">
        <v>495.33418</v>
      </c>
      <c r="X381" s="399">
        <v>343.60928000000001</v>
      </c>
      <c r="Y381" s="399">
        <v>0</v>
      </c>
      <c r="Z381" s="399">
        <v>45.324935746056113</v>
      </c>
      <c r="AA381" s="399">
        <v>0</v>
      </c>
      <c r="AB381" s="399">
        <v>0</v>
      </c>
      <c r="AC381" s="399">
        <v>0</v>
      </c>
      <c r="AD381" s="399">
        <v>51.235842850214411</v>
      </c>
      <c r="AE381" s="399">
        <v>230.55011951983283</v>
      </c>
      <c r="AF381" s="399">
        <v>135.03609733126552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7.0047861953677577</v>
      </c>
      <c r="AM381" s="399"/>
      <c r="AN381" s="399">
        <v>1.7236205621902325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24.463912813524871</v>
      </c>
      <c r="BH381" s="399">
        <v>0</v>
      </c>
      <c r="BI381" s="399">
        <v>0</v>
      </c>
      <c r="BJ381" s="399">
        <v>0</v>
      </c>
      <c r="BK381" s="399">
        <v>0</v>
      </c>
      <c r="BL381" s="399">
        <v>0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159.50001014479039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345.02719999999999</v>
      </c>
      <c r="CJ381" s="399">
        <v>-150.33697999999998</v>
      </c>
      <c r="CK381" s="399"/>
      <c r="CL381" s="399"/>
      <c r="CM381" s="399"/>
      <c r="CN381" s="399"/>
      <c r="CO381" s="399">
        <v>-151.72490000000002</v>
      </c>
      <c r="CP381" s="399">
        <v>0</v>
      </c>
      <c r="CQ381" s="399">
        <v>30</v>
      </c>
      <c r="CR381" s="399">
        <v>-7.9849456413993494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-4.7165982564261171</v>
      </c>
      <c r="DA381" s="399">
        <v>0</v>
      </c>
      <c r="DB381" s="399">
        <v>0</v>
      </c>
      <c r="DC381" s="399">
        <v>0</v>
      </c>
      <c r="DD381" s="399">
        <v>0</v>
      </c>
      <c r="DE381" s="399">
        <v>0</v>
      </c>
      <c r="DF381" s="399">
        <v>0</v>
      </c>
      <c r="DG381" s="399">
        <v>0</v>
      </c>
      <c r="DH381" s="399">
        <v>0</v>
      </c>
      <c r="DI381" s="399">
        <v>-2.8032876805921418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-0.37554336542926414</v>
      </c>
      <c r="DP381" s="399">
        <v>-8.9516338951855623E-2</v>
      </c>
      <c r="DQ381" s="399">
        <v>0</v>
      </c>
      <c r="DR381" s="399">
        <v>0</v>
      </c>
      <c r="DS381" s="399"/>
      <c r="DT381" s="399"/>
      <c r="DU381" s="399"/>
      <c r="DV381" s="399">
        <v>230.55011951983283</v>
      </c>
      <c r="DW381" s="399">
        <v>0</v>
      </c>
      <c r="DX381" s="399">
        <v>0</v>
      </c>
      <c r="DY381" s="399">
        <v>-151.72490000000002</v>
      </c>
      <c r="DZ381" s="399">
        <v>0</v>
      </c>
      <c r="EA381" s="399">
        <v>0</v>
      </c>
      <c r="EB381" s="399">
        <v>0</v>
      </c>
      <c r="EC381" s="399">
        <v>-143.74267766877458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221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381</v>
      </c>
      <c r="B382" s="399" t="s">
        <v>956</v>
      </c>
      <c r="C382" s="399" t="s">
        <v>2335</v>
      </c>
      <c r="D382" s="399" t="s">
        <v>1821</v>
      </c>
      <c r="E382" s="399" t="s">
        <v>889</v>
      </c>
      <c r="F382" s="399" t="s">
        <v>889</v>
      </c>
      <c r="G382" s="399" t="s">
        <v>1239</v>
      </c>
      <c r="H382" s="399" t="s">
        <v>1239</v>
      </c>
      <c r="I382" s="399" t="s">
        <v>1239</v>
      </c>
      <c r="J382" s="399" t="s">
        <v>2326</v>
      </c>
      <c r="K382" s="786">
        <v>44713</v>
      </c>
      <c r="L382" s="399">
        <v>0</v>
      </c>
      <c r="M382" s="399">
        <v>0</v>
      </c>
      <c r="N382" s="399">
        <v>0</v>
      </c>
      <c r="O382" s="399">
        <v>0</v>
      </c>
      <c r="P382" s="399">
        <v>0</v>
      </c>
      <c r="Q382" s="399">
        <v>0</v>
      </c>
      <c r="R382" s="399"/>
      <c r="S382" s="399"/>
      <c r="T382" s="399"/>
      <c r="U382" s="399"/>
      <c r="V382" s="399"/>
      <c r="W382" s="399"/>
      <c r="X382" s="399"/>
      <c r="Y382" s="399"/>
      <c r="Z382" s="399"/>
      <c r="AA382" s="399">
        <v>0</v>
      </c>
      <c r="AB382" s="399"/>
      <c r="AC382" s="399"/>
      <c r="AD382" s="399"/>
      <c r="AE382" s="399"/>
      <c r="AF382" s="399"/>
      <c r="AG382" s="399"/>
      <c r="AH382" s="399"/>
      <c r="AI382" s="399"/>
      <c r="AJ382" s="399"/>
      <c r="AK382" s="399"/>
      <c r="AL382" s="399"/>
      <c r="AM382" s="399"/>
      <c r="AN382" s="399"/>
      <c r="AO382" s="399"/>
      <c r="AP382" s="399"/>
      <c r="AQ382" s="399"/>
      <c r="AR382" s="399"/>
      <c r="AS382" s="399"/>
      <c r="AT382" s="399"/>
      <c r="AU382" s="399"/>
      <c r="AV382" s="399"/>
      <c r="AW382" s="399"/>
      <c r="AX382" s="399"/>
      <c r="AY382" s="399"/>
      <c r="AZ382" s="399">
        <v>0</v>
      </c>
      <c r="BA382" s="399"/>
      <c r="BB382" s="399"/>
      <c r="BC382" s="399"/>
      <c r="BD382" s="399"/>
      <c r="BE382" s="399"/>
      <c r="BF382" s="399"/>
      <c r="BG382" s="399"/>
      <c r="BH382" s="399"/>
      <c r="BI382" s="399">
        <v>0.23</v>
      </c>
      <c r="BJ382" s="399">
        <v>1.02</v>
      </c>
      <c r="BK382" s="399">
        <v>118.48</v>
      </c>
      <c r="BL382" s="399">
        <v>2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/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/>
      <c r="CJ382" s="399">
        <v>-0.03</v>
      </c>
      <c r="CK382" s="399"/>
      <c r="CL382" s="399"/>
      <c r="CM382" s="399"/>
      <c r="CN382" s="399"/>
      <c r="CO382" s="399">
        <v>0</v>
      </c>
      <c r="CP382" s="399">
        <v>0</v>
      </c>
      <c r="CQ382" s="399">
        <v>30</v>
      </c>
      <c r="CR382" s="399"/>
      <c r="CS382" s="399"/>
      <c r="CT382" s="399"/>
      <c r="CU382" s="399"/>
      <c r="CV382" s="399"/>
      <c r="CW382" s="399"/>
      <c r="CX382" s="399"/>
      <c r="CY382" s="399"/>
      <c r="CZ382" s="399"/>
      <c r="DA382" s="399"/>
      <c r="DB382" s="399"/>
      <c r="DC382" s="399"/>
      <c r="DD382" s="399"/>
      <c r="DE382" s="399"/>
      <c r="DF382" s="399"/>
      <c r="DG382" s="399"/>
      <c r="DH382" s="399"/>
      <c r="DI382" s="399"/>
      <c r="DJ382" s="399"/>
      <c r="DK382" s="399">
        <v>0</v>
      </c>
      <c r="DL382" s="399"/>
      <c r="DM382" s="399"/>
      <c r="DN382" s="399"/>
      <c r="DO382" s="399"/>
      <c r="DP382" s="399"/>
      <c r="DQ382" s="399"/>
      <c r="DR382" s="399"/>
      <c r="DS382" s="399"/>
      <c r="DT382" s="399"/>
      <c r="DU382" s="399"/>
      <c r="DV382" s="399"/>
      <c r="DW382" s="399"/>
      <c r="DX382" s="399"/>
      <c r="DY382" s="399"/>
      <c r="DZ382" s="399"/>
      <c r="EA382" s="399"/>
      <c r="EB382" s="399"/>
      <c r="EC382" s="399"/>
      <c r="ED382" s="399"/>
      <c r="EE382" s="399"/>
      <c r="EF382" s="399"/>
      <c r="EG382" s="399"/>
      <c r="EH382" s="399"/>
      <c r="EI382" s="399"/>
      <c r="EJ382" s="399"/>
      <c r="EK382" s="399"/>
      <c r="EL382" s="399"/>
      <c r="EM382" s="399"/>
      <c r="EN382" s="399"/>
      <c r="EO382" s="399"/>
      <c r="EP382" s="399"/>
      <c r="EQ382" s="399"/>
      <c r="ER382" s="399"/>
      <c r="ES382" s="399"/>
      <c r="ET382" s="399"/>
      <c r="EU382" s="399"/>
      <c r="EV382" s="399">
        <v>221</v>
      </c>
      <c r="EW382" s="399"/>
      <c r="EX382" s="399"/>
      <c r="EY382" s="399"/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382</v>
      </c>
      <c r="B383" s="399" t="s">
        <v>956</v>
      </c>
      <c r="C383" s="399" t="s">
        <v>2335</v>
      </c>
      <c r="D383" s="399" t="s">
        <v>1821</v>
      </c>
      <c r="E383" s="399" t="s">
        <v>889</v>
      </c>
      <c r="F383" s="399" t="s">
        <v>889</v>
      </c>
      <c r="G383" s="399" t="s">
        <v>1239</v>
      </c>
      <c r="H383" s="399" t="s">
        <v>1239</v>
      </c>
      <c r="I383" s="399" t="s">
        <v>2336</v>
      </c>
      <c r="J383" s="399" t="s">
        <v>2326</v>
      </c>
      <c r="K383" s="786">
        <v>44713</v>
      </c>
      <c r="L383" s="399">
        <v>0</v>
      </c>
      <c r="M383" s="399">
        <v>0</v>
      </c>
      <c r="N383" s="399">
        <v>4.8000000000000001E-2</v>
      </c>
      <c r="O383" s="399">
        <v>4.8000000000000001E-2</v>
      </c>
      <c r="P383" s="399">
        <v>4.8000000000000001E-2</v>
      </c>
      <c r="Q383" s="399">
        <v>4.8000000000000001E-2</v>
      </c>
      <c r="R383" s="399"/>
      <c r="S383" s="399">
        <v>1270.6099999999999</v>
      </c>
      <c r="T383" s="399">
        <v>185.74</v>
      </c>
      <c r="U383" s="399"/>
      <c r="V383" s="399">
        <v>69.904799999999994</v>
      </c>
      <c r="W383" s="399">
        <v>69.904799999999994</v>
      </c>
      <c r="X383" s="399">
        <v>40.284000000000006</v>
      </c>
      <c r="Y383" s="399">
        <v>0</v>
      </c>
      <c r="Z383" s="399">
        <v>2.9925679722292897</v>
      </c>
      <c r="AA383" s="399">
        <v>0</v>
      </c>
      <c r="AB383" s="399">
        <v>0</v>
      </c>
      <c r="AC383" s="399">
        <v>0</v>
      </c>
      <c r="AD383" s="399">
        <v>10.139230611656112</v>
      </c>
      <c r="AE383" s="399">
        <v>45.666107794697083</v>
      </c>
      <c r="AF383" s="399">
        <v>8.9157258210464168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0.46248932239016838</v>
      </c>
      <c r="AM383" s="399"/>
      <c r="AN383" s="399">
        <v>0.11380163271682416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1.6152239546756448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10.530949775722062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41.962499999999999</v>
      </c>
      <c r="CJ383" s="399">
        <v>-27.972299999999997</v>
      </c>
      <c r="CK383" s="399"/>
      <c r="CL383" s="399"/>
      <c r="CM383" s="399"/>
      <c r="CN383" s="399"/>
      <c r="CO383" s="399">
        <v>-29.620799999999996</v>
      </c>
      <c r="CP383" s="399">
        <v>0</v>
      </c>
      <c r="CQ383" s="399">
        <v>30</v>
      </c>
      <c r="CR383" s="399">
        <v>-1.1491750975642709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-0.93338324821252705</v>
      </c>
      <c r="DA383" s="399">
        <v>0</v>
      </c>
      <c r="DB383" s="399">
        <v>0</v>
      </c>
      <c r="DC383" s="399">
        <v>0</v>
      </c>
      <c r="DD383" s="399">
        <v>0</v>
      </c>
      <c r="DE383" s="399">
        <v>0</v>
      </c>
      <c r="DF383" s="399">
        <v>0</v>
      </c>
      <c r="DG383" s="399">
        <v>0</v>
      </c>
      <c r="DH383" s="399">
        <v>0</v>
      </c>
      <c r="DI383" s="399">
        <v>-0.18508639431695029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-2.4795160303445307E-2</v>
      </c>
      <c r="DP383" s="399">
        <v>-5.9102947313467158E-3</v>
      </c>
      <c r="DQ383" s="399">
        <v>0</v>
      </c>
      <c r="DR383" s="399">
        <v>0</v>
      </c>
      <c r="DS383" s="399"/>
      <c r="DT383" s="399"/>
      <c r="DU383" s="399"/>
      <c r="DV383" s="399">
        <v>45.666107794697083</v>
      </c>
      <c r="DW383" s="399">
        <v>0</v>
      </c>
      <c r="DX383" s="399">
        <v>0</v>
      </c>
      <c r="DY383" s="399">
        <v>-29.620799999999992</v>
      </c>
      <c r="DZ383" s="399">
        <v>0</v>
      </c>
      <c r="EA383" s="399">
        <v>0</v>
      </c>
      <c r="EB383" s="399">
        <v>0</v>
      </c>
      <c r="EC383" s="399">
        <v>-28.471764086663033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221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383</v>
      </c>
      <c r="B384" s="399" t="s">
        <v>956</v>
      </c>
      <c r="C384" s="399" t="s">
        <v>2328</v>
      </c>
      <c r="D384" s="399" t="s">
        <v>1824</v>
      </c>
      <c r="E384" s="399" t="s">
        <v>890</v>
      </c>
      <c r="F384" s="399" t="s">
        <v>1239</v>
      </c>
      <c r="G384" s="399" t="s">
        <v>1239</v>
      </c>
      <c r="H384" s="399" t="s">
        <v>1239</v>
      </c>
      <c r="I384" s="399" t="s">
        <v>1239</v>
      </c>
      <c r="J384" s="399" t="s">
        <v>2326</v>
      </c>
      <c r="K384" s="786">
        <v>44713</v>
      </c>
      <c r="L384" s="399">
        <v>0</v>
      </c>
      <c r="M384" s="399">
        <v>0</v>
      </c>
      <c r="N384" s="399">
        <v>40.014000000000003</v>
      </c>
      <c r="O384" s="399">
        <v>40.014000000000003</v>
      </c>
      <c r="P384" s="399">
        <v>40.014000000000003</v>
      </c>
      <c r="Q384" s="399">
        <v>40.014000000000003</v>
      </c>
      <c r="R384" s="399"/>
      <c r="S384" s="399">
        <v>825.6</v>
      </c>
      <c r="T384" s="399">
        <v>185.74</v>
      </c>
      <c r="U384" s="399"/>
      <c r="V384" s="399">
        <v>40467.758760000004</v>
      </c>
      <c r="W384" s="399">
        <v>40467.758760000004</v>
      </c>
      <c r="X384" s="399">
        <v>25156.801800000001</v>
      </c>
      <c r="Y384" s="399">
        <v>0</v>
      </c>
      <c r="Z384" s="399">
        <v>2494.6794758496417</v>
      </c>
      <c r="AA384" s="399">
        <v>0</v>
      </c>
      <c r="AB384" s="399">
        <v>0</v>
      </c>
      <c r="AC384" s="399">
        <v>0</v>
      </c>
      <c r="AD384" s="399">
        <v>5215.0928939340765</v>
      </c>
      <c r="AE384" s="399">
        <v>23499.013081915498</v>
      </c>
      <c r="AF384" s="399">
        <v>7432.3719375698192</v>
      </c>
      <c r="AG384" s="399">
        <v>0</v>
      </c>
      <c r="AH384" s="399">
        <v>0</v>
      </c>
      <c r="AI384" s="399">
        <v>0</v>
      </c>
      <c r="AJ384" s="399">
        <v>0</v>
      </c>
      <c r="AK384" s="399">
        <v>0</v>
      </c>
      <c r="AL384" s="399">
        <v>385.54266137750415</v>
      </c>
      <c r="AM384" s="399"/>
      <c r="AN384" s="399">
        <v>94.867886073562545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1346.4910692164844</v>
      </c>
      <c r="BH384" s="399">
        <v>0</v>
      </c>
      <c r="BI384" s="399">
        <v>12.39</v>
      </c>
      <c r="BJ384" s="399">
        <v>52.96</v>
      </c>
      <c r="BK384" s="399">
        <v>8407.2000000000007</v>
      </c>
      <c r="BL384" s="399">
        <v>44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8778.8630067863032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25154.286999999997</v>
      </c>
      <c r="CJ384" s="399">
        <v>-15313.501760000014</v>
      </c>
      <c r="CK384" s="399"/>
      <c r="CL384" s="399"/>
      <c r="CM384" s="399"/>
      <c r="CN384" s="399"/>
      <c r="CO384" s="399">
        <v>-15310.956960000003</v>
      </c>
      <c r="CP384" s="399">
        <v>0</v>
      </c>
      <c r="CQ384" s="399">
        <v>30</v>
      </c>
      <c r="CR384" s="399">
        <v>-659.97327883288381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-480.08379841703663</v>
      </c>
      <c r="DA384" s="399">
        <v>0</v>
      </c>
      <c r="DB384" s="399">
        <v>0</v>
      </c>
      <c r="DC384" s="399">
        <v>0</v>
      </c>
      <c r="DD384" s="399">
        <v>0</v>
      </c>
      <c r="DE384" s="399">
        <v>0</v>
      </c>
      <c r="DF384" s="399">
        <v>0</v>
      </c>
      <c r="DG384" s="399">
        <v>0</v>
      </c>
      <c r="DH384" s="399">
        <v>0</v>
      </c>
      <c r="DI384" s="399">
        <v>-154.29264546246759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-20.669865507959571</v>
      </c>
      <c r="DP384" s="399">
        <v>-4.926969445418905</v>
      </c>
      <c r="DQ384" s="399">
        <v>0</v>
      </c>
      <c r="DR384" s="399">
        <v>0</v>
      </c>
      <c r="DS384" s="399"/>
      <c r="DT384" s="399"/>
      <c r="DU384" s="399"/>
      <c r="DV384" s="399">
        <v>23499.013081915498</v>
      </c>
      <c r="DW384" s="399">
        <v>0</v>
      </c>
      <c r="DX384" s="399">
        <v>0</v>
      </c>
      <c r="DY384" s="399">
        <v>-15310.95696</v>
      </c>
      <c r="DZ384" s="399">
        <v>0</v>
      </c>
      <c r="EA384" s="399">
        <v>0</v>
      </c>
      <c r="EB384" s="399">
        <v>0</v>
      </c>
      <c r="EC384" s="399">
        <v>-14651.092222389947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221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384</v>
      </c>
      <c r="B385" s="399" t="s">
        <v>956</v>
      </c>
      <c r="C385" s="399" t="s">
        <v>2325</v>
      </c>
      <c r="D385" s="399" t="s">
        <v>533</v>
      </c>
      <c r="E385" s="399" t="s">
        <v>890</v>
      </c>
      <c r="F385" s="399" t="s">
        <v>1239</v>
      </c>
      <c r="G385" s="399" t="s">
        <v>1239</v>
      </c>
      <c r="H385" s="399" t="s">
        <v>1239</v>
      </c>
      <c r="I385" s="399" t="s">
        <v>893</v>
      </c>
      <c r="J385" s="399" t="s">
        <v>2326</v>
      </c>
      <c r="K385" s="786">
        <v>44713</v>
      </c>
      <c r="L385" s="399">
        <v>0</v>
      </c>
      <c r="M385" s="399">
        <v>0</v>
      </c>
      <c r="N385" s="399">
        <v>0.219</v>
      </c>
      <c r="O385" s="399">
        <v>0.219</v>
      </c>
      <c r="P385" s="399">
        <v>0.219</v>
      </c>
      <c r="Q385" s="399">
        <v>0.219</v>
      </c>
      <c r="R385" s="399"/>
      <c r="S385" s="399">
        <v>4433.21</v>
      </c>
      <c r="T385" s="399">
        <v>185.74</v>
      </c>
      <c r="U385" s="399"/>
      <c r="V385" s="399">
        <v>1011.5500499999999</v>
      </c>
      <c r="W385" s="399">
        <v>1011.5500499999999</v>
      </c>
      <c r="X385" s="399">
        <v>527.92578000000003</v>
      </c>
      <c r="Y385" s="399">
        <v>0</v>
      </c>
      <c r="Z385" s="399">
        <v>11.878624494767621</v>
      </c>
      <c r="AA385" s="399">
        <v>0</v>
      </c>
      <c r="AB385" s="399">
        <v>0</v>
      </c>
      <c r="AC385" s="399">
        <v>0</v>
      </c>
      <c r="AD385" s="399">
        <v>210.59543150920285</v>
      </c>
      <c r="AE385" s="399">
        <v>743.21669885984977</v>
      </c>
      <c r="AF385" s="399">
        <v>40.677999058524279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2.1101075334051429</v>
      </c>
      <c r="AM385" s="399"/>
      <c r="AN385" s="399">
        <v>0.22685803176068245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2.8452860616459521</v>
      </c>
      <c r="BH385" s="399">
        <v>0</v>
      </c>
      <c r="BI385" s="399">
        <v>0</v>
      </c>
      <c r="BJ385" s="399">
        <v>0</v>
      </c>
      <c r="BK385" s="399">
        <v>0</v>
      </c>
      <c r="BL385" s="399">
        <v>0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43.523285120170229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530.33640000000003</v>
      </c>
      <c r="CJ385" s="399">
        <v>-481.24364999999989</v>
      </c>
      <c r="CK385" s="399"/>
      <c r="CL385" s="399"/>
      <c r="CM385" s="399"/>
      <c r="CN385" s="399"/>
      <c r="CO385" s="399">
        <v>-483.62426999999997</v>
      </c>
      <c r="CP385" s="399">
        <v>0</v>
      </c>
      <c r="CQ385" s="399">
        <v>30</v>
      </c>
      <c r="CR385" s="399">
        <v>-20.246289657752953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-19.386702546720215</v>
      </c>
      <c r="DA385" s="399">
        <v>0</v>
      </c>
      <c r="DB385" s="399">
        <v>0</v>
      </c>
      <c r="DC385" s="399">
        <v>0</v>
      </c>
      <c r="DD385" s="399">
        <v>0</v>
      </c>
      <c r="DE385" s="399">
        <v>0</v>
      </c>
      <c r="DF385" s="399">
        <v>0</v>
      </c>
      <c r="DG385" s="399">
        <v>0</v>
      </c>
      <c r="DH385" s="399">
        <v>0</v>
      </c>
      <c r="DI385" s="399">
        <v>-0.7346773064418386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-0.11312791888446894</v>
      </c>
      <c r="DP385" s="399">
        <v>-1.1781885706465628E-2</v>
      </c>
      <c r="DQ385" s="399">
        <v>0</v>
      </c>
      <c r="DR385" s="399">
        <v>0</v>
      </c>
      <c r="DS385" s="399"/>
      <c r="DT385" s="399"/>
      <c r="DU385" s="399"/>
      <c r="DV385" s="399">
        <v>743.21669885984977</v>
      </c>
      <c r="DW385" s="399">
        <v>0</v>
      </c>
      <c r="DX385" s="399">
        <v>0</v>
      </c>
      <c r="DY385" s="399">
        <v>-483.62426999999991</v>
      </c>
      <c r="DZ385" s="399">
        <v>0</v>
      </c>
      <c r="EA385" s="399">
        <v>0</v>
      </c>
      <c r="EB385" s="399">
        <v>0</v>
      </c>
      <c r="EC385" s="399">
        <v>-463.37845586357099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221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385</v>
      </c>
      <c r="B386" s="399" t="s">
        <v>956</v>
      </c>
      <c r="C386" s="399" t="s">
        <v>2325</v>
      </c>
      <c r="D386" s="399" t="s">
        <v>533</v>
      </c>
      <c r="E386" s="399" t="s">
        <v>890</v>
      </c>
      <c r="F386" s="399" t="s">
        <v>1239</v>
      </c>
      <c r="G386" s="399" t="s">
        <v>1239</v>
      </c>
      <c r="H386" s="399" t="s">
        <v>1239</v>
      </c>
      <c r="I386" s="399" t="s">
        <v>2323</v>
      </c>
      <c r="J386" s="399" t="s">
        <v>2326</v>
      </c>
      <c r="K386" s="786">
        <v>44713</v>
      </c>
      <c r="L386" s="399">
        <v>0</v>
      </c>
      <c r="M386" s="399">
        <v>0</v>
      </c>
      <c r="N386" s="399">
        <v>29.097000000000001</v>
      </c>
      <c r="O386" s="399">
        <v>29.097000000000001</v>
      </c>
      <c r="P386" s="399">
        <v>29.097000000000001</v>
      </c>
      <c r="Q386" s="399">
        <v>29.097000000000001</v>
      </c>
      <c r="R386" s="399"/>
      <c r="S386" s="399">
        <v>77.900000000000006</v>
      </c>
      <c r="T386" s="399">
        <v>185.74</v>
      </c>
      <c r="U386" s="399"/>
      <c r="V386" s="399">
        <v>7671.1330800000014</v>
      </c>
      <c r="W386" s="399">
        <v>7671.1330800000014</v>
      </c>
      <c r="X386" s="399">
        <v>7557.0728400000007</v>
      </c>
      <c r="Y386" s="399">
        <v>0</v>
      </c>
      <c r="Z386" s="399">
        <v>1578.2298489691939</v>
      </c>
      <c r="AA386" s="399">
        <v>0</v>
      </c>
      <c r="AB386" s="399">
        <v>0</v>
      </c>
      <c r="AC386" s="399">
        <v>0</v>
      </c>
      <c r="AD386" s="399">
        <v>0</v>
      </c>
      <c r="AE386" s="399">
        <v>0</v>
      </c>
      <c r="AF386" s="399">
        <v>5404.6015461455745</v>
      </c>
      <c r="AG386" s="399">
        <v>0</v>
      </c>
      <c r="AH386" s="399">
        <v>0</v>
      </c>
      <c r="AI386" s="399">
        <v>0</v>
      </c>
      <c r="AJ386" s="399">
        <v>0</v>
      </c>
      <c r="AK386" s="399">
        <v>0</v>
      </c>
      <c r="AL386" s="399">
        <v>280.35524611639022</v>
      </c>
      <c r="AM386" s="399"/>
      <c r="AN386" s="399">
        <v>30.141041781463823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378.03328098498753</v>
      </c>
      <c r="BH386" s="399">
        <v>0</v>
      </c>
      <c r="BI386" s="399">
        <v>0</v>
      </c>
      <c r="BJ386" s="399">
        <v>0</v>
      </c>
      <c r="BK386" s="399">
        <v>0</v>
      </c>
      <c r="BL386" s="399">
        <v>0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5782.6348271305624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7557.8520000000008</v>
      </c>
      <c r="CJ386" s="399">
        <v>-113.31108000000131</v>
      </c>
      <c r="CK386" s="399"/>
      <c r="CL386" s="399"/>
      <c r="CM386" s="399"/>
      <c r="CN386" s="399"/>
      <c r="CO386" s="399">
        <v>-114.06024000000005</v>
      </c>
      <c r="CP386" s="399">
        <v>0</v>
      </c>
      <c r="CQ386" s="399">
        <v>30</v>
      </c>
      <c r="CR386" s="399">
        <v>-114.20733410831326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0</v>
      </c>
      <c r="DA386" s="399">
        <v>0</v>
      </c>
      <c r="DB386" s="399">
        <v>0</v>
      </c>
      <c r="DC386" s="399">
        <v>0</v>
      </c>
      <c r="DD386" s="399">
        <v>0</v>
      </c>
      <c r="DE386" s="399">
        <v>0</v>
      </c>
      <c r="DF386" s="399">
        <v>0</v>
      </c>
      <c r="DG386" s="399">
        <v>0</v>
      </c>
      <c r="DH386" s="399">
        <v>0</v>
      </c>
      <c r="DI386" s="399">
        <v>-97.611441029854632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-15.030516236444782</v>
      </c>
      <c r="DP386" s="399">
        <v>-1.565376842013837</v>
      </c>
      <c r="DQ386" s="399">
        <v>0</v>
      </c>
      <c r="DR386" s="399">
        <v>0</v>
      </c>
      <c r="DS386" s="399"/>
      <c r="DT386" s="399"/>
      <c r="DU386" s="399"/>
      <c r="DV386" s="399">
        <v>0</v>
      </c>
      <c r="DW386" s="399">
        <v>0</v>
      </c>
      <c r="DX386" s="399">
        <v>0</v>
      </c>
      <c r="DY386" s="399">
        <v>-114.06023999999979</v>
      </c>
      <c r="DZ386" s="399">
        <v>0</v>
      </c>
      <c r="EA386" s="399">
        <v>0</v>
      </c>
      <c r="EB386" s="399">
        <v>0</v>
      </c>
      <c r="EC386" s="399">
        <v>0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221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386</v>
      </c>
      <c r="B387" s="399" t="s">
        <v>956</v>
      </c>
      <c r="C387" s="399" t="s">
        <v>2325</v>
      </c>
      <c r="D387" s="399" t="s">
        <v>533</v>
      </c>
      <c r="E387" s="399" t="s">
        <v>890</v>
      </c>
      <c r="F387" s="399" t="s">
        <v>1239</v>
      </c>
      <c r="G387" s="399" t="s">
        <v>1239</v>
      </c>
      <c r="H387" s="399" t="s">
        <v>1239</v>
      </c>
      <c r="I387" s="399" t="s">
        <v>1239</v>
      </c>
      <c r="J387" s="399" t="s">
        <v>2326</v>
      </c>
      <c r="K387" s="786">
        <v>44713</v>
      </c>
      <c r="L387" s="399">
        <v>316</v>
      </c>
      <c r="M387" s="399">
        <v>316</v>
      </c>
      <c r="N387" s="399">
        <v>0</v>
      </c>
      <c r="O387" s="399">
        <v>0</v>
      </c>
      <c r="P387" s="399">
        <v>0</v>
      </c>
      <c r="Q387" s="399">
        <v>0</v>
      </c>
      <c r="R387" s="399">
        <v>55.59</v>
      </c>
      <c r="S387" s="399"/>
      <c r="T387" s="399"/>
      <c r="U387" s="399">
        <v>17566.440000000002</v>
      </c>
      <c r="V387" s="399"/>
      <c r="W387" s="399">
        <v>17566.440000000002</v>
      </c>
      <c r="X387" s="399">
        <v>9325.16</v>
      </c>
      <c r="Y387" s="399">
        <v>0</v>
      </c>
      <c r="Z387" s="399">
        <v>0</v>
      </c>
      <c r="AA387" s="399">
        <v>0</v>
      </c>
      <c r="AB387" s="399">
        <v>0</v>
      </c>
      <c r="AC387" s="399">
        <v>0</v>
      </c>
      <c r="AD387" s="399">
        <v>5104.8759815771527</v>
      </c>
      <c r="AE387" s="399">
        <v>12460.108511154129</v>
      </c>
      <c r="AF387" s="399"/>
      <c r="AG387" s="399"/>
      <c r="AH387" s="399"/>
      <c r="AI387" s="399">
        <v>0</v>
      </c>
      <c r="AJ387" s="399">
        <v>0</v>
      </c>
      <c r="AK387" s="399">
        <v>0</v>
      </c>
      <c r="AL387" s="399">
        <v>0</v>
      </c>
      <c r="AM387" s="399"/>
      <c r="AN387" s="399">
        <v>0</v>
      </c>
      <c r="AO387" s="399">
        <v>0</v>
      </c>
      <c r="AP387" s="399">
        <v>0</v>
      </c>
      <c r="AQ387" s="399">
        <v>0</v>
      </c>
      <c r="AR387" s="399">
        <v>0</v>
      </c>
      <c r="AS387" s="399"/>
      <c r="AT387" s="399"/>
      <c r="AU387" s="399">
        <v>0</v>
      </c>
      <c r="AV387" s="399">
        <v>0</v>
      </c>
      <c r="AW387" s="399">
        <v>0</v>
      </c>
      <c r="AX387" s="399"/>
      <c r="AY387" s="399"/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/>
      <c r="BG387" s="399">
        <v>0</v>
      </c>
      <c r="BH387" s="399">
        <v>0</v>
      </c>
      <c r="BI387" s="399">
        <v>9.43</v>
      </c>
      <c r="BJ387" s="399">
        <v>39.64</v>
      </c>
      <c r="BK387" s="399">
        <v>5996.04</v>
      </c>
      <c r="BL387" s="399">
        <v>5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0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9325.16</v>
      </c>
      <c r="CJ387" s="399">
        <v>-8241.3099999999977</v>
      </c>
      <c r="CK387" s="399"/>
      <c r="CL387" s="399"/>
      <c r="CM387" s="399"/>
      <c r="CN387" s="399"/>
      <c r="CO387" s="399">
        <v>-8241.2800000000007</v>
      </c>
      <c r="CP387" s="399">
        <v>0</v>
      </c>
      <c r="CQ387" s="399">
        <v>30</v>
      </c>
      <c r="CR387" s="399">
        <v>-469.93760255626057</v>
      </c>
      <c r="CS387" s="399">
        <v>0</v>
      </c>
      <c r="CT387" s="399">
        <v>0</v>
      </c>
      <c r="CU387" s="399">
        <v>0</v>
      </c>
      <c r="CV387" s="399">
        <v>0</v>
      </c>
      <c r="CW387" s="399"/>
      <c r="CX387" s="399"/>
      <c r="CY387" s="399"/>
      <c r="CZ387" s="399">
        <v>-469.93760255626057</v>
      </c>
      <c r="DA387" s="399">
        <v>0</v>
      </c>
      <c r="DB387" s="399">
        <v>0</v>
      </c>
      <c r="DC387" s="399"/>
      <c r="DD387" s="399"/>
      <c r="DE387" s="399">
        <v>0</v>
      </c>
      <c r="DF387" s="399">
        <v>0</v>
      </c>
      <c r="DG387" s="399">
        <v>0</v>
      </c>
      <c r="DH387" s="399">
        <v>0</v>
      </c>
      <c r="DI387" s="399">
        <v>0</v>
      </c>
      <c r="DJ387" s="399"/>
      <c r="DK387" s="399">
        <v>0</v>
      </c>
      <c r="DL387" s="399">
        <v>0</v>
      </c>
      <c r="DM387" s="399"/>
      <c r="DN387" s="399">
        <v>0</v>
      </c>
      <c r="DO387" s="399">
        <v>0</v>
      </c>
      <c r="DP387" s="399">
        <v>0</v>
      </c>
      <c r="DQ387" s="399">
        <v>0</v>
      </c>
      <c r="DR387" s="399">
        <v>0</v>
      </c>
      <c r="DS387" s="399"/>
      <c r="DT387" s="399"/>
      <c r="DU387" s="399">
        <v>12460.108511154129</v>
      </c>
      <c r="DV387" s="399"/>
      <c r="DW387" s="399">
        <v>0</v>
      </c>
      <c r="DX387" s="399">
        <v>0</v>
      </c>
      <c r="DY387" s="399">
        <v>-8241.2800000000025</v>
      </c>
      <c r="DZ387" s="399"/>
      <c r="EA387" s="399">
        <v>0</v>
      </c>
      <c r="EB387" s="399"/>
      <c r="EC387" s="399">
        <v>-7768.5900365916141</v>
      </c>
      <c r="ED387" s="399"/>
      <c r="EE387" s="399">
        <v>0</v>
      </c>
      <c r="EF387" s="399">
        <v>0</v>
      </c>
      <c r="EG387" s="399"/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/>
      <c r="EN387" s="399"/>
      <c r="EO387" s="399">
        <v>0</v>
      </c>
      <c r="EP387" s="399">
        <v>0</v>
      </c>
      <c r="EQ387" s="399"/>
      <c r="ER387" s="399">
        <v>0</v>
      </c>
      <c r="ES387" s="399"/>
      <c r="ET387" s="399">
        <v>0</v>
      </c>
      <c r="EU387" s="399"/>
      <c r="EV387" s="399">
        <v>221</v>
      </c>
      <c r="EW387" s="399"/>
      <c r="EX387" s="399"/>
      <c r="EY387" s="399"/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387</v>
      </c>
      <c r="B388" s="399" t="s">
        <v>956</v>
      </c>
      <c r="C388" s="399" t="s">
        <v>2328</v>
      </c>
      <c r="D388" s="399" t="s">
        <v>1824</v>
      </c>
      <c r="E388" s="399" t="s">
        <v>918</v>
      </c>
      <c r="F388" s="399" t="s">
        <v>1239</v>
      </c>
      <c r="G388" s="399" t="s">
        <v>1239</v>
      </c>
      <c r="H388" s="399" t="s">
        <v>1239</v>
      </c>
      <c r="I388" s="399" t="s">
        <v>1239</v>
      </c>
      <c r="J388" s="399" t="s">
        <v>2326</v>
      </c>
      <c r="K388" s="786">
        <v>44713</v>
      </c>
      <c r="L388" s="399">
        <v>0</v>
      </c>
      <c r="M388" s="399">
        <v>0</v>
      </c>
      <c r="N388" s="399">
        <v>141.81299999999999</v>
      </c>
      <c r="O388" s="399">
        <v>141.81299999999999</v>
      </c>
      <c r="P388" s="399">
        <v>141.81299999999999</v>
      </c>
      <c r="Q388" s="399">
        <v>141.81299999999999</v>
      </c>
      <c r="R388" s="399"/>
      <c r="S388" s="399">
        <v>825.6</v>
      </c>
      <c r="T388" s="399">
        <v>185.74</v>
      </c>
      <c r="U388" s="399"/>
      <c r="V388" s="399">
        <v>143421.15942000001</v>
      </c>
      <c r="W388" s="399">
        <v>143421.15942000001</v>
      </c>
      <c r="X388" s="399">
        <v>89157.833099999989</v>
      </c>
      <c r="Y388" s="399">
        <v>0</v>
      </c>
      <c r="Z388" s="399">
        <v>8841.35503845317</v>
      </c>
      <c r="AA388" s="399">
        <v>0</v>
      </c>
      <c r="AB388" s="399">
        <v>0</v>
      </c>
      <c r="AC388" s="399">
        <v>0</v>
      </c>
      <c r="AD388" s="399">
        <v>18482.730258596319</v>
      </c>
      <c r="AE388" s="399">
        <v>83282.489683252919</v>
      </c>
      <c r="AF388" s="399">
        <v>26340.954705417818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1366.3957974191028</v>
      </c>
      <c r="AM388" s="399"/>
      <c r="AN388" s="399">
        <v>336.2198112598121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4772.0782225920248</v>
      </c>
      <c r="BH388" s="399">
        <v>0</v>
      </c>
      <c r="BI388" s="399">
        <v>42.75</v>
      </c>
      <c r="BJ388" s="399">
        <v>187.73</v>
      </c>
      <c r="BK388" s="399">
        <v>28857.78</v>
      </c>
      <c r="BL388" s="399">
        <v>359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31113.032928009845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89155.947</v>
      </c>
      <c r="CJ388" s="399">
        <v>-54265.24242000001</v>
      </c>
      <c r="CK388" s="399"/>
      <c r="CL388" s="399"/>
      <c r="CM388" s="399"/>
      <c r="CN388" s="399"/>
      <c r="CO388" s="399">
        <v>-54263.32632</v>
      </c>
      <c r="CP388" s="399">
        <v>0</v>
      </c>
      <c r="CQ388" s="399">
        <v>30</v>
      </c>
      <c r="CR388" s="399">
        <v>-2339.0011143881493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-1701.4575824690182</v>
      </c>
      <c r="DA388" s="399">
        <v>0</v>
      </c>
      <c r="DB388" s="399">
        <v>0</v>
      </c>
      <c r="DC388" s="399">
        <v>0</v>
      </c>
      <c r="DD388" s="399">
        <v>0</v>
      </c>
      <c r="DE388" s="399">
        <v>0</v>
      </c>
      <c r="DF388" s="399">
        <v>0</v>
      </c>
      <c r="DG388" s="399">
        <v>0</v>
      </c>
      <c r="DH388" s="399">
        <v>0</v>
      </c>
      <c r="DI388" s="399">
        <v>-546.82618410978466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-73.255751419010039</v>
      </c>
      <c r="DP388" s="399">
        <v>-17.461596390343118</v>
      </c>
      <c r="DQ388" s="399">
        <v>0</v>
      </c>
      <c r="DR388" s="399">
        <v>0</v>
      </c>
      <c r="DS388" s="399"/>
      <c r="DT388" s="399"/>
      <c r="DU388" s="399"/>
      <c r="DV388" s="399">
        <v>83282.489683252919</v>
      </c>
      <c r="DW388" s="399">
        <v>0</v>
      </c>
      <c r="DX388" s="399">
        <v>0</v>
      </c>
      <c r="DY388" s="399">
        <v>-54263.326320000007</v>
      </c>
      <c r="DZ388" s="399">
        <v>0</v>
      </c>
      <c r="EA388" s="399">
        <v>0</v>
      </c>
      <c r="EB388" s="399">
        <v>0</v>
      </c>
      <c r="EC388" s="399">
        <v>-51924.709884884927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221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388</v>
      </c>
      <c r="B389" s="399" t="s">
        <v>956</v>
      </c>
      <c r="C389" s="399" t="s">
        <v>2577</v>
      </c>
      <c r="D389" s="399" t="s">
        <v>533</v>
      </c>
      <c r="E389" s="399" t="s">
        <v>918</v>
      </c>
      <c r="F389" s="399" t="s">
        <v>1239</v>
      </c>
      <c r="G389" s="399" t="s">
        <v>1239</v>
      </c>
      <c r="H389" s="399" t="s">
        <v>1239</v>
      </c>
      <c r="I389" s="399" t="s">
        <v>893</v>
      </c>
      <c r="J389" s="399" t="s">
        <v>2326</v>
      </c>
      <c r="K389" s="786">
        <v>44713</v>
      </c>
      <c r="L389" s="399">
        <v>529</v>
      </c>
      <c r="M389" s="399">
        <v>529</v>
      </c>
      <c r="N389" s="399">
        <v>32.063000000000002</v>
      </c>
      <c r="O389" s="399">
        <v>32.063000000000002</v>
      </c>
      <c r="P389" s="399">
        <v>32.063000000000002</v>
      </c>
      <c r="Q389" s="399">
        <v>32.063000000000002</v>
      </c>
      <c r="R389" s="399">
        <v>181.08</v>
      </c>
      <c r="S389" s="399">
        <v>77.900000000000006</v>
      </c>
      <c r="T389" s="399">
        <v>185.74</v>
      </c>
      <c r="U389" s="399">
        <v>95791.32</v>
      </c>
      <c r="V389" s="399">
        <v>8453.089320000001</v>
      </c>
      <c r="W389" s="399">
        <v>104244.40932000001</v>
      </c>
      <c r="X389" s="399">
        <v>55630.58236</v>
      </c>
      <c r="Y389" s="399">
        <v>0</v>
      </c>
      <c r="Z389" s="399">
        <v>1739.1065624462751</v>
      </c>
      <c r="AA389" s="399">
        <v>0</v>
      </c>
      <c r="AB389" s="399">
        <v>0</v>
      </c>
      <c r="AC389" s="399">
        <v>0</v>
      </c>
      <c r="AD389" s="399">
        <v>21143.293090834497</v>
      </c>
      <c r="AE389" s="399">
        <v>74646.872515827636</v>
      </c>
      <c r="AF389" s="399">
        <v>5955.5191041710686</v>
      </c>
      <c r="AG389" s="399">
        <v>0</v>
      </c>
      <c r="AH389" s="399">
        <v>0</v>
      </c>
      <c r="AI389" s="399">
        <v>0</v>
      </c>
      <c r="AJ389" s="399">
        <v>0</v>
      </c>
      <c r="AK389" s="399">
        <v>0</v>
      </c>
      <c r="AL389" s="399">
        <v>308.933232162416</v>
      </c>
      <c r="AM389" s="399"/>
      <c r="AN389" s="399">
        <v>33.213466083756899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416.56806846828385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6372.0871726393525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55629.803199999995</v>
      </c>
      <c r="CJ389" s="399">
        <v>-48614.636119999996</v>
      </c>
      <c r="CK389" s="399"/>
      <c r="CL389" s="399"/>
      <c r="CM389" s="399"/>
      <c r="CN389" s="399"/>
      <c r="CO389" s="399">
        <v>-48613.826960000006</v>
      </c>
      <c r="CP389" s="399">
        <v>0</v>
      </c>
      <c r="CQ389" s="399">
        <v>30</v>
      </c>
      <c r="CR389" s="399">
        <v>-2072.2290387746689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-1946.3799906420463</v>
      </c>
      <c r="DA389" s="399">
        <v>0</v>
      </c>
      <c r="DB389" s="399">
        <v>0</v>
      </c>
      <c r="DC389" s="399">
        <v>0</v>
      </c>
      <c r="DD389" s="399">
        <v>0</v>
      </c>
      <c r="DE389" s="399">
        <v>0</v>
      </c>
      <c r="DF389" s="399">
        <v>0</v>
      </c>
      <c r="DG389" s="399">
        <v>0</v>
      </c>
      <c r="DH389" s="399">
        <v>0</v>
      </c>
      <c r="DI389" s="399">
        <v>-107.56145423034104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-16.562650516861765</v>
      </c>
      <c r="DP389" s="399">
        <v>-1.7249433854173795</v>
      </c>
      <c r="DQ389" s="399">
        <v>0</v>
      </c>
      <c r="DR389" s="399">
        <v>0</v>
      </c>
      <c r="DS389" s="399"/>
      <c r="DT389" s="399"/>
      <c r="DU389" s="399">
        <v>74646.872515827636</v>
      </c>
      <c r="DV389" s="399">
        <v>0</v>
      </c>
      <c r="DW389" s="399">
        <v>0</v>
      </c>
      <c r="DX389" s="399">
        <v>0</v>
      </c>
      <c r="DY389" s="399">
        <v>-48613.826960000006</v>
      </c>
      <c r="DZ389" s="399">
        <v>0</v>
      </c>
      <c r="EA389" s="399">
        <v>0</v>
      </c>
      <c r="EB389" s="399">
        <v>0</v>
      </c>
      <c r="EC389" s="399">
        <v>-46540.601919322333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221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389</v>
      </c>
      <c r="B390" s="399" t="s">
        <v>956</v>
      </c>
      <c r="C390" s="399" t="s">
        <v>2577</v>
      </c>
      <c r="D390" s="399" t="s">
        <v>533</v>
      </c>
      <c r="E390" s="399" t="s">
        <v>918</v>
      </c>
      <c r="F390" s="399" t="s">
        <v>1239</v>
      </c>
      <c r="G390" s="399" t="s">
        <v>1239</v>
      </c>
      <c r="H390" s="399" t="s">
        <v>1239</v>
      </c>
      <c r="I390" s="399" t="s">
        <v>2323</v>
      </c>
      <c r="J390" s="399" t="s">
        <v>2326</v>
      </c>
      <c r="K390" s="786">
        <v>44713</v>
      </c>
      <c r="L390" s="399">
        <v>530</v>
      </c>
      <c r="M390" s="399">
        <v>530</v>
      </c>
      <c r="N390" s="399">
        <v>305.49599999999998</v>
      </c>
      <c r="O390" s="399">
        <v>305.49599999999998</v>
      </c>
      <c r="P390" s="399">
        <v>305.49599999999998</v>
      </c>
      <c r="Q390" s="399">
        <v>305.49599999999998</v>
      </c>
      <c r="R390" s="399">
        <v>55.59</v>
      </c>
      <c r="S390" s="399">
        <v>77.900000000000006</v>
      </c>
      <c r="T390" s="399">
        <v>185.74</v>
      </c>
      <c r="U390" s="399">
        <v>29462.7</v>
      </c>
      <c r="V390" s="399">
        <v>80540.96544</v>
      </c>
      <c r="W390" s="399">
        <v>110003.66544</v>
      </c>
      <c r="X390" s="399">
        <v>94983.721120000002</v>
      </c>
      <c r="Y390" s="399">
        <v>0</v>
      </c>
      <c r="Z390" s="399">
        <v>16570.193007550359</v>
      </c>
      <c r="AA390" s="399">
        <v>0</v>
      </c>
      <c r="AB390" s="399">
        <v>0</v>
      </c>
      <c r="AC390" s="399">
        <v>0</v>
      </c>
      <c r="AD390" s="399">
        <v>8561.9755387211735</v>
      </c>
      <c r="AE390" s="399">
        <v>20898.283262378762</v>
      </c>
      <c r="AF390" s="399">
        <v>56744.136988049911</v>
      </c>
      <c r="AG390" s="399">
        <v>0</v>
      </c>
      <c r="AH390" s="399">
        <v>0</v>
      </c>
      <c r="AI390" s="399">
        <v>0</v>
      </c>
      <c r="AJ390" s="399">
        <v>0</v>
      </c>
      <c r="AK390" s="399">
        <v>0</v>
      </c>
      <c r="AL390" s="399">
        <v>2943.5132923522265</v>
      </c>
      <c r="AM390" s="399"/>
      <c r="AN390" s="399">
        <v>316.45763137333989</v>
      </c>
      <c r="AO390" s="399">
        <v>0</v>
      </c>
      <c r="AP390" s="399">
        <v>0</v>
      </c>
      <c r="AQ390" s="399">
        <v>0</v>
      </c>
      <c r="AR390" s="399">
        <v>0</v>
      </c>
      <c r="AS390" s="399">
        <v>0</v>
      </c>
      <c r="AT390" s="399">
        <v>0</v>
      </c>
      <c r="AU390" s="399">
        <v>0</v>
      </c>
      <c r="AV390" s="399">
        <v>0</v>
      </c>
      <c r="AW390" s="399">
        <v>0</v>
      </c>
      <c r="AX390" s="399">
        <v>0</v>
      </c>
      <c r="AY390" s="399">
        <v>0</v>
      </c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>
        <v>0</v>
      </c>
      <c r="BG390" s="399">
        <v>3969.0571264319256</v>
      </c>
      <c r="BH390" s="399">
        <v>0</v>
      </c>
      <c r="BI390" s="399">
        <v>0</v>
      </c>
      <c r="BJ390" s="399">
        <v>0</v>
      </c>
      <c r="BK390" s="399">
        <v>0</v>
      </c>
      <c r="BL390" s="399">
        <v>0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60713.194114481834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94984.760000000009</v>
      </c>
      <c r="CJ390" s="399">
        <v>-15018.935439999987</v>
      </c>
      <c r="CK390" s="399"/>
      <c r="CL390" s="399"/>
      <c r="CM390" s="399"/>
      <c r="CN390" s="399"/>
      <c r="CO390" s="399">
        <v>-15019.944320000002</v>
      </c>
      <c r="CP390" s="399">
        <v>0</v>
      </c>
      <c r="CQ390" s="399">
        <v>30</v>
      </c>
      <c r="CR390" s="399">
        <v>-1987.2751796930679</v>
      </c>
      <c r="CS390" s="399">
        <v>0</v>
      </c>
      <c r="CT390" s="399">
        <v>0</v>
      </c>
      <c r="CU390" s="399">
        <v>0</v>
      </c>
      <c r="CV390" s="399">
        <v>0</v>
      </c>
      <c r="CW390" s="399">
        <v>0</v>
      </c>
      <c r="CX390" s="399">
        <v>0</v>
      </c>
      <c r="CY390" s="399">
        <v>0</v>
      </c>
      <c r="CZ390" s="399">
        <v>-788.18648530005612</v>
      </c>
      <c r="DA390" s="399">
        <v>0</v>
      </c>
      <c r="DB390" s="399">
        <v>0</v>
      </c>
      <c r="DC390" s="399">
        <v>0</v>
      </c>
      <c r="DD390" s="399">
        <v>0</v>
      </c>
      <c r="DE390" s="399">
        <v>0</v>
      </c>
      <c r="DF390" s="399">
        <v>0</v>
      </c>
      <c r="DG390" s="399">
        <v>0</v>
      </c>
      <c r="DH390" s="399">
        <v>0</v>
      </c>
      <c r="DI390" s="399">
        <v>-1024.8446502682909</v>
      </c>
      <c r="DJ390" s="399"/>
      <c r="DK390" s="399">
        <v>0</v>
      </c>
      <c r="DL390" s="399">
        <v>0</v>
      </c>
      <c r="DM390" s="399">
        <v>0</v>
      </c>
      <c r="DN390" s="399">
        <v>0</v>
      </c>
      <c r="DO390" s="399">
        <v>-157.80879775127778</v>
      </c>
      <c r="DP390" s="399">
        <v>-16.435246373435689</v>
      </c>
      <c r="DQ390" s="399">
        <v>0</v>
      </c>
      <c r="DR390" s="399">
        <v>0</v>
      </c>
      <c r="DS390" s="399"/>
      <c r="DT390" s="399"/>
      <c r="DU390" s="399">
        <v>20898.283262378762</v>
      </c>
      <c r="DV390" s="399">
        <v>0</v>
      </c>
      <c r="DW390" s="399">
        <v>0</v>
      </c>
      <c r="DX390" s="399">
        <v>0</v>
      </c>
      <c r="DY390" s="399">
        <v>-15019.944320000002</v>
      </c>
      <c r="DZ390" s="399">
        <v>0</v>
      </c>
      <c r="EA390" s="399">
        <v>0</v>
      </c>
      <c r="EB390" s="399">
        <v>0</v>
      </c>
      <c r="EC390" s="399">
        <v>-13029.597213270747</v>
      </c>
      <c r="ED390" s="399">
        <v>0</v>
      </c>
      <c r="EE390" s="399">
        <v>0</v>
      </c>
      <c r="EF390" s="399">
        <v>0</v>
      </c>
      <c r="EG390" s="399">
        <v>0</v>
      </c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>
        <v>0</v>
      </c>
      <c r="EN390" s="399">
        <v>0</v>
      </c>
      <c r="EO390" s="399">
        <v>0</v>
      </c>
      <c r="EP390" s="399">
        <v>0</v>
      </c>
      <c r="EQ390" s="399">
        <v>0</v>
      </c>
      <c r="ER390" s="399">
        <v>0</v>
      </c>
      <c r="ES390" s="399">
        <v>0</v>
      </c>
      <c r="ET390" s="399">
        <v>0</v>
      </c>
      <c r="EU390" s="399">
        <v>0</v>
      </c>
      <c r="EV390" s="399">
        <v>221</v>
      </c>
      <c r="EW390" s="399">
        <v>0</v>
      </c>
      <c r="EX390" s="399">
        <v>0</v>
      </c>
      <c r="EY390" s="399">
        <v>0</v>
      </c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390</v>
      </c>
      <c r="B391" s="399" t="s">
        <v>956</v>
      </c>
      <c r="C391" s="399" t="s">
        <v>2577</v>
      </c>
      <c r="D391" s="399" t="s">
        <v>533</v>
      </c>
      <c r="E391" s="399" t="s">
        <v>918</v>
      </c>
      <c r="F391" s="399" t="s">
        <v>1239</v>
      </c>
      <c r="G391" s="399" t="s">
        <v>1239</v>
      </c>
      <c r="H391" s="399" t="s">
        <v>1239</v>
      </c>
      <c r="I391" s="399" t="s">
        <v>1239</v>
      </c>
      <c r="J391" s="399" t="s">
        <v>2326</v>
      </c>
      <c r="K391" s="786">
        <v>44713</v>
      </c>
      <c r="L391" s="399">
        <v>0</v>
      </c>
      <c r="M391" s="399">
        <v>0</v>
      </c>
      <c r="N391" s="399">
        <v>0</v>
      </c>
      <c r="O391" s="399">
        <v>0</v>
      </c>
      <c r="P391" s="399">
        <v>0</v>
      </c>
      <c r="Q391" s="399">
        <v>0</v>
      </c>
      <c r="R391" s="399"/>
      <c r="S391" s="399"/>
      <c r="T391" s="399"/>
      <c r="U391" s="399"/>
      <c r="V391" s="399"/>
      <c r="W391" s="399"/>
      <c r="X391" s="399"/>
      <c r="Y391" s="399"/>
      <c r="Z391" s="399"/>
      <c r="AA391" s="399">
        <v>0</v>
      </c>
      <c r="AB391" s="399"/>
      <c r="AC391" s="399"/>
      <c r="AD391" s="399"/>
      <c r="AE391" s="399"/>
      <c r="AF391" s="399"/>
      <c r="AG391" s="399"/>
      <c r="AH391" s="399"/>
      <c r="AI391" s="399"/>
      <c r="AJ391" s="399"/>
      <c r="AK391" s="399"/>
      <c r="AL391" s="399"/>
      <c r="AM391" s="399"/>
      <c r="AN391" s="399"/>
      <c r="AO391" s="399"/>
      <c r="AP391" s="399"/>
      <c r="AQ391" s="399"/>
      <c r="AR391" s="399"/>
      <c r="AS391" s="399"/>
      <c r="AT391" s="399"/>
      <c r="AU391" s="399"/>
      <c r="AV391" s="399"/>
      <c r="AW391" s="399"/>
      <c r="AX391" s="399"/>
      <c r="AY391" s="399"/>
      <c r="AZ391" s="399">
        <v>0</v>
      </c>
      <c r="BA391" s="399"/>
      <c r="BB391" s="399"/>
      <c r="BC391" s="399"/>
      <c r="BD391" s="399"/>
      <c r="BE391" s="399"/>
      <c r="BF391" s="399"/>
      <c r="BG391" s="399"/>
      <c r="BH391" s="399"/>
      <c r="BI391" s="399">
        <v>75.5</v>
      </c>
      <c r="BJ391" s="399">
        <v>317.12</v>
      </c>
      <c r="BK391" s="399">
        <v>50335.64</v>
      </c>
      <c r="BL391" s="399">
        <v>1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/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/>
      <c r="CJ391" s="399">
        <v>-0.03</v>
      </c>
      <c r="CK391" s="399"/>
      <c r="CL391" s="399"/>
      <c r="CM391" s="399"/>
      <c r="CN391" s="399"/>
      <c r="CO391" s="399">
        <v>0</v>
      </c>
      <c r="CP391" s="399">
        <v>0</v>
      </c>
      <c r="CQ391" s="399">
        <v>30</v>
      </c>
      <c r="CR391" s="399"/>
      <c r="CS391" s="399"/>
      <c r="CT391" s="399"/>
      <c r="CU391" s="399"/>
      <c r="CV391" s="399"/>
      <c r="CW391" s="399"/>
      <c r="CX391" s="399"/>
      <c r="CY391" s="399"/>
      <c r="CZ391" s="399"/>
      <c r="DA391" s="399"/>
      <c r="DB391" s="399"/>
      <c r="DC391" s="399"/>
      <c r="DD391" s="399"/>
      <c r="DE391" s="399"/>
      <c r="DF391" s="399"/>
      <c r="DG391" s="399"/>
      <c r="DH391" s="399"/>
      <c r="DI391" s="399"/>
      <c r="DJ391" s="399"/>
      <c r="DK391" s="399">
        <v>0</v>
      </c>
      <c r="DL391" s="399"/>
      <c r="DM391" s="399"/>
      <c r="DN391" s="399"/>
      <c r="DO391" s="399"/>
      <c r="DP391" s="399"/>
      <c r="DQ391" s="399"/>
      <c r="DR391" s="399"/>
      <c r="DS391" s="399"/>
      <c r="DT391" s="399"/>
      <c r="DU391" s="399"/>
      <c r="DV391" s="399"/>
      <c r="DW391" s="399"/>
      <c r="DX391" s="399"/>
      <c r="DY391" s="399"/>
      <c r="DZ391" s="399"/>
      <c r="EA391" s="399"/>
      <c r="EB391" s="399"/>
      <c r="EC391" s="399"/>
      <c r="ED391" s="399"/>
      <c r="EE391" s="399"/>
      <c r="EF391" s="399"/>
      <c r="EG391" s="399"/>
      <c r="EH391" s="399"/>
      <c r="EI391" s="399"/>
      <c r="EJ391" s="399"/>
      <c r="EK391" s="399"/>
      <c r="EL391" s="399"/>
      <c r="EM391" s="399"/>
      <c r="EN391" s="399"/>
      <c r="EO391" s="399"/>
      <c r="EP391" s="399"/>
      <c r="EQ391" s="399"/>
      <c r="ER391" s="399"/>
      <c r="ES391" s="399"/>
      <c r="ET391" s="399"/>
      <c r="EU391" s="399"/>
      <c r="EV391" s="399">
        <v>221</v>
      </c>
      <c r="EW391" s="399"/>
      <c r="EX391" s="399"/>
      <c r="EY391" s="399"/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391</v>
      </c>
      <c r="B392" s="399" t="s">
        <v>956</v>
      </c>
      <c r="C392" s="399" t="s">
        <v>2325</v>
      </c>
      <c r="D392" s="399" t="s">
        <v>533</v>
      </c>
      <c r="E392" s="399" t="s">
        <v>918</v>
      </c>
      <c r="F392" s="399" t="s">
        <v>1239</v>
      </c>
      <c r="G392" s="399" t="s">
        <v>1239</v>
      </c>
      <c r="H392" s="399" t="s">
        <v>1239</v>
      </c>
      <c r="I392" s="399" t="s">
        <v>893</v>
      </c>
      <c r="J392" s="399" t="s">
        <v>2326</v>
      </c>
      <c r="K392" s="786">
        <v>44713</v>
      </c>
      <c r="L392" s="399">
        <v>0</v>
      </c>
      <c r="M392" s="399">
        <v>0</v>
      </c>
      <c r="N392" s="399">
        <v>5.4790000000000001</v>
      </c>
      <c r="O392" s="399">
        <v>5.4790000000000001</v>
      </c>
      <c r="P392" s="399">
        <v>5.4790000000000001</v>
      </c>
      <c r="Q392" s="399">
        <v>5.4790000000000001</v>
      </c>
      <c r="R392" s="399"/>
      <c r="S392" s="399">
        <v>4433.21</v>
      </c>
      <c r="T392" s="399">
        <v>185.74</v>
      </c>
      <c r="U392" s="399"/>
      <c r="V392" s="399">
        <v>25307.227050000001</v>
      </c>
      <c r="W392" s="399">
        <v>25307.227050000001</v>
      </c>
      <c r="X392" s="399">
        <v>13207.786980000001</v>
      </c>
      <c r="Y392" s="399">
        <v>0</v>
      </c>
      <c r="Z392" s="399">
        <v>297.18257354717713</v>
      </c>
      <c r="AA392" s="399">
        <v>0</v>
      </c>
      <c r="AB392" s="399">
        <v>0</v>
      </c>
      <c r="AC392" s="399">
        <v>0</v>
      </c>
      <c r="AD392" s="399">
        <v>5268.7322796297831</v>
      </c>
      <c r="AE392" s="399">
        <v>18593.992205721996</v>
      </c>
      <c r="AF392" s="399">
        <v>1017.6929536148608</v>
      </c>
      <c r="AG392" s="399">
        <v>0</v>
      </c>
      <c r="AH392" s="399">
        <v>0</v>
      </c>
      <c r="AI392" s="399">
        <v>0</v>
      </c>
      <c r="AJ392" s="399">
        <v>0</v>
      </c>
      <c r="AK392" s="399">
        <v>0</v>
      </c>
      <c r="AL392" s="399">
        <v>52.791229111994426</v>
      </c>
      <c r="AM392" s="399"/>
      <c r="AN392" s="399">
        <v>5.6755943197113199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71.184120236338686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>
        <v>1088.8770738511994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13210.197600000001</v>
      </c>
      <c r="CJ392" s="399">
        <v>-12097.059449999995</v>
      </c>
      <c r="CK392" s="399"/>
      <c r="CL392" s="399"/>
      <c r="CM392" s="399"/>
      <c r="CN392" s="399"/>
      <c r="CO392" s="399">
        <v>-12099.440070000001</v>
      </c>
      <c r="CP392" s="399">
        <v>0</v>
      </c>
      <c r="CQ392" s="399">
        <v>30</v>
      </c>
      <c r="CR392" s="399">
        <v>-506.52703668871527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-485.02165869169039</v>
      </c>
      <c r="DA392" s="399">
        <v>0</v>
      </c>
      <c r="DB392" s="399">
        <v>0</v>
      </c>
      <c r="DC392" s="399">
        <v>0</v>
      </c>
      <c r="DD392" s="399">
        <v>0</v>
      </c>
      <c r="DE392" s="399">
        <v>0</v>
      </c>
      <c r="DF392" s="399">
        <v>0</v>
      </c>
      <c r="DG392" s="399">
        <v>0</v>
      </c>
      <c r="DH392" s="399">
        <v>0</v>
      </c>
      <c r="DI392" s="399">
        <v>-18.380351424633943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-2.8302642354703451</v>
      </c>
      <c r="DP392" s="399">
        <v>-0.29476233692111897</v>
      </c>
      <c r="DQ392" s="399">
        <v>0</v>
      </c>
      <c r="DR392" s="399">
        <v>0</v>
      </c>
      <c r="DS392" s="399"/>
      <c r="DT392" s="399"/>
      <c r="DU392" s="399"/>
      <c r="DV392" s="399">
        <v>18593.992205721996</v>
      </c>
      <c r="DW392" s="399">
        <v>0</v>
      </c>
      <c r="DX392" s="399">
        <v>0</v>
      </c>
      <c r="DY392" s="399">
        <v>-12099.440069999999</v>
      </c>
      <c r="DZ392" s="399">
        <v>0</v>
      </c>
      <c r="EA392" s="399">
        <v>0</v>
      </c>
      <c r="EB392" s="399">
        <v>0</v>
      </c>
      <c r="EC392" s="399">
        <v>-11592.924930029705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221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392</v>
      </c>
      <c r="B393" s="399" t="s">
        <v>956</v>
      </c>
      <c r="C393" s="399" t="s">
        <v>2325</v>
      </c>
      <c r="D393" s="399" t="s">
        <v>533</v>
      </c>
      <c r="E393" s="399" t="s">
        <v>918</v>
      </c>
      <c r="F393" s="399" t="s">
        <v>1239</v>
      </c>
      <c r="G393" s="399" t="s">
        <v>1239</v>
      </c>
      <c r="H393" s="399" t="s">
        <v>1239</v>
      </c>
      <c r="I393" s="399" t="s">
        <v>2323</v>
      </c>
      <c r="J393" s="399" t="s">
        <v>2326</v>
      </c>
      <c r="K393" s="786">
        <v>44713</v>
      </c>
      <c r="L393" s="399">
        <v>0</v>
      </c>
      <c r="M393" s="399">
        <v>0</v>
      </c>
      <c r="N393" s="399">
        <v>335.82299999999998</v>
      </c>
      <c r="O393" s="399">
        <v>335.82299999999998</v>
      </c>
      <c r="P393" s="399">
        <v>335.82299999999998</v>
      </c>
      <c r="Q393" s="399">
        <v>335.82299999999998</v>
      </c>
      <c r="R393" s="399"/>
      <c r="S393" s="399">
        <v>77.900000000000006</v>
      </c>
      <c r="T393" s="399">
        <v>185.74</v>
      </c>
      <c r="U393" s="399"/>
      <c r="V393" s="399">
        <v>88536.375720000011</v>
      </c>
      <c r="W393" s="399">
        <v>88536.375720000011</v>
      </c>
      <c r="X393" s="399">
        <v>87219.949560000008</v>
      </c>
      <c r="Y393" s="399">
        <v>0</v>
      </c>
      <c r="Z393" s="399">
        <v>18215.138418750441</v>
      </c>
      <c r="AA393" s="399">
        <v>0</v>
      </c>
      <c r="AB393" s="399">
        <v>0</v>
      </c>
      <c r="AC393" s="399">
        <v>0</v>
      </c>
      <c r="AD393" s="399">
        <v>0</v>
      </c>
      <c r="AE393" s="399">
        <v>0</v>
      </c>
      <c r="AF393" s="399">
        <v>62377.204008359804</v>
      </c>
      <c r="AG393" s="399">
        <v>0</v>
      </c>
      <c r="AH393" s="399">
        <v>0</v>
      </c>
      <c r="AI393" s="399">
        <v>0</v>
      </c>
      <c r="AJ393" s="399">
        <v>0</v>
      </c>
      <c r="AK393" s="399">
        <v>0</v>
      </c>
      <c r="AL393" s="399">
        <v>3235.7198273548647</v>
      </c>
      <c r="AM393" s="399"/>
      <c r="AN393" s="399">
        <v>347.8728073057884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4363.070781187801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>
        <v>66740.274789547606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87219.170400000003</v>
      </c>
      <c r="CJ393" s="399">
        <v>-1317.2353199999925</v>
      </c>
      <c r="CK393" s="399"/>
      <c r="CL393" s="399"/>
      <c r="CM393" s="399"/>
      <c r="CN393" s="399"/>
      <c r="CO393" s="399">
        <v>-1316.4261600000004</v>
      </c>
      <c r="CP393" s="399">
        <v>0</v>
      </c>
      <c r="CQ393" s="399">
        <v>30</v>
      </c>
      <c r="CR393" s="399">
        <v>-1318.1238465221977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0</v>
      </c>
      <c r="DA393" s="399">
        <v>0</v>
      </c>
      <c r="DB393" s="399">
        <v>0</v>
      </c>
      <c r="DC393" s="399">
        <v>0</v>
      </c>
      <c r="DD393" s="399">
        <v>0</v>
      </c>
      <c r="DE393" s="399">
        <v>0</v>
      </c>
      <c r="DF393" s="399">
        <v>0</v>
      </c>
      <c r="DG393" s="399">
        <v>0</v>
      </c>
      <c r="DH393" s="399">
        <v>0</v>
      </c>
      <c r="DI393" s="399">
        <v>-1126.582361101453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-173.47468997049828</v>
      </c>
      <c r="DP393" s="399">
        <v>-18.06679545023934</v>
      </c>
      <c r="DQ393" s="399">
        <v>0</v>
      </c>
      <c r="DR393" s="399">
        <v>0</v>
      </c>
      <c r="DS393" s="399"/>
      <c r="DT393" s="399"/>
      <c r="DU393" s="399"/>
      <c r="DV393" s="399">
        <v>0</v>
      </c>
      <c r="DW393" s="399">
        <v>0</v>
      </c>
      <c r="DX393" s="399">
        <v>0</v>
      </c>
      <c r="DY393" s="399">
        <v>-1316.4261600000027</v>
      </c>
      <c r="DZ393" s="399">
        <v>0</v>
      </c>
      <c r="EA393" s="399">
        <v>0</v>
      </c>
      <c r="EB393" s="399">
        <v>0</v>
      </c>
      <c r="EC393" s="399">
        <v>0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221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393</v>
      </c>
      <c r="B394" s="399" t="s">
        <v>956</v>
      </c>
      <c r="C394" s="399" t="s">
        <v>2325</v>
      </c>
      <c r="D394" s="399" t="s">
        <v>533</v>
      </c>
      <c r="E394" s="399" t="s">
        <v>918</v>
      </c>
      <c r="F394" s="399" t="s">
        <v>1239</v>
      </c>
      <c r="G394" s="399" t="s">
        <v>1239</v>
      </c>
      <c r="H394" s="399" t="s">
        <v>1239</v>
      </c>
      <c r="I394" s="399" t="s">
        <v>1239</v>
      </c>
      <c r="J394" s="399" t="s">
        <v>2326</v>
      </c>
      <c r="K394" s="786">
        <v>44713</v>
      </c>
      <c r="L394" s="399">
        <v>1148</v>
      </c>
      <c r="M394" s="399">
        <v>1148</v>
      </c>
      <c r="N394" s="399">
        <v>0</v>
      </c>
      <c r="O394" s="399">
        <v>0</v>
      </c>
      <c r="P394" s="399">
        <v>0</v>
      </c>
      <c r="Q394" s="399">
        <v>0</v>
      </c>
      <c r="R394" s="399">
        <v>55.59</v>
      </c>
      <c r="S394" s="399"/>
      <c r="T394" s="399"/>
      <c r="U394" s="399">
        <v>63817.320000000007</v>
      </c>
      <c r="V394" s="399"/>
      <c r="W394" s="399">
        <v>63817.320000000007</v>
      </c>
      <c r="X394" s="399">
        <v>33877.480000000003</v>
      </c>
      <c r="Y394" s="399">
        <v>0</v>
      </c>
      <c r="Z394" s="399">
        <v>0</v>
      </c>
      <c r="AA394" s="399">
        <v>0</v>
      </c>
      <c r="AB394" s="399">
        <v>0</v>
      </c>
      <c r="AC394" s="399">
        <v>0</v>
      </c>
      <c r="AD394" s="399">
        <v>18545.562110286617</v>
      </c>
      <c r="AE394" s="399">
        <v>45266.470160775127</v>
      </c>
      <c r="AF394" s="399"/>
      <c r="AG394" s="399"/>
      <c r="AH394" s="399"/>
      <c r="AI394" s="399">
        <v>0</v>
      </c>
      <c r="AJ394" s="399">
        <v>0</v>
      </c>
      <c r="AK394" s="399">
        <v>0</v>
      </c>
      <c r="AL394" s="399">
        <v>0</v>
      </c>
      <c r="AM394" s="399"/>
      <c r="AN394" s="399">
        <v>0</v>
      </c>
      <c r="AO394" s="399">
        <v>0</v>
      </c>
      <c r="AP394" s="399">
        <v>0</v>
      </c>
      <c r="AQ394" s="399">
        <v>0</v>
      </c>
      <c r="AR394" s="399">
        <v>0</v>
      </c>
      <c r="AS394" s="399"/>
      <c r="AT394" s="399"/>
      <c r="AU394" s="399">
        <v>0</v>
      </c>
      <c r="AV394" s="399">
        <v>0</v>
      </c>
      <c r="AW394" s="399">
        <v>0</v>
      </c>
      <c r="AX394" s="399"/>
      <c r="AY394" s="399"/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/>
      <c r="BG394" s="399">
        <v>0</v>
      </c>
      <c r="BH394" s="399">
        <v>0</v>
      </c>
      <c r="BI394" s="399">
        <v>67.33</v>
      </c>
      <c r="BJ394" s="399">
        <v>282.77</v>
      </c>
      <c r="BK394" s="399">
        <v>43918.6</v>
      </c>
      <c r="BL394" s="399">
        <v>6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0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33877.480000000003</v>
      </c>
      <c r="CJ394" s="399">
        <v>-29939.87000000001</v>
      </c>
      <c r="CK394" s="399"/>
      <c r="CL394" s="399"/>
      <c r="CM394" s="399"/>
      <c r="CN394" s="399"/>
      <c r="CO394" s="399">
        <v>-29939.840000000004</v>
      </c>
      <c r="CP394" s="399">
        <v>0</v>
      </c>
      <c r="CQ394" s="399">
        <v>30</v>
      </c>
      <c r="CR394" s="399">
        <v>-1707.2416700461581</v>
      </c>
      <c r="CS394" s="399">
        <v>0</v>
      </c>
      <c r="CT394" s="399">
        <v>0</v>
      </c>
      <c r="CU394" s="399">
        <v>0</v>
      </c>
      <c r="CV394" s="399">
        <v>0</v>
      </c>
      <c r="CW394" s="399"/>
      <c r="CX394" s="399"/>
      <c r="CY394" s="399"/>
      <c r="CZ394" s="399">
        <v>-1707.2416700461581</v>
      </c>
      <c r="DA394" s="399">
        <v>0</v>
      </c>
      <c r="DB394" s="399">
        <v>0</v>
      </c>
      <c r="DC394" s="399"/>
      <c r="DD394" s="399"/>
      <c r="DE394" s="399">
        <v>0</v>
      </c>
      <c r="DF394" s="399">
        <v>0</v>
      </c>
      <c r="DG394" s="399">
        <v>0</v>
      </c>
      <c r="DH394" s="399">
        <v>0</v>
      </c>
      <c r="DI394" s="399">
        <v>0</v>
      </c>
      <c r="DJ394" s="399"/>
      <c r="DK394" s="399">
        <v>0</v>
      </c>
      <c r="DL394" s="399">
        <v>0</v>
      </c>
      <c r="DM394" s="399"/>
      <c r="DN394" s="399">
        <v>0</v>
      </c>
      <c r="DO394" s="399">
        <v>0</v>
      </c>
      <c r="DP394" s="399">
        <v>0</v>
      </c>
      <c r="DQ394" s="399">
        <v>0</v>
      </c>
      <c r="DR394" s="399">
        <v>0</v>
      </c>
      <c r="DS394" s="399"/>
      <c r="DT394" s="399"/>
      <c r="DU394" s="399">
        <v>45266.470160775127</v>
      </c>
      <c r="DV394" s="399"/>
      <c r="DW394" s="399">
        <v>0</v>
      </c>
      <c r="DX394" s="399">
        <v>0</v>
      </c>
      <c r="DY394" s="399">
        <v>-29939.840000000004</v>
      </c>
      <c r="DZ394" s="399"/>
      <c r="EA394" s="399">
        <v>0</v>
      </c>
      <c r="EB394" s="399"/>
      <c r="EC394" s="399">
        <v>-28222.599246858143</v>
      </c>
      <c r="ED394" s="399"/>
      <c r="EE394" s="399">
        <v>0</v>
      </c>
      <c r="EF394" s="399">
        <v>0</v>
      </c>
      <c r="EG394" s="399"/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/>
      <c r="EN394" s="399"/>
      <c r="EO394" s="399">
        <v>0</v>
      </c>
      <c r="EP394" s="399">
        <v>0</v>
      </c>
      <c r="EQ394" s="399"/>
      <c r="ER394" s="399">
        <v>0</v>
      </c>
      <c r="ES394" s="399"/>
      <c r="ET394" s="399">
        <v>0</v>
      </c>
      <c r="EU394" s="399"/>
      <c r="EV394" s="399">
        <v>221</v>
      </c>
      <c r="EW394" s="399"/>
      <c r="EX394" s="399"/>
      <c r="EY394" s="399"/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394</v>
      </c>
      <c r="B395" s="399" t="s">
        <v>956</v>
      </c>
      <c r="C395" s="399" t="s">
        <v>2328</v>
      </c>
      <c r="D395" s="399" t="s">
        <v>2337</v>
      </c>
      <c r="E395" s="399" t="s">
        <v>894</v>
      </c>
      <c r="F395" s="399" t="s">
        <v>1239</v>
      </c>
      <c r="G395" s="399" t="s">
        <v>1239</v>
      </c>
      <c r="H395" s="399" t="s">
        <v>1239</v>
      </c>
      <c r="I395" s="399" t="s">
        <v>1239</v>
      </c>
      <c r="J395" s="399" t="s">
        <v>2326</v>
      </c>
      <c r="K395" s="786">
        <v>44713</v>
      </c>
      <c r="L395" s="399">
        <v>0</v>
      </c>
      <c r="M395" s="399">
        <v>0</v>
      </c>
      <c r="N395" s="399">
        <v>1366.492</v>
      </c>
      <c r="O395" s="399">
        <v>1366.492</v>
      </c>
      <c r="P395" s="399">
        <v>1366.492</v>
      </c>
      <c r="Q395" s="399">
        <v>1366.492</v>
      </c>
      <c r="R395" s="399"/>
      <c r="S395" s="399">
        <v>825.6</v>
      </c>
      <c r="T395" s="399">
        <v>185.74</v>
      </c>
      <c r="U395" s="399"/>
      <c r="V395" s="399">
        <v>1381988.0192800001</v>
      </c>
      <c r="W395" s="399">
        <v>1381988.0192800001</v>
      </c>
      <c r="X395" s="399">
        <v>859113.52040000004</v>
      </c>
      <c r="Y395" s="399">
        <v>0</v>
      </c>
      <c r="Z395" s="399">
        <v>85194.170698073882</v>
      </c>
      <c r="AA395" s="399">
        <v>0</v>
      </c>
      <c r="AB395" s="399">
        <v>0</v>
      </c>
      <c r="AC395" s="399">
        <v>0</v>
      </c>
      <c r="AD395" s="399">
        <v>178097.23393856559</v>
      </c>
      <c r="AE395" s="399">
        <v>802499.45979739272</v>
      </c>
      <c r="AF395" s="399">
        <v>253818.08351361167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13166.415815241373</v>
      </c>
      <c r="AM395" s="399"/>
      <c r="AN395" s="399">
        <v>3239.7712644683015</v>
      </c>
      <c r="AO395" s="399">
        <v>0</v>
      </c>
      <c r="AP395" s="399">
        <v>0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45983.137755679818</v>
      </c>
      <c r="BH395" s="399">
        <v>0</v>
      </c>
      <c r="BI395" s="399">
        <v>348.42</v>
      </c>
      <c r="BJ395" s="399">
        <v>1595.65</v>
      </c>
      <c r="BK395" s="399">
        <v>142713.21</v>
      </c>
      <c r="BL395" s="399">
        <v>5593</v>
      </c>
      <c r="BM395" s="399"/>
      <c r="BN395" s="399"/>
      <c r="BO395" s="399"/>
      <c r="BP395" s="399"/>
      <c r="BQ395" s="399"/>
      <c r="BR395" s="399">
        <v>103088.15647999999</v>
      </c>
      <c r="BS395" s="399"/>
      <c r="BT395" s="399"/>
      <c r="BU395" s="399"/>
      <c r="BV395" s="399">
        <v>299801.22126929148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756024.2574</v>
      </c>
      <c r="CJ395" s="399">
        <v>-460126.32275999989</v>
      </c>
      <c r="CK395" s="399"/>
      <c r="CL395" s="399"/>
      <c r="CM395" s="399"/>
      <c r="CN395" s="399"/>
      <c r="CO395" s="399">
        <v>-522874.49888000003</v>
      </c>
      <c r="CP395" s="399">
        <v>0</v>
      </c>
      <c r="CQ395" s="399">
        <v>30</v>
      </c>
      <c r="CR395" s="399">
        <v>-22538.31673261628</v>
      </c>
      <c r="CS395" s="399">
        <v>0</v>
      </c>
      <c r="CT395" s="399">
        <v>0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-16395.028486691997</v>
      </c>
      <c r="DA395" s="399">
        <v>0</v>
      </c>
      <c r="DB395" s="399">
        <v>0</v>
      </c>
      <c r="DC395" s="399">
        <v>0</v>
      </c>
      <c r="DD395" s="399">
        <v>0</v>
      </c>
      <c r="DE395" s="399">
        <v>0</v>
      </c>
      <c r="DF395" s="399">
        <v>0</v>
      </c>
      <c r="DG395" s="399">
        <v>0</v>
      </c>
      <c r="DH395" s="399">
        <v>0</v>
      </c>
      <c r="DI395" s="399">
        <v>-5269.147440478293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-705.88308736198996</v>
      </c>
      <c r="DP395" s="399">
        <v>-168.25771808390527</v>
      </c>
      <c r="DQ395" s="399">
        <v>0</v>
      </c>
      <c r="DR395" s="399">
        <v>0</v>
      </c>
      <c r="DS395" s="399"/>
      <c r="DT395" s="399"/>
      <c r="DU395" s="399"/>
      <c r="DV395" s="399">
        <v>802499.45979739272</v>
      </c>
      <c r="DW395" s="399">
        <v>0</v>
      </c>
      <c r="DX395" s="399">
        <v>0</v>
      </c>
      <c r="DY395" s="399">
        <v>-522874.49888000009</v>
      </c>
      <c r="DZ395" s="399">
        <v>0</v>
      </c>
      <c r="EA395" s="399">
        <v>0</v>
      </c>
      <c r="EB395" s="399">
        <v>0</v>
      </c>
      <c r="EC395" s="399">
        <v>-500339.88886784838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0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221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395</v>
      </c>
      <c r="B396" s="399" t="s">
        <v>2329</v>
      </c>
      <c r="C396" s="399" t="s">
        <v>2328</v>
      </c>
      <c r="D396" s="399" t="s">
        <v>2337</v>
      </c>
      <c r="E396" s="399" t="s">
        <v>894</v>
      </c>
      <c r="F396" s="399" t="s">
        <v>1239</v>
      </c>
      <c r="G396" s="399" t="s">
        <v>1239</v>
      </c>
      <c r="H396" s="399" t="s">
        <v>1239</v>
      </c>
      <c r="I396" s="399" t="s">
        <v>1239</v>
      </c>
      <c r="J396" s="399" t="s">
        <v>2326</v>
      </c>
      <c r="K396" s="786">
        <v>44713</v>
      </c>
      <c r="L396" s="399">
        <v>0</v>
      </c>
      <c r="M396" s="399">
        <v>0</v>
      </c>
      <c r="N396" s="399">
        <v>-0.187</v>
      </c>
      <c r="O396" s="399">
        <v>-0.187</v>
      </c>
      <c r="P396" s="399">
        <v>-0.187</v>
      </c>
      <c r="Q396" s="399">
        <v>-0.187</v>
      </c>
      <c r="R396" s="399"/>
      <c r="S396" s="399">
        <v>825.6</v>
      </c>
      <c r="T396" s="399">
        <v>185.74</v>
      </c>
      <c r="U396" s="399"/>
      <c r="V396" s="399">
        <v>-189.12058000000002</v>
      </c>
      <c r="W396" s="399">
        <v>-189.12058000000002</v>
      </c>
      <c r="X396" s="399">
        <v>-117.5669</v>
      </c>
      <c r="Y396" s="399">
        <v>0</v>
      </c>
      <c r="Z396" s="399">
        <v>-11.658546058476606</v>
      </c>
      <c r="AA396" s="399">
        <v>0</v>
      </c>
      <c r="AB396" s="399">
        <v>0</v>
      </c>
      <c r="AC396" s="399">
        <v>0</v>
      </c>
      <c r="AD396" s="399">
        <v>-24.37202906896767</v>
      </c>
      <c r="AE396" s="399">
        <v>-109.81944935068221</v>
      </c>
      <c r="AF396" s="399">
        <v>-34.734181844493328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-1.8017813184783642</v>
      </c>
      <c r="AM396" s="399"/>
      <c r="AN396" s="399">
        <v>-0.44335219412596077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-6.2926433234238663</v>
      </c>
      <c r="BH396" s="399">
        <v>0</v>
      </c>
      <c r="BI396" s="399">
        <v>-0.04</v>
      </c>
      <c r="BJ396" s="399">
        <v>-0.21</v>
      </c>
      <c r="BK396" s="399">
        <v>-16.420000000000002</v>
      </c>
      <c r="BL396" s="399">
        <v>0</v>
      </c>
      <c r="BM396" s="399"/>
      <c r="BN396" s="399"/>
      <c r="BO396" s="399"/>
      <c r="BP396" s="399"/>
      <c r="BQ396" s="399"/>
      <c r="BR396" s="399">
        <v>-14.107279999999999</v>
      </c>
      <c r="BS396" s="399"/>
      <c r="BT396" s="399"/>
      <c r="BU396" s="399"/>
      <c r="BV396" s="399">
        <v>-41.026825167917195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-105.1194</v>
      </c>
      <c r="CJ396" s="399">
        <v>61.276860000000013</v>
      </c>
      <c r="CK396" s="399"/>
      <c r="CL396" s="399"/>
      <c r="CM396" s="399"/>
      <c r="CN396" s="399"/>
      <c r="CO396" s="399">
        <v>71.553680000000014</v>
      </c>
      <c r="CP396" s="399">
        <v>0</v>
      </c>
      <c r="CQ396" s="399">
        <v>30</v>
      </c>
      <c r="CR396" s="399">
        <v>3.0842955750924546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2.2436064953262864</v>
      </c>
      <c r="DA396" s="399">
        <v>0</v>
      </c>
      <c r="DB396" s="399">
        <v>0</v>
      </c>
      <c r="DC396" s="399">
        <v>0</v>
      </c>
      <c r="DD396" s="399">
        <v>0</v>
      </c>
      <c r="DE396" s="399">
        <v>0</v>
      </c>
      <c r="DF396" s="399">
        <v>0</v>
      </c>
      <c r="DG396" s="399">
        <v>0</v>
      </c>
      <c r="DH396" s="399">
        <v>0</v>
      </c>
      <c r="DI396" s="399">
        <v>0.72106574452645233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9.6597812015505546E-2</v>
      </c>
      <c r="DP396" s="399">
        <v>2.3025523224204925E-2</v>
      </c>
      <c r="DQ396" s="399">
        <v>0</v>
      </c>
      <c r="DR396" s="399">
        <v>0</v>
      </c>
      <c r="DS396" s="399"/>
      <c r="DT396" s="399"/>
      <c r="DU396" s="399"/>
      <c r="DV396" s="399">
        <v>-109.81944935068221</v>
      </c>
      <c r="DW396" s="399">
        <v>0</v>
      </c>
      <c r="DX396" s="399">
        <v>0</v>
      </c>
      <c r="DY396" s="399">
        <v>71.553680000000014</v>
      </c>
      <c r="DZ396" s="399">
        <v>0</v>
      </c>
      <c r="EA396" s="399">
        <v>0</v>
      </c>
      <c r="EB396" s="399">
        <v>0</v>
      </c>
      <c r="EC396" s="399">
        <v>68.469891677585849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221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396</v>
      </c>
      <c r="B397" s="399" t="s">
        <v>956</v>
      </c>
      <c r="C397" s="399" t="s">
        <v>2328</v>
      </c>
      <c r="D397" s="399" t="s">
        <v>1824</v>
      </c>
      <c r="E397" s="399" t="s">
        <v>2338</v>
      </c>
      <c r="F397" s="399" t="s">
        <v>1239</v>
      </c>
      <c r="G397" s="399" t="s">
        <v>1239</v>
      </c>
      <c r="H397" s="399" t="s">
        <v>1239</v>
      </c>
      <c r="I397" s="399" t="s">
        <v>1239</v>
      </c>
      <c r="J397" s="399" t="s">
        <v>2326</v>
      </c>
      <c r="K397" s="786">
        <v>44713</v>
      </c>
      <c r="L397" s="399">
        <v>0</v>
      </c>
      <c r="M397" s="399">
        <v>0</v>
      </c>
      <c r="N397" s="399">
        <v>23.603999999999999</v>
      </c>
      <c r="O397" s="399">
        <v>23.603999999999999</v>
      </c>
      <c r="P397" s="399">
        <v>23.603999999999999</v>
      </c>
      <c r="Q397" s="399">
        <v>23.603999999999999</v>
      </c>
      <c r="R397" s="399"/>
      <c r="S397" s="399">
        <v>825.6</v>
      </c>
      <c r="T397" s="399">
        <v>185.74</v>
      </c>
      <c r="U397" s="399"/>
      <c r="V397" s="399">
        <v>23871.66936</v>
      </c>
      <c r="W397" s="399">
        <v>23871.66936</v>
      </c>
      <c r="X397" s="399">
        <v>14839.834800000001</v>
      </c>
      <c r="Y397" s="399">
        <v>0</v>
      </c>
      <c r="Z397" s="399">
        <v>1471.595300343753</v>
      </c>
      <c r="AA397" s="399">
        <v>0</v>
      </c>
      <c r="AB397" s="399">
        <v>0</v>
      </c>
      <c r="AC397" s="399">
        <v>0</v>
      </c>
      <c r="AD397" s="399">
        <v>3076.3495943524749</v>
      </c>
      <c r="AE397" s="399">
        <v>13861.915949056165</v>
      </c>
      <c r="AF397" s="399">
        <v>4384.3081724995754</v>
      </c>
      <c r="AG397" s="399">
        <v>0</v>
      </c>
      <c r="AH397" s="399">
        <v>0</v>
      </c>
      <c r="AI397" s="399">
        <v>0</v>
      </c>
      <c r="AJ397" s="399">
        <v>0</v>
      </c>
      <c r="AK397" s="399">
        <v>0</v>
      </c>
      <c r="AL397" s="399">
        <v>227.42912428536528</v>
      </c>
      <c r="AM397" s="399"/>
      <c r="AN397" s="399">
        <v>55.961952888498274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794.28637971174828</v>
      </c>
      <c r="BH397" s="399">
        <v>0</v>
      </c>
      <c r="BI397" s="399">
        <v>6.83</v>
      </c>
      <c r="BJ397" s="399">
        <v>31.32</v>
      </c>
      <c r="BK397" s="399">
        <v>3554.53</v>
      </c>
      <c r="BL397" s="399">
        <v>92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5178.5945522113234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14837.32</v>
      </c>
      <c r="CJ397" s="399">
        <v>-9034.3793599999954</v>
      </c>
      <c r="CK397" s="399"/>
      <c r="CL397" s="399"/>
      <c r="CM397" s="399"/>
      <c r="CN397" s="399"/>
      <c r="CO397" s="399">
        <v>-9031.8345600000011</v>
      </c>
      <c r="CP397" s="399">
        <v>0</v>
      </c>
      <c r="CQ397" s="399">
        <v>30</v>
      </c>
      <c r="CR397" s="399">
        <v>-389.31397194910096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-283.19833003038275</v>
      </c>
      <c r="DA397" s="399">
        <v>0</v>
      </c>
      <c r="DB397" s="399">
        <v>0</v>
      </c>
      <c r="DC397" s="399">
        <v>0</v>
      </c>
      <c r="DD397" s="399">
        <v>0</v>
      </c>
      <c r="DE397" s="399">
        <v>0</v>
      </c>
      <c r="DF397" s="399">
        <v>0</v>
      </c>
      <c r="DG397" s="399">
        <v>0</v>
      </c>
      <c r="DH397" s="399">
        <v>0</v>
      </c>
      <c r="DI397" s="399">
        <v>-91.016234405360365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-12.193020079219195</v>
      </c>
      <c r="DP397" s="399">
        <v>-2.9063874341397451</v>
      </c>
      <c r="DQ397" s="399">
        <v>0</v>
      </c>
      <c r="DR397" s="399">
        <v>0</v>
      </c>
      <c r="DS397" s="399"/>
      <c r="DT397" s="399"/>
      <c r="DU397" s="399"/>
      <c r="DV397" s="399">
        <v>13861.915949056165</v>
      </c>
      <c r="DW397" s="399">
        <v>0</v>
      </c>
      <c r="DX397" s="399">
        <v>0</v>
      </c>
      <c r="DY397" s="399">
        <v>-9031.8345600000011</v>
      </c>
      <c r="DZ397" s="399">
        <v>0</v>
      </c>
      <c r="EA397" s="399">
        <v>0</v>
      </c>
      <c r="EB397" s="399">
        <v>0</v>
      </c>
      <c r="EC397" s="399">
        <v>-8642.5846158167715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221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397</v>
      </c>
      <c r="B398" s="399" t="s">
        <v>956</v>
      </c>
      <c r="C398" s="399" t="s">
        <v>2328</v>
      </c>
      <c r="D398" s="399" t="s">
        <v>2339</v>
      </c>
      <c r="E398" s="399" t="s">
        <v>2340</v>
      </c>
      <c r="F398" s="399" t="s">
        <v>2341</v>
      </c>
      <c r="G398" s="399" t="s">
        <v>1239</v>
      </c>
      <c r="H398" s="399" t="s">
        <v>1239</v>
      </c>
      <c r="I398" s="399" t="s">
        <v>1239</v>
      </c>
      <c r="J398" s="399" t="s">
        <v>2326</v>
      </c>
      <c r="K398" s="786">
        <v>44713</v>
      </c>
      <c r="L398" s="399">
        <v>0</v>
      </c>
      <c r="M398" s="399">
        <v>0</v>
      </c>
      <c r="N398" s="399">
        <v>235.31200000000001</v>
      </c>
      <c r="O398" s="399">
        <v>235.31200000000001</v>
      </c>
      <c r="P398" s="399">
        <v>235.31200000000001</v>
      </c>
      <c r="Q398" s="399">
        <v>235.31200000000001</v>
      </c>
      <c r="R398" s="399"/>
      <c r="S398" s="399">
        <v>454.08</v>
      </c>
      <c r="T398" s="399">
        <v>102.16</v>
      </c>
      <c r="U398" s="399"/>
      <c r="V398" s="399">
        <v>130889.94688</v>
      </c>
      <c r="W398" s="399">
        <v>130889.94688</v>
      </c>
      <c r="X398" s="399">
        <v>81368.536479999995</v>
      </c>
      <c r="Y398" s="399">
        <v>0</v>
      </c>
      <c r="Z398" s="399">
        <v>8068.8111473889603</v>
      </c>
      <c r="AA398" s="399">
        <v>0</v>
      </c>
      <c r="AB398" s="399">
        <v>0</v>
      </c>
      <c r="AC398" s="399">
        <v>0</v>
      </c>
      <c r="AD398" s="399">
        <v>16867.737953755692</v>
      </c>
      <c r="AE398" s="399">
        <v>76005.39489884628</v>
      </c>
      <c r="AF398" s="399">
        <v>24039.322935857137</v>
      </c>
      <c r="AG398" s="399">
        <v>0</v>
      </c>
      <c r="AH398" s="399">
        <v>0</v>
      </c>
      <c r="AI398" s="399">
        <v>0</v>
      </c>
      <c r="AJ398" s="399">
        <v>0</v>
      </c>
      <c r="AK398" s="399">
        <v>0</v>
      </c>
      <c r="AL398" s="399">
        <v>1247.0022518052372</v>
      </c>
      <c r="AM398" s="399"/>
      <c r="AN398" s="399">
        <v>306.84144560049594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4355.1014285926904</v>
      </c>
      <c r="BH398" s="399">
        <v>0</v>
      </c>
      <c r="BI398" s="399">
        <v>40.74</v>
      </c>
      <c r="BJ398" s="399">
        <v>171.31</v>
      </c>
      <c r="BK398" s="399">
        <v>27193.49</v>
      </c>
      <c r="BL398" s="399">
        <v>9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28394.424364449827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81367.844899999996</v>
      </c>
      <c r="CJ398" s="399">
        <v>-49522.131979999991</v>
      </c>
      <c r="CK398" s="399"/>
      <c r="CL398" s="399"/>
      <c r="CM398" s="399"/>
      <c r="CN398" s="399"/>
      <c r="CO398" s="399">
        <v>-49521.410400000001</v>
      </c>
      <c r="CP398" s="399">
        <v>0</v>
      </c>
      <c r="CQ398" s="399">
        <v>30</v>
      </c>
      <c r="CR398" s="399">
        <v>-2134.6228246063692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-1552.786857730076</v>
      </c>
      <c r="DA398" s="399">
        <v>0</v>
      </c>
      <c r="DB398" s="399">
        <v>0</v>
      </c>
      <c r="DC398" s="399">
        <v>0</v>
      </c>
      <c r="DD398" s="399">
        <v>0</v>
      </c>
      <c r="DE398" s="399">
        <v>0</v>
      </c>
      <c r="DF398" s="399">
        <v>0</v>
      </c>
      <c r="DG398" s="399">
        <v>0</v>
      </c>
      <c r="DH398" s="399">
        <v>0</v>
      </c>
      <c r="DI398" s="399">
        <v>-499.04536022355751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-66.854777473507511</v>
      </c>
      <c r="DP398" s="399">
        <v>-15.935829179219297</v>
      </c>
      <c r="DQ398" s="399">
        <v>0</v>
      </c>
      <c r="DR398" s="399">
        <v>0</v>
      </c>
      <c r="DS398" s="399"/>
      <c r="DT398" s="399"/>
      <c r="DU398" s="399"/>
      <c r="DV398" s="399">
        <v>76005.39489884628</v>
      </c>
      <c r="DW398" s="399">
        <v>0</v>
      </c>
      <c r="DX398" s="399">
        <v>0</v>
      </c>
      <c r="DY398" s="399">
        <v>-49521.410400000001</v>
      </c>
      <c r="DZ398" s="399">
        <v>0</v>
      </c>
      <c r="EA398" s="399">
        <v>0</v>
      </c>
      <c r="EB398" s="399">
        <v>0</v>
      </c>
      <c r="EC398" s="399">
        <v>-47387.609265988533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221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398</v>
      </c>
      <c r="B399" s="399" t="s">
        <v>956</v>
      </c>
      <c r="C399" s="399" t="s">
        <v>2328</v>
      </c>
      <c r="D399" s="399" t="s">
        <v>2339</v>
      </c>
      <c r="E399" s="399" t="s">
        <v>2340</v>
      </c>
      <c r="F399" s="399" t="s">
        <v>2578</v>
      </c>
      <c r="G399" s="399" t="s">
        <v>1239</v>
      </c>
      <c r="H399" s="399" t="s">
        <v>1239</v>
      </c>
      <c r="I399" s="399" t="s">
        <v>1239</v>
      </c>
      <c r="J399" s="399" t="s">
        <v>2326</v>
      </c>
      <c r="K399" s="786">
        <v>44713</v>
      </c>
      <c r="L399" s="399">
        <v>0</v>
      </c>
      <c r="M399" s="399">
        <v>0</v>
      </c>
      <c r="N399" s="399">
        <v>133.34200000000001</v>
      </c>
      <c r="O399" s="399">
        <v>133.34200000000001</v>
      </c>
      <c r="P399" s="399">
        <v>133.34200000000001</v>
      </c>
      <c r="Q399" s="399">
        <v>133.34200000000001</v>
      </c>
      <c r="R399" s="399"/>
      <c r="S399" s="399">
        <v>495.36</v>
      </c>
      <c r="T399" s="399">
        <v>111.45</v>
      </c>
      <c r="U399" s="399"/>
      <c r="V399" s="399">
        <v>80913.259019999998</v>
      </c>
      <c r="W399" s="399">
        <v>80913.259019999998</v>
      </c>
      <c r="X399" s="399">
        <v>50300.602660000004</v>
      </c>
      <c r="Y399" s="399">
        <v>0</v>
      </c>
      <c r="Z399" s="399">
        <v>4987.9374819124723</v>
      </c>
      <c r="AA399" s="399">
        <v>0</v>
      </c>
      <c r="AB399" s="399">
        <v>0</v>
      </c>
      <c r="AC399" s="399">
        <v>0</v>
      </c>
      <c r="AD399" s="399">
        <v>10427.214224965654</v>
      </c>
      <c r="AE399" s="399">
        <v>46984.636412787251</v>
      </c>
      <c r="AF399" s="399">
        <v>14860.508905374614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770.86564032687238</v>
      </c>
      <c r="AM399" s="399"/>
      <c r="AN399" s="399">
        <v>189.68171637158434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2692.2149070544901</v>
      </c>
      <c r="BH399" s="399">
        <v>0</v>
      </c>
      <c r="BI399" s="399">
        <v>25.19</v>
      </c>
      <c r="BJ399" s="399">
        <v>105.9</v>
      </c>
      <c r="BK399" s="399">
        <v>16810.53</v>
      </c>
      <c r="BL399" s="399">
        <v>6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>
        <v>17552.723812429103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50299.8482</v>
      </c>
      <c r="CJ399" s="399">
        <v>-30613.440819999982</v>
      </c>
      <c r="CK399" s="399"/>
      <c r="CL399" s="399"/>
      <c r="CM399" s="399"/>
      <c r="CN399" s="399"/>
      <c r="CO399" s="399">
        <v>-30612.656360000008</v>
      </c>
      <c r="CP399" s="399">
        <v>0</v>
      </c>
      <c r="CQ399" s="399">
        <v>30</v>
      </c>
      <c r="CR399" s="399">
        <v>-1319.5705045154391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-959.89404481219754</v>
      </c>
      <c r="DA399" s="399">
        <v>0</v>
      </c>
      <c r="DB399" s="399">
        <v>0</v>
      </c>
      <c r="DC399" s="399">
        <v>0</v>
      </c>
      <c r="DD399" s="399">
        <v>0</v>
      </c>
      <c r="DE399" s="399">
        <v>0</v>
      </c>
      <c r="DF399" s="399">
        <v>0</v>
      </c>
      <c r="DG399" s="399">
        <v>0</v>
      </c>
      <c r="DH399" s="399">
        <v>0</v>
      </c>
      <c r="DI399" s="399">
        <v>-308.49737488763822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-41.327953314774277</v>
      </c>
      <c r="DP399" s="399">
        <v>-9.8511315008399265</v>
      </c>
      <c r="DQ399" s="399">
        <v>0</v>
      </c>
      <c r="DR399" s="399">
        <v>0</v>
      </c>
      <c r="DS399" s="399"/>
      <c r="DT399" s="399"/>
      <c r="DU399" s="399"/>
      <c r="DV399" s="399">
        <v>46984.636412787251</v>
      </c>
      <c r="DW399" s="399">
        <v>0</v>
      </c>
      <c r="DX399" s="399">
        <v>0</v>
      </c>
      <c r="DY399" s="399">
        <v>-30612.656360000001</v>
      </c>
      <c r="DZ399" s="399">
        <v>0</v>
      </c>
      <c r="EA399" s="399">
        <v>0</v>
      </c>
      <c r="EB399" s="399">
        <v>0</v>
      </c>
      <c r="EC399" s="399">
        <v>-29293.836244083457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221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399</v>
      </c>
      <c r="B400" s="399" t="s">
        <v>956</v>
      </c>
      <c r="C400" s="399" t="s">
        <v>2328</v>
      </c>
      <c r="D400" s="399" t="s">
        <v>1824</v>
      </c>
      <c r="E400" s="399" t="s">
        <v>921</v>
      </c>
      <c r="F400" s="399" t="s">
        <v>2327</v>
      </c>
      <c r="G400" s="399" t="s">
        <v>1239</v>
      </c>
      <c r="H400" s="399" t="s">
        <v>1239</v>
      </c>
      <c r="I400" s="399" t="s">
        <v>1239</v>
      </c>
      <c r="J400" s="399" t="s">
        <v>2326</v>
      </c>
      <c r="K400" s="786">
        <v>44713</v>
      </c>
      <c r="L400" s="399">
        <v>0</v>
      </c>
      <c r="M400" s="399">
        <v>0</v>
      </c>
      <c r="N400" s="399">
        <v>3.9340000000000002</v>
      </c>
      <c r="O400" s="399">
        <v>3.6979600000000001</v>
      </c>
      <c r="P400" s="399">
        <v>3.9340000000000002</v>
      </c>
      <c r="Q400" s="399">
        <v>3.6979600000000001</v>
      </c>
      <c r="R400" s="399"/>
      <c r="S400" s="399">
        <v>825.6</v>
      </c>
      <c r="T400" s="399">
        <v>185.74</v>
      </c>
      <c r="U400" s="399"/>
      <c r="V400" s="399">
        <v>3978.6115600000003</v>
      </c>
      <c r="W400" s="399">
        <v>3978.6115600000003</v>
      </c>
      <c r="X400" s="399">
        <v>2473.3058000000001</v>
      </c>
      <c r="Y400" s="399">
        <v>0</v>
      </c>
      <c r="Z400" s="399">
        <v>245.26588339062553</v>
      </c>
      <c r="AA400" s="399">
        <v>0</v>
      </c>
      <c r="AB400" s="399">
        <v>0</v>
      </c>
      <c r="AC400" s="399">
        <v>0</v>
      </c>
      <c r="AD400" s="399">
        <v>512.72493239207927</v>
      </c>
      <c r="AE400" s="399">
        <v>2310.3193248426942</v>
      </c>
      <c r="AF400" s="399">
        <v>730.7180287499292</v>
      </c>
      <c r="AG400" s="399">
        <v>0</v>
      </c>
      <c r="AH400" s="399">
        <v>0</v>
      </c>
      <c r="AI400" s="399">
        <v>0</v>
      </c>
      <c r="AJ400" s="399">
        <v>0</v>
      </c>
      <c r="AK400" s="399">
        <v>0</v>
      </c>
      <c r="AL400" s="399">
        <v>37.904854047560882</v>
      </c>
      <c r="AM400" s="399"/>
      <c r="AN400" s="399">
        <v>9.3269921480830469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132.38106328529139</v>
      </c>
      <c r="BH400" s="399">
        <v>0</v>
      </c>
      <c r="BI400" s="399">
        <v>1.02</v>
      </c>
      <c r="BJ400" s="399">
        <v>4.43</v>
      </c>
      <c r="BK400" s="399">
        <v>0</v>
      </c>
      <c r="BL400" s="399">
        <v>5</v>
      </c>
      <c r="BM400" s="399"/>
      <c r="BN400" s="399"/>
      <c r="BO400" s="399"/>
      <c r="BP400" s="399"/>
      <c r="BQ400" s="399">
        <v>148.39834800000003</v>
      </c>
      <c r="BR400" s="399"/>
      <c r="BS400" s="399"/>
      <c r="BT400" s="399"/>
      <c r="BU400" s="399"/>
      <c r="BV400" s="399">
        <v>863.09909203522056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2326.19</v>
      </c>
      <c r="CJ400" s="399">
        <v>-1413.7348664000006</v>
      </c>
      <c r="CK400" s="399"/>
      <c r="CL400" s="399"/>
      <c r="CM400" s="399"/>
      <c r="CN400" s="399"/>
      <c r="CO400" s="399">
        <v>-1505.3057600000002</v>
      </c>
      <c r="CP400" s="399">
        <v>0</v>
      </c>
      <c r="CQ400" s="399">
        <v>30</v>
      </c>
      <c r="CR400" s="399">
        <v>-64.885661991517054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-47.199721671730572</v>
      </c>
      <c r="DA400" s="399">
        <v>0</v>
      </c>
      <c r="DB400" s="399">
        <v>0</v>
      </c>
      <c r="DC400" s="399">
        <v>0</v>
      </c>
      <c r="DD400" s="399">
        <v>0</v>
      </c>
      <c r="DE400" s="399">
        <v>0</v>
      </c>
      <c r="DF400" s="399">
        <v>0</v>
      </c>
      <c r="DG400" s="399">
        <v>0</v>
      </c>
      <c r="DH400" s="399">
        <v>0</v>
      </c>
      <c r="DI400" s="399">
        <v>-15.169372400893394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-2.0321700132031992</v>
      </c>
      <c r="DP400" s="399">
        <v>-0.48439790568995811</v>
      </c>
      <c r="DQ400" s="399">
        <v>0</v>
      </c>
      <c r="DR400" s="399">
        <v>0</v>
      </c>
      <c r="DS400" s="399"/>
      <c r="DT400" s="399"/>
      <c r="DU400" s="399"/>
      <c r="DV400" s="399">
        <v>2310.3193248426942</v>
      </c>
      <c r="DW400" s="399">
        <v>0</v>
      </c>
      <c r="DX400" s="399">
        <v>0</v>
      </c>
      <c r="DY400" s="399">
        <v>-1505.3057600000002</v>
      </c>
      <c r="DZ400" s="399">
        <v>0</v>
      </c>
      <c r="EA400" s="399">
        <v>0</v>
      </c>
      <c r="EB400" s="399">
        <v>0</v>
      </c>
      <c r="EC400" s="399">
        <v>-1440.4307693027954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0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221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400</v>
      </c>
      <c r="B401" s="399" t="s">
        <v>956</v>
      </c>
      <c r="C401" s="399" t="s">
        <v>2328</v>
      </c>
      <c r="D401" s="399" t="s">
        <v>1824</v>
      </c>
      <c r="E401" s="399" t="s">
        <v>2579</v>
      </c>
      <c r="F401" s="399" t="s">
        <v>1239</v>
      </c>
      <c r="G401" s="399" t="s">
        <v>1239</v>
      </c>
      <c r="H401" s="399" t="s">
        <v>1239</v>
      </c>
      <c r="I401" s="399" t="s">
        <v>1239</v>
      </c>
      <c r="J401" s="399" t="s">
        <v>2326</v>
      </c>
      <c r="K401" s="786">
        <v>44713</v>
      </c>
      <c r="L401" s="399">
        <v>0</v>
      </c>
      <c r="M401" s="399">
        <v>0</v>
      </c>
      <c r="N401" s="399">
        <v>0.69299999999999995</v>
      </c>
      <c r="O401" s="399">
        <v>0.69299999999999995</v>
      </c>
      <c r="P401" s="399">
        <v>0.69299999999999995</v>
      </c>
      <c r="Q401" s="399">
        <v>0.69299999999999995</v>
      </c>
      <c r="R401" s="399"/>
      <c r="S401" s="399">
        <v>825.6</v>
      </c>
      <c r="T401" s="399">
        <v>185.74</v>
      </c>
      <c r="U401" s="399"/>
      <c r="V401" s="399">
        <v>700.85861999999997</v>
      </c>
      <c r="W401" s="399">
        <v>700.85861999999997</v>
      </c>
      <c r="X401" s="399">
        <v>435.68909999999994</v>
      </c>
      <c r="Y401" s="399">
        <v>0</v>
      </c>
      <c r="Z401" s="399">
        <v>43.205200099060363</v>
      </c>
      <c r="AA401" s="399">
        <v>0</v>
      </c>
      <c r="AB401" s="399">
        <v>0</v>
      </c>
      <c r="AC401" s="399">
        <v>0</v>
      </c>
      <c r="AD401" s="399">
        <v>90.319872432056655</v>
      </c>
      <c r="AE401" s="399">
        <v>406.97795935841049</v>
      </c>
      <c r="AF401" s="399">
        <v>128.72079154135764</v>
      </c>
      <c r="AG401" s="399">
        <v>0</v>
      </c>
      <c r="AH401" s="399">
        <v>0</v>
      </c>
      <c r="AI401" s="399">
        <v>0</v>
      </c>
      <c r="AJ401" s="399">
        <v>0</v>
      </c>
      <c r="AK401" s="399">
        <v>0</v>
      </c>
      <c r="AL401" s="399">
        <v>6.6771895920080553</v>
      </c>
      <c r="AM401" s="399"/>
      <c r="AN401" s="399">
        <v>1.6430110723491487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23.319795845629621</v>
      </c>
      <c r="BH401" s="399">
        <v>0</v>
      </c>
      <c r="BI401" s="399">
        <v>0.19</v>
      </c>
      <c r="BJ401" s="399">
        <v>0.93</v>
      </c>
      <c r="BK401" s="399">
        <v>145.58000000000001</v>
      </c>
      <c r="BL401" s="399">
        <v>4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152.04058738698726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433.80299999999994</v>
      </c>
      <c r="CJ401" s="399">
        <v>-267.08562000000001</v>
      </c>
      <c r="CK401" s="399"/>
      <c r="CL401" s="399"/>
      <c r="CM401" s="399"/>
      <c r="CN401" s="399"/>
      <c r="CO401" s="399">
        <v>-265.16952000000003</v>
      </c>
      <c r="CP401" s="399">
        <v>0</v>
      </c>
      <c r="CQ401" s="399">
        <v>30</v>
      </c>
      <c r="CR401" s="399">
        <v>-11.43003654298974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-8.3145417179738814</v>
      </c>
      <c r="DA401" s="399">
        <v>0</v>
      </c>
      <c r="DB401" s="399">
        <v>0</v>
      </c>
      <c r="DC401" s="399">
        <v>0</v>
      </c>
      <c r="DD401" s="399">
        <v>0</v>
      </c>
      <c r="DE401" s="399">
        <v>0</v>
      </c>
      <c r="DF401" s="399">
        <v>0</v>
      </c>
      <c r="DG401" s="399">
        <v>0</v>
      </c>
      <c r="DH401" s="399">
        <v>0</v>
      </c>
      <c r="DI401" s="399">
        <v>-2.6721848179509706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-0.35798012688099146</v>
      </c>
      <c r="DP401" s="399">
        <v>-8.5329880183818263E-2</v>
      </c>
      <c r="DQ401" s="399">
        <v>0</v>
      </c>
      <c r="DR401" s="399">
        <v>0</v>
      </c>
      <c r="DS401" s="399"/>
      <c r="DT401" s="399"/>
      <c r="DU401" s="399"/>
      <c r="DV401" s="399">
        <v>406.97795935841049</v>
      </c>
      <c r="DW401" s="399">
        <v>0</v>
      </c>
      <c r="DX401" s="399">
        <v>0</v>
      </c>
      <c r="DY401" s="399">
        <v>-265.16952000000003</v>
      </c>
      <c r="DZ401" s="399">
        <v>0</v>
      </c>
      <c r="EA401" s="399">
        <v>0</v>
      </c>
      <c r="EB401" s="399">
        <v>0</v>
      </c>
      <c r="EC401" s="399">
        <v>-253.74136327575926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221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401</v>
      </c>
      <c r="B402" s="399" t="s">
        <v>956</v>
      </c>
      <c r="C402" s="399" t="s">
        <v>2328</v>
      </c>
      <c r="D402" s="399" t="s">
        <v>1824</v>
      </c>
      <c r="E402" s="399" t="s">
        <v>921</v>
      </c>
      <c r="F402" s="399" t="s">
        <v>2580</v>
      </c>
      <c r="G402" s="399" t="s">
        <v>1239</v>
      </c>
      <c r="H402" s="399" t="s">
        <v>1239</v>
      </c>
      <c r="I402" s="399" t="s">
        <v>1239</v>
      </c>
      <c r="J402" s="399" t="s">
        <v>2326</v>
      </c>
      <c r="K402" s="786">
        <v>44713</v>
      </c>
      <c r="L402" s="399">
        <v>0</v>
      </c>
      <c r="M402" s="399">
        <v>0</v>
      </c>
      <c r="N402" s="399">
        <v>3.4000000000000002E-2</v>
      </c>
      <c r="O402" s="399">
        <v>3.4000000000000002E-2</v>
      </c>
      <c r="P402" s="399">
        <v>3.4000000000000002E-2</v>
      </c>
      <c r="Q402" s="399">
        <v>3.4000000000000002E-2</v>
      </c>
      <c r="R402" s="399"/>
      <c r="S402" s="399">
        <v>825.6</v>
      </c>
      <c r="T402" s="399">
        <v>185.74</v>
      </c>
      <c r="U402" s="399"/>
      <c r="V402" s="399">
        <v>34.385560000000005</v>
      </c>
      <c r="W402" s="399">
        <v>34.385560000000005</v>
      </c>
      <c r="X402" s="399">
        <v>21.375800000000002</v>
      </c>
      <c r="Y402" s="399">
        <v>0</v>
      </c>
      <c r="Z402" s="399">
        <v>2.1197356469957467</v>
      </c>
      <c r="AA402" s="399">
        <v>0</v>
      </c>
      <c r="AB402" s="399">
        <v>0</v>
      </c>
      <c r="AC402" s="399">
        <v>0</v>
      </c>
      <c r="AD402" s="399">
        <v>4.4312780125395763</v>
      </c>
      <c r="AE402" s="399">
        <v>19.967172609214948</v>
      </c>
      <c r="AF402" s="399">
        <v>6.3153057899078791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0.32759660335970259</v>
      </c>
      <c r="AM402" s="399"/>
      <c r="AN402" s="399">
        <v>8.0609489841083778E-2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1.1441169678952485</v>
      </c>
      <c r="BH402" s="399">
        <v>0</v>
      </c>
      <c r="BI402" s="399">
        <v>0.01</v>
      </c>
      <c r="BJ402" s="399">
        <v>0.04</v>
      </c>
      <c r="BK402" s="399">
        <v>0</v>
      </c>
      <c r="BL402" s="399">
        <v>1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>
        <v>7.4594227578031278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18.860999999999997</v>
      </c>
      <c r="CJ402" s="399">
        <v>-15.554560000000009</v>
      </c>
      <c r="CK402" s="399"/>
      <c r="CL402" s="399"/>
      <c r="CM402" s="399"/>
      <c r="CN402" s="399"/>
      <c r="CO402" s="399">
        <v>-13.009760000000002</v>
      </c>
      <c r="CP402" s="399">
        <v>0</v>
      </c>
      <c r="CQ402" s="399">
        <v>30</v>
      </c>
      <c r="CR402" s="399">
        <v>-0.56078101365317323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-0.4079284536956882</v>
      </c>
      <c r="DA402" s="399">
        <v>0</v>
      </c>
      <c r="DB402" s="399">
        <v>0</v>
      </c>
      <c r="DC402" s="399">
        <v>0</v>
      </c>
      <c r="DD402" s="399">
        <v>0</v>
      </c>
      <c r="DE402" s="399">
        <v>0</v>
      </c>
      <c r="DF402" s="399">
        <v>0</v>
      </c>
      <c r="DG402" s="399">
        <v>0</v>
      </c>
      <c r="DH402" s="399">
        <v>0</v>
      </c>
      <c r="DI402" s="399">
        <v>-0.13110286264117299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-1.7563238548273741E-2</v>
      </c>
      <c r="DP402" s="399">
        <v>-4.1864587680372628E-3</v>
      </c>
      <c r="DQ402" s="399">
        <v>0</v>
      </c>
      <c r="DR402" s="399">
        <v>0</v>
      </c>
      <c r="DS402" s="399"/>
      <c r="DT402" s="399"/>
      <c r="DU402" s="399"/>
      <c r="DV402" s="399">
        <v>19.967172609214948</v>
      </c>
      <c r="DW402" s="399">
        <v>0</v>
      </c>
      <c r="DX402" s="399">
        <v>0</v>
      </c>
      <c r="DY402" s="399">
        <v>-13.009760000000002</v>
      </c>
      <c r="DZ402" s="399">
        <v>0</v>
      </c>
      <c r="EA402" s="399">
        <v>0</v>
      </c>
      <c r="EB402" s="399">
        <v>0</v>
      </c>
      <c r="EC402" s="399">
        <v>-12.449071214106517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221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402</v>
      </c>
      <c r="B403" s="399" t="s">
        <v>956</v>
      </c>
      <c r="C403" s="399" t="s">
        <v>2328</v>
      </c>
      <c r="D403" s="399" t="s">
        <v>1821</v>
      </c>
      <c r="E403" s="399" t="s">
        <v>889</v>
      </c>
      <c r="F403" s="399" t="s">
        <v>889</v>
      </c>
      <c r="G403" s="399" t="s">
        <v>1239</v>
      </c>
      <c r="H403" s="399" t="s">
        <v>1239</v>
      </c>
      <c r="I403" s="399" t="s">
        <v>1239</v>
      </c>
      <c r="J403" s="399" t="s">
        <v>2326</v>
      </c>
      <c r="K403" s="786">
        <v>44743</v>
      </c>
      <c r="L403" s="399">
        <v>0</v>
      </c>
      <c r="M403" s="399">
        <v>0</v>
      </c>
      <c r="N403" s="399">
        <v>1144.6780000000001</v>
      </c>
      <c r="O403" s="399">
        <v>1144.6780000000001</v>
      </c>
      <c r="P403" s="399">
        <v>1144.6780000000001</v>
      </c>
      <c r="Q403" s="399">
        <v>1144.6780000000001</v>
      </c>
      <c r="R403" s="399"/>
      <c r="S403" s="399">
        <v>825.6</v>
      </c>
      <c r="T403" s="399">
        <v>185.74</v>
      </c>
      <c r="U403" s="399"/>
      <c r="V403" s="399">
        <v>1157658.64852</v>
      </c>
      <c r="W403" s="399">
        <v>1157658.64852</v>
      </c>
      <c r="X403" s="399">
        <v>719659.05859999999</v>
      </c>
      <c r="Y403" s="399">
        <v>0</v>
      </c>
      <c r="Z403" s="399">
        <v>71365.140027405811</v>
      </c>
      <c r="AA403" s="399">
        <v>0</v>
      </c>
      <c r="AB403" s="399">
        <v>0</v>
      </c>
      <c r="AC403" s="399">
        <v>0</v>
      </c>
      <c r="AD403" s="399">
        <v>149187.83684816991</v>
      </c>
      <c r="AE403" s="399">
        <v>672234.80023443967</v>
      </c>
      <c r="AF403" s="399">
        <v>212617.40002882856</v>
      </c>
      <c r="AG403" s="399">
        <v>0</v>
      </c>
      <c r="AH403" s="399">
        <v>0</v>
      </c>
      <c r="AI403" s="399">
        <v>0</v>
      </c>
      <c r="AJ403" s="399">
        <v>0</v>
      </c>
      <c r="AK403" s="399">
        <v>0</v>
      </c>
      <c r="AL403" s="399">
        <v>11029.194845311107</v>
      </c>
      <c r="AM403" s="399"/>
      <c r="AN403" s="399">
        <v>2713.8796944797677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38518.985958129335</v>
      </c>
      <c r="BH403" s="399">
        <v>0</v>
      </c>
      <c r="BI403" s="399">
        <v>361.86</v>
      </c>
      <c r="BJ403" s="399">
        <v>1809.39</v>
      </c>
      <c r="BK403" s="399">
        <v>128282.07</v>
      </c>
      <c r="BL403" s="399">
        <v>8293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251136.3859869579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719660.31600000011</v>
      </c>
      <c r="CJ403" s="399">
        <v>-437998.36251999997</v>
      </c>
      <c r="CK403" s="399"/>
      <c r="CL403" s="399"/>
      <c r="CM403" s="399"/>
      <c r="CN403" s="399"/>
      <c r="CO403" s="399">
        <v>-437999.58992000011</v>
      </c>
      <c r="CP403" s="399">
        <v>0</v>
      </c>
      <c r="CQ403" s="399">
        <v>31</v>
      </c>
      <c r="CR403" s="399">
        <v>-18879.814386661339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-13733.727250572731</v>
      </c>
      <c r="DA403" s="399">
        <v>0</v>
      </c>
      <c r="DB403" s="399">
        <v>0</v>
      </c>
      <c r="DC403" s="399">
        <v>0</v>
      </c>
      <c r="DD403" s="399">
        <v>0</v>
      </c>
      <c r="DE403" s="399">
        <v>0</v>
      </c>
      <c r="DF403" s="399">
        <v>0</v>
      </c>
      <c r="DG403" s="399">
        <v>0</v>
      </c>
      <c r="DH403" s="399">
        <v>0</v>
      </c>
      <c r="DI403" s="399">
        <v>-4413.8400765403785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-591.30155220473171</v>
      </c>
      <c r="DP403" s="399">
        <v>-140.9455073435106</v>
      </c>
      <c r="DQ403" s="399">
        <v>0</v>
      </c>
      <c r="DR403" s="399">
        <v>0</v>
      </c>
      <c r="DS403" s="399"/>
      <c r="DT403" s="399"/>
      <c r="DU403" s="399"/>
      <c r="DV403" s="399">
        <v>672234.80023443967</v>
      </c>
      <c r="DW403" s="399">
        <v>0</v>
      </c>
      <c r="DX403" s="399">
        <v>0</v>
      </c>
      <c r="DY403" s="399">
        <v>-437999.58992000011</v>
      </c>
      <c r="DZ403" s="399">
        <v>0</v>
      </c>
      <c r="EA403" s="399">
        <v>0</v>
      </c>
      <c r="EB403" s="399">
        <v>0</v>
      </c>
      <c r="EC403" s="399">
        <v>-419122.8805653241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221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403</v>
      </c>
      <c r="B404" s="399" t="s">
        <v>2329</v>
      </c>
      <c r="C404" s="399" t="s">
        <v>2328</v>
      </c>
      <c r="D404" s="399" t="s">
        <v>1821</v>
      </c>
      <c r="E404" s="399" t="s">
        <v>889</v>
      </c>
      <c r="F404" s="399" t="s">
        <v>889</v>
      </c>
      <c r="G404" s="399" t="s">
        <v>1239</v>
      </c>
      <c r="H404" s="399" t="s">
        <v>1239</v>
      </c>
      <c r="I404" s="399" t="s">
        <v>1239</v>
      </c>
      <c r="J404" s="399" t="s">
        <v>2326</v>
      </c>
      <c r="K404" s="786">
        <v>44743</v>
      </c>
      <c r="L404" s="399">
        <v>0</v>
      </c>
      <c r="M404" s="399">
        <v>0</v>
      </c>
      <c r="N404" s="399">
        <v>-1.2889999999999999</v>
      </c>
      <c r="O404" s="399">
        <v>-1.2889999999999999</v>
      </c>
      <c r="P404" s="399">
        <v>-1.2889999999999999</v>
      </c>
      <c r="Q404" s="399">
        <v>-1.2889999999999999</v>
      </c>
      <c r="R404" s="399"/>
      <c r="S404" s="399">
        <v>825.6</v>
      </c>
      <c r="T404" s="399">
        <v>185.74</v>
      </c>
      <c r="U404" s="399"/>
      <c r="V404" s="399">
        <v>-1303.61726</v>
      </c>
      <c r="W404" s="399">
        <v>-1303.61726</v>
      </c>
      <c r="X404" s="399">
        <v>-810.39429999999993</v>
      </c>
      <c r="Y404" s="399">
        <v>0</v>
      </c>
      <c r="Z404" s="399">
        <v>-80.362919087574042</v>
      </c>
      <c r="AA404" s="399">
        <v>0</v>
      </c>
      <c r="AB404" s="399">
        <v>0</v>
      </c>
      <c r="AC404" s="399">
        <v>0</v>
      </c>
      <c r="AD404" s="399">
        <v>-167.99756935775039</v>
      </c>
      <c r="AE404" s="399">
        <v>-756.99074980229602</v>
      </c>
      <c r="AF404" s="399">
        <v>-239.42438715268395</v>
      </c>
      <c r="AG404" s="399">
        <v>0</v>
      </c>
      <c r="AH404" s="399">
        <v>0</v>
      </c>
      <c r="AI404" s="399">
        <v>0</v>
      </c>
      <c r="AJ404" s="399">
        <v>0</v>
      </c>
      <c r="AK404" s="399">
        <v>0</v>
      </c>
      <c r="AL404" s="399">
        <v>-12.419765345019313</v>
      </c>
      <c r="AM404" s="399"/>
      <c r="AN404" s="399">
        <v>-3.0560480119163818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-43.375493282852212</v>
      </c>
      <c r="BH404" s="399">
        <v>0</v>
      </c>
      <c r="BI404" s="399">
        <v>-0.36</v>
      </c>
      <c r="BJ404" s="399">
        <v>-1.72</v>
      </c>
      <c r="BK404" s="399">
        <v>-232.84</v>
      </c>
      <c r="BL404" s="399">
        <v>0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-282.79988043553618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-811.02300000000002</v>
      </c>
      <c r="CJ404" s="399">
        <v>492.56425999999999</v>
      </c>
      <c r="CK404" s="399"/>
      <c r="CL404" s="399"/>
      <c r="CM404" s="399"/>
      <c r="CN404" s="399"/>
      <c r="CO404" s="399">
        <v>493.22296</v>
      </c>
      <c r="CP404" s="399">
        <v>0</v>
      </c>
      <c r="CQ404" s="399">
        <v>31</v>
      </c>
      <c r="CR404" s="399">
        <v>21.260197841145214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15.465287553345348</v>
      </c>
      <c r="DA404" s="399">
        <v>0</v>
      </c>
      <c r="DB404" s="399">
        <v>0</v>
      </c>
      <c r="DC404" s="399">
        <v>0</v>
      </c>
      <c r="DD404" s="399">
        <v>0</v>
      </c>
      <c r="DE404" s="399">
        <v>0</v>
      </c>
      <c r="DF404" s="399">
        <v>0</v>
      </c>
      <c r="DG404" s="399">
        <v>0</v>
      </c>
      <c r="DH404" s="399">
        <v>0</v>
      </c>
      <c r="DI404" s="399">
        <v>4.9703408807197746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0.66585336731543698</v>
      </c>
      <c r="DP404" s="399">
        <v>0.15871603976470672</v>
      </c>
      <c r="DQ404" s="399">
        <v>0</v>
      </c>
      <c r="DR404" s="399">
        <v>0</v>
      </c>
      <c r="DS404" s="399"/>
      <c r="DT404" s="399"/>
      <c r="DU404" s="399"/>
      <c r="DV404" s="399">
        <v>-756.99074980229602</v>
      </c>
      <c r="DW404" s="399">
        <v>0</v>
      </c>
      <c r="DX404" s="399">
        <v>0</v>
      </c>
      <c r="DY404" s="399">
        <v>493.22296000000006</v>
      </c>
      <c r="DZ404" s="399">
        <v>0</v>
      </c>
      <c r="EA404" s="399">
        <v>0</v>
      </c>
      <c r="EB404" s="399">
        <v>0</v>
      </c>
      <c r="EC404" s="399">
        <v>471.96625867597936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221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404</v>
      </c>
      <c r="B405" s="399" t="s">
        <v>2330</v>
      </c>
      <c r="C405" s="399" t="s">
        <v>2328</v>
      </c>
      <c r="D405" s="399" t="s">
        <v>1821</v>
      </c>
      <c r="E405" s="399" t="s">
        <v>889</v>
      </c>
      <c r="F405" s="399" t="s">
        <v>889</v>
      </c>
      <c r="G405" s="399" t="s">
        <v>1239</v>
      </c>
      <c r="H405" s="399" t="s">
        <v>1239</v>
      </c>
      <c r="I405" s="399" t="s">
        <v>1239</v>
      </c>
      <c r="J405" s="399" t="s">
        <v>2326</v>
      </c>
      <c r="K405" s="786">
        <v>44743</v>
      </c>
      <c r="L405" s="399">
        <v>0</v>
      </c>
      <c r="M405" s="399">
        <v>0</v>
      </c>
      <c r="N405" s="399">
        <v>21.67</v>
      </c>
      <c r="O405" s="399">
        <v>21.67</v>
      </c>
      <c r="P405" s="399">
        <v>21.67</v>
      </c>
      <c r="Q405" s="399">
        <v>21.67</v>
      </c>
      <c r="R405" s="399"/>
      <c r="S405" s="399">
        <v>825.6</v>
      </c>
      <c r="T405" s="399">
        <v>185.74</v>
      </c>
      <c r="U405" s="399"/>
      <c r="V405" s="399">
        <v>21915.737800000003</v>
      </c>
      <c r="W405" s="399">
        <v>21915.737800000003</v>
      </c>
      <c r="X405" s="399">
        <v>13623.929</v>
      </c>
      <c r="Y405" s="399">
        <v>0</v>
      </c>
      <c r="Z405" s="399">
        <v>1351.0197491293482</v>
      </c>
      <c r="AA405" s="399">
        <v>0</v>
      </c>
      <c r="AB405" s="399">
        <v>0</v>
      </c>
      <c r="AC405" s="399">
        <v>0</v>
      </c>
      <c r="AD405" s="399">
        <v>2824.2880744627241</v>
      </c>
      <c r="AE405" s="399">
        <v>12726.136189461409</v>
      </c>
      <c r="AF405" s="399">
        <v>4025.0787196265806</v>
      </c>
      <c r="AG405" s="399">
        <v>0</v>
      </c>
      <c r="AH405" s="399">
        <v>0</v>
      </c>
      <c r="AI405" s="399">
        <v>0</v>
      </c>
      <c r="AJ405" s="399">
        <v>0</v>
      </c>
      <c r="AK405" s="399">
        <v>0</v>
      </c>
      <c r="AL405" s="399">
        <v>208.7946586707281</v>
      </c>
      <c r="AM405" s="399"/>
      <c r="AN405" s="399">
        <v>51.376695436949575</v>
      </c>
      <c r="AO405" s="399">
        <v>0</v>
      </c>
      <c r="AP405" s="399">
        <v>0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729.20631453794215</v>
      </c>
      <c r="BH405" s="399">
        <v>0</v>
      </c>
      <c r="BI405" s="399">
        <v>6.35</v>
      </c>
      <c r="BJ405" s="399">
        <v>32.04</v>
      </c>
      <c r="BK405" s="399">
        <v>6657.48</v>
      </c>
      <c r="BL405" s="399">
        <v>104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>
        <v>4754.2850341645226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13623.929</v>
      </c>
      <c r="CJ405" s="399">
        <v>-8291.8387999999977</v>
      </c>
      <c r="CK405" s="399"/>
      <c r="CL405" s="399"/>
      <c r="CM405" s="399"/>
      <c r="CN405" s="399"/>
      <c r="CO405" s="399">
        <v>-8291.8088000000007</v>
      </c>
      <c r="CP405" s="399">
        <v>0</v>
      </c>
      <c r="CQ405" s="399">
        <v>31</v>
      </c>
      <c r="CR405" s="399">
        <v>-357.41542840777038</v>
      </c>
      <c r="CS405" s="399">
        <v>0</v>
      </c>
      <c r="CT405" s="399">
        <v>0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-259.99439975251653</v>
      </c>
      <c r="DA405" s="399">
        <v>0</v>
      </c>
      <c r="DB405" s="399">
        <v>0</v>
      </c>
      <c r="DC405" s="399">
        <v>0</v>
      </c>
      <c r="DD405" s="399">
        <v>0</v>
      </c>
      <c r="DE405" s="399">
        <v>0</v>
      </c>
      <c r="DF405" s="399">
        <v>0</v>
      </c>
      <c r="DG405" s="399">
        <v>0</v>
      </c>
      <c r="DH405" s="399">
        <v>0</v>
      </c>
      <c r="DI405" s="399">
        <v>-83.558795101006581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-11.193981745326226</v>
      </c>
      <c r="DP405" s="399">
        <v>-2.6682518089225695</v>
      </c>
      <c r="DQ405" s="399">
        <v>0</v>
      </c>
      <c r="DR405" s="399">
        <v>0</v>
      </c>
      <c r="DS405" s="399"/>
      <c r="DT405" s="399"/>
      <c r="DU405" s="399"/>
      <c r="DV405" s="399">
        <v>12726.136189461409</v>
      </c>
      <c r="DW405" s="399">
        <v>0</v>
      </c>
      <c r="DX405" s="399">
        <v>0</v>
      </c>
      <c r="DY405" s="399">
        <v>-8291.8088000000007</v>
      </c>
      <c r="DZ405" s="399">
        <v>0</v>
      </c>
      <c r="EA405" s="399">
        <v>0</v>
      </c>
      <c r="EB405" s="399">
        <v>0</v>
      </c>
      <c r="EC405" s="399">
        <v>-7934.4521532261242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0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221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405</v>
      </c>
      <c r="B406" s="399" t="s">
        <v>956</v>
      </c>
      <c r="C406" s="399" t="s">
        <v>2328</v>
      </c>
      <c r="D406" s="399" t="s">
        <v>1821</v>
      </c>
      <c r="E406" s="399" t="s">
        <v>889</v>
      </c>
      <c r="F406" s="399" t="s">
        <v>2331</v>
      </c>
      <c r="G406" s="399" t="s">
        <v>1239</v>
      </c>
      <c r="H406" s="399" t="s">
        <v>1239</v>
      </c>
      <c r="I406" s="399" t="s">
        <v>1239</v>
      </c>
      <c r="J406" s="399" t="s">
        <v>2326</v>
      </c>
      <c r="K406" s="786">
        <v>44743</v>
      </c>
      <c r="L406" s="399">
        <v>0</v>
      </c>
      <c r="M406" s="399">
        <v>0</v>
      </c>
      <c r="N406" s="399">
        <v>8.5500000000000007</v>
      </c>
      <c r="O406" s="399">
        <v>8.5500000000000007</v>
      </c>
      <c r="P406" s="399">
        <v>8.5500000000000007</v>
      </c>
      <c r="Q406" s="399">
        <v>8.5500000000000007</v>
      </c>
      <c r="R406" s="399"/>
      <c r="S406" s="399">
        <v>753.62</v>
      </c>
      <c r="T406" s="399">
        <v>185.74</v>
      </c>
      <c r="U406" s="399"/>
      <c r="V406" s="399">
        <v>8031.5280000000012</v>
      </c>
      <c r="W406" s="399">
        <v>8031.5280000000012</v>
      </c>
      <c r="X406" s="399">
        <v>4797.3195000000005</v>
      </c>
      <c r="Y406" s="399">
        <v>0</v>
      </c>
      <c r="Z406" s="399">
        <v>0</v>
      </c>
      <c r="AA406" s="399">
        <v>0</v>
      </c>
      <c r="AB406" s="399">
        <v>0</v>
      </c>
      <c r="AC406" s="399">
        <v>0</v>
      </c>
      <c r="AD406" s="399">
        <v>1114.3360884474523</v>
      </c>
      <c r="AE406" s="399">
        <v>5021.1566414349354</v>
      </c>
      <c r="AF406" s="399">
        <v>1588.1136618738931</v>
      </c>
      <c r="AG406" s="399">
        <v>0</v>
      </c>
      <c r="AH406" s="399">
        <v>0</v>
      </c>
      <c r="AI406" s="399">
        <v>0</v>
      </c>
      <c r="AJ406" s="399">
        <v>0</v>
      </c>
      <c r="AK406" s="399">
        <v>0</v>
      </c>
      <c r="AL406" s="399">
        <v>0</v>
      </c>
      <c r="AM406" s="399"/>
      <c r="AN406" s="399">
        <v>20.270915827684302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287.71176692659924</v>
      </c>
      <c r="BH406" s="399">
        <v>0</v>
      </c>
      <c r="BI406" s="399">
        <v>0.12</v>
      </c>
      <c r="BJ406" s="399">
        <v>5.58</v>
      </c>
      <c r="BK406" s="399">
        <v>230.85</v>
      </c>
      <c r="BL406" s="399">
        <v>29</v>
      </c>
      <c r="BM406" s="399"/>
      <c r="BN406" s="399"/>
      <c r="BO406" s="399"/>
      <c r="BP406" s="399"/>
      <c r="BQ406" s="399"/>
      <c r="BR406" s="399"/>
      <c r="BS406" s="399"/>
      <c r="BT406" s="399">
        <v>3118.2705000000005</v>
      </c>
      <c r="BU406" s="399"/>
      <c r="BV406" s="399">
        <v>1875.8254288004923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1679.0490000000002</v>
      </c>
      <c r="CJ406" s="399">
        <v>-1132.0500000000004</v>
      </c>
      <c r="CK406" s="399"/>
      <c r="CL406" s="399"/>
      <c r="CM406" s="399"/>
      <c r="CN406" s="399"/>
      <c r="CO406" s="399">
        <v>-3234.2085000000002</v>
      </c>
      <c r="CP406" s="399">
        <v>0</v>
      </c>
      <c r="CQ406" s="399">
        <v>31</v>
      </c>
      <c r="CR406" s="399">
        <v>-103.63477945778959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-102.58200820876857</v>
      </c>
      <c r="DA406" s="399">
        <v>0</v>
      </c>
      <c r="DB406" s="399">
        <v>0</v>
      </c>
      <c r="DC406" s="399">
        <v>0</v>
      </c>
      <c r="DD406" s="399">
        <v>0</v>
      </c>
      <c r="DE406" s="399">
        <v>0</v>
      </c>
      <c r="DF406" s="399">
        <v>0</v>
      </c>
      <c r="DG406" s="399">
        <v>0</v>
      </c>
      <c r="DH406" s="399">
        <v>0</v>
      </c>
      <c r="DI406" s="399">
        <v>0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0</v>
      </c>
      <c r="DP406" s="399">
        <v>-1.0527712490211307</v>
      </c>
      <c r="DQ406" s="399">
        <v>0</v>
      </c>
      <c r="DR406" s="399">
        <v>0</v>
      </c>
      <c r="DS406" s="399"/>
      <c r="DT406" s="399"/>
      <c r="DU406" s="399"/>
      <c r="DV406" s="399">
        <v>5021.1566414349354</v>
      </c>
      <c r="DW406" s="399">
        <v>0</v>
      </c>
      <c r="DX406" s="399">
        <v>0</v>
      </c>
      <c r="DY406" s="399">
        <v>-3234.2085000000006</v>
      </c>
      <c r="DZ406" s="399">
        <v>0</v>
      </c>
      <c r="EA406" s="399">
        <v>0</v>
      </c>
      <c r="EB406" s="399">
        <v>0</v>
      </c>
      <c r="EC406" s="399">
        <v>-3130.5752611944331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221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406</v>
      </c>
      <c r="B407" s="399" t="s">
        <v>956</v>
      </c>
      <c r="C407" s="399" t="s">
        <v>2328</v>
      </c>
      <c r="D407" s="399" t="s">
        <v>1821</v>
      </c>
      <c r="E407" s="399" t="s">
        <v>889</v>
      </c>
      <c r="F407" s="399" t="s">
        <v>2332</v>
      </c>
      <c r="G407" s="399" t="s">
        <v>1239</v>
      </c>
      <c r="H407" s="399" t="s">
        <v>1239</v>
      </c>
      <c r="I407" s="399" t="s">
        <v>1239</v>
      </c>
      <c r="J407" s="399" t="s">
        <v>2326</v>
      </c>
      <c r="K407" s="786">
        <v>44743</v>
      </c>
      <c r="L407" s="399">
        <v>0</v>
      </c>
      <c r="M407" s="399">
        <v>0</v>
      </c>
      <c r="N407" s="399">
        <v>15.904</v>
      </c>
      <c r="O407" s="399">
        <v>15.904</v>
      </c>
      <c r="P407" s="399">
        <v>15.904</v>
      </c>
      <c r="Q407" s="399">
        <v>15.904</v>
      </c>
      <c r="R407" s="399"/>
      <c r="S407" s="399">
        <v>753.62</v>
      </c>
      <c r="T407" s="399">
        <v>185.74</v>
      </c>
      <c r="U407" s="399"/>
      <c r="V407" s="399">
        <v>14939.581440000002</v>
      </c>
      <c r="W407" s="399">
        <v>14939.581440000002</v>
      </c>
      <c r="X407" s="399">
        <v>8923.5753600000007</v>
      </c>
      <c r="Y407" s="399">
        <v>0</v>
      </c>
      <c r="Z407" s="399">
        <v>0</v>
      </c>
      <c r="AA407" s="399">
        <v>0</v>
      </c>
      <c r="AB407" s="399">
        <v>0</v>
      </c>
      <c r="AC407" s="399">
        <v>0</v>
      </c>
      <c r="AD407" s="399">
        <v>2072.7954562185123</v>
      </c>
      <c r="AE407" s="399">
        <v>9339.9386228516032</v>
      </c>
      <c r="AF407" s="399">
        <v>2954.0771553733794</v>
      </c>
      <c r="AG407" s="399">
        <v>0</v>
      </c>
      <c r="AH407" s="399">
        <v>0</v>
      </c>
      <c r="AI407" s="399">
        <v>0</v>
      </c>
      <c r="AJ407" s="399">
        <v>0</v>
      </c>
      <c r="AK407" s="399">
        <v>0</v>
      </c>
      <c r="AL407" s="399">
        <v>0</v>
      </c>
      <c r="AM407" s="399"/>
      <c r="AN407" s="399">
        <v>37.706274306841067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535.17753698253034</v>
      </c>
      <c r="BH407" s="399">
        <v>0</v>
      </c>
      <c r="BI407" s="399">
        <v>2.35</v>
      </c>
      <c r="BJ407" s="399">
        <v>13.43</v>
      </c>
      <c r="BK407" s="399">
        <v>731.44</v>
      </c>
      <c r="BL407" s="399">
        <v>66</v>
      </c>
      <c r="BM407" s="399"/>
      <c r="BN407" s="399"/>
      <c r="BO407" s="399"/>
      <c r="BP407" s="399"/>
      <c r="BQ407" s="399"/>
      <c r="BR407" s="399"/>
      <c r="BS407" s="399"/>
      <c r="BT407" s="399">
        <v>3569.3347200000007</v>
      </c>
      <c r="BU407" s="399"/>
      <c r="BV407" s="399">
        <v>3489.2546923559098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5352.8940000000002</v>
      </c>
      <c r="CJ407" s="399">
        <v>-3610.9484800000009</v>
      </c>
      <c r="CK407" s="399"/>
      <c r="CL407" s="399"/>
      <c r="CM407" s="399"/>
      <c r="CN407" s="399"/>
      <c r="CO407" s="399">
        <v>-6016.0060800000001</v>
      </c>
      <c r="CP407" s="399">
        <v>0</v>
      </c>
      <c r="CQ407" s="399">
        <v>31</v>
      </c>
      <c r="CR407" s="399">
        <v>-192.77281081832643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-190.81453316400643</v>
      </c>
      <c r="DA407" s="399">
        <v>0</v>
      </c>
      <c r="DB407" s="399">
        <v>0</v>
      </c>
      <c r="DC407" s="399">
        <v>0</v>
      </c>
      <c r="DD407" s="399">
        <v>0</v>
      </c>
      <c r="DE407" s="399">
        <v>0</v>
      </c>
      <c r="DF407" s="399">
        <v>0</v>
      </c>
      <c r="DG407" s="399">
        <v>0</v>
      </c>
      <c r="DH407" s="399">
        <v>0</v>
      </c>
      <c r="DI407" s="399">
        <v>0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0</v>
      </c>
      <c r="DP407" s="399">
        <v>-1.958277654319545</v>
      </c>
      <c r="DQ407" s="399">
        <v>0</v>
      </c>
      <c r="DR407" s="399">
        <v>0</v>
      </c>
      <c r="DS407" s="399"/>
      <c r="DT407" s="399"/>
      <c r="DU407" s="399"/>
      <c r="DV407" s="399">
        <v>9339.9386228516032</v>
      </c>
      <c r="DW407" s="399">
        <v>0</v>
      </c>
      <c r="DX407" s="399">
        <v>0</v>
      </c>
      <c r="DY407" s="399">
        <v>-6016.0060800000001</v>
      </c>
      <c r="DZ407" s="399">
        <v>0</v>
      </c>
      <c r="EA407" s="399">
        <v>0</v>
      </c>
      <c r="EB407" s="399">
        <v>0</v>
      </c>
      <c r="EC407" s="399">
        <v>-5823.2361349750008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0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221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407</v>
      </c>
      <c r="B408" s="399" t="s">
        <v>956</v>
      </c>
      <c r="C408" s="399" t="s">
        <v>2328</v>
      </c>
      <c r="D408" s="399" t="s">
        <v>1821</v>
      </c>
      <c r="E408" s="399" t="s">
        <v>889</v>
      </c>
      <c r="F408" s="399" t="s">
        <v>2333</v>
      </c>
      <c r="G408" s="399" t="s">
        <v>1239</v>
      </c>
      <c r="H408" s="399" t="s">
        <v>1239</v>
      </c>
      <c r="I408" s="399" t="s">
        <v>1239</v>
      </c>
      <c r="J408" s="399" t="s">
        <v>2326</v>
      </c>
      <c r="K408" s="786">
        <v>44743</v>
      </c>
      <c r="L408" s="399">
        <v>0</v>
      </c>
      <c r="M408" s="399">
        <v>0</v>
      </c>
      <c r="N408" s="399">
        <v>13.869</v>
      </c>
      <c r="O408" s="399">
        <v>13.869</v>
      </c>
      <c r="P408" s="399">
        <v>13.869</v>
      </c>
      <c r="Q408" s="399">
        <v>13.869</v>
      </c>
      <c r="R408" s="399"/>
      <c r="S408" s="399">
        <v>753.62</v>
      </c>
      <c r="T408" s="399">
        <v>185.74</v>
      </c>
      <c r="U408" s="399"/>
      <c r="V408" s="399">
        <v>13027.983840000001</v>
      </c>
      <c r="W408" s="399">
        <v>13027.983840000001</v>
      </c>
      <c r="X408" s="399">
        <v>7781.7572099999998</v>
      </c>
      <c r="Y408" s="399">
        <v>0</v>
      </c>
      <c r="Z408" s="399">
        <v>0</v>
      </c>
      <c r="AA408" s="399">
        <v>0</v>
      </c>
      <c r="AB408" s="399">
        <v>0</v>
      </c>
      <c r="AC408" s="399">
        <v>0</v>
      </c>
      <c r="AD408" s="399">
        <v>1807.5704339973936</v>
      </c>
      <c r="AE408" s="399">
        <v>8144.8446152118267</v>
      </c>
      <c r="AF408" s="399">
        <v>2576.0875294185989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0</v>
      </c>
      <c r="AM408" s="399"/>
      <c r="AN408" s="399">
        <v>32.881559253117381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466.69877140409409</v>
      </c>
      <c r="BH408" s="399">
        <v>0</v>
      </c>
      <c r="BI408" s="399">
        <v>4.22</v>
      </c>
      <c r="BJ408" s="399">
        <v>16.579999999999998</v>
      </c>
      <c r="BK408" s="399">
        <v>1298.3</v>
      </c>
      <c r="BL408" s="399">
        <v>138</v>
      </c>
      <c r="BM408" s="399"/>
      <c r="BN408" s="399"/>
      <c r="BO408" s="399"/>
      <c r="BP408" s="399"/>
      <c r="BQ408" s="399"/>
      <c r="BR408" s="399"/>
      <c r="BS408" s="399"/>
      <c r="BT408" s="399">
        <v>778.05090000000064</v>
      </c>
      <c r="BU408" s="399"/>
      <c r="BV408" s="399">
        <v>3042.7863008226932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7004.211299999999</v>
      </c>
      <c r="CJ408" s="399">
        <v>-4721.0873700000011</v>
      </c>
      <c r="CK408" s="399"/>
      <c r="CL408" s="399"/>
      <c r="CM408" s="399"/>
      <c r="CN408" s="399"/>
      <c r="CO408" s="399">
        <v>-5246.2266300000001</v>
      </c>
      <c r="CP408" s="399">
        <v>0</v>
      </c>
      <c r="CQ408" s="399">
        <v>31</v>
      </c>
      <c r="CR408" s="399">
        <v>-168.10652120468876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-166.39881542075</v>
      </c>
      <c r="DA408" s="399">
        <v>0</v>
      </c>
      <c r="DB408" s="399">
        <v>0</v>
      </c>
      <c r="DC408" s="399">
        <v>0</v>
      </c>
      <c r="DD408" s="399">
        <v>0</v>
      </c>
      <c r="DE408" s="399">
        <v>0</v>
      </c>
      <c r="DF408" s="399">
        <v>0</v>
      </c>
      <c r="DG408" s="399">
        <v>0</v>
      </c>
      <c r="DH408" s="399">
        <v>0</v>
      </c>
      <c r="DI408" s="399">
        <v>0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0</v>
      </c>
      <c r="DP408" s="399">
        <v>-1.7077057839384935</v>
      </c>
      <c r="DQ408" s="399">
        <v>0</v>
      </c>
      <c r="DR408" s="399">
        <v>0</v>
      </c>
      <c r="DS408" s="399"/>
      <c r="DT408" s="399"/>
      <c r="DU408" s="399"/>
      <c r="DV408" s="399">
        <v>8144.8446152118267</v>
      </c>
      <c r="DW408" s="399">
        <v>0</v>
      </c>
      <c r="DX408" s="399">
        <v>0</v>
      </c>
      <c r="DY408" s="399">
        <v>-5246.2266300000001</v>
      </c>
      <c r="DZ408" s="399">
        <v>0</v>
      </c>
      <c r="EA408" s="399">
        <v>0</v>
      </c>
      <c r="EB408" s="399">
        <v>0</v>
      </c>
      <c r="EC408" s="399">
        <v>-5078.1226078953914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221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408</v>
      </c>
      <c r="B409" s="399" t="s">
        <v>956</v>
      </c>
      <c r="C409" s="399" t="s">
        <v>2328</v>
      </c>
      <c r="D409" s="399" t="s">
        <v>1821</v>
      </c>
      <c r="E409" s="399" t="s">
        <v>889</v>
      </c>
      <c r="F409" s="399" t="s">
        <v>2334</v>
      </c>
      <c r="G409" s="399" t="s">
        <v>1239</v>
      </c>
      <c r="H409" s="399" t="s">
        <v>1239</v>
      </c>
      <c r="I409" s="399" t="s">
        <v>1239</v>
      </c>
      <c r="J409" s="399" t="s">
        <v>2326</v>
      </c>
      <c r="K409" s="786">
        <v>44743</v>
      </c>
      <c r="L409" s="399">
        <v>0</v>
      </c>
      <c r="M409" s="399">
        <v>0</v>
      </c>
      <c r="N409" s="399">
        <v>5.0469999999999997</v>
      </c>
      <c r="O409" s="399">
        <v>5.0469999999999997</v>
      </c>
      <c r="P409" s="399">
        <v>5.0469999999999997</v>
      </c>
      <c r="Q409" s="399">
        <v>5.0469999999999997</v>
      </c>
      <c r="R409" s="399"/>
      <c r="S409" s="399">
        <v>753.62</v>
      </c>
      <c r="T409" s="399">
        <v>185.74</v>
      </c>
      <c r="U409" s="399"/>
      <c r="V409" s="399">
        <v>4740.9499199999991</v>
      </c>
      <c r="W409" s="399">
        <v>4740.9499199999991</v>
      </c>
      <c r="X409" s="399">
        <v>2831.82123</v>
      </c>
      <c r="Y409" s="399">
        <v>0</v>
      </c>
      <c r="Z409" s="399">
        <v>0</v>
      </c>
      <c r="AA409" s="399">
        <v>0</v>
      </c>
      <c r="AB409" s="399">
        <v>0</v>
      </c>
      <c r="AC409" s="399">
        <v>0</v>
      </c>
      <c r="AD409" s="399">
        <v>657.78412144962476</v>
      </c>
      <c r="AE409" s="399">
        <v>2963.9505929031716</v>
      </c>
      <c r="AF409" s="399">
        <v>937.45142122544291</v>
      </c>
      <c r="AG409" s="399">
        <v>0</v>
      </c>
      <c r="AH409" s="399">
        <v>0</v>
      </c>
      <c r="AI409" s="399">
        <v>0</v>
      </c>
      <c r="AJ409" s="399">
        <v>0</v>
      </c>
      <c r="AK409" s="399">
        <v>0</v>
      </c>
      <c r="AL409" s="399">
        <v>0</v>
      </c>
      <c r="AM409" s="399"/>
      <c r="AN409" s="399">
        <v>11.965767506704406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169.8340687343329</v>
      </c>
      <c r="BH409" s="399">
        <v>0</v>
      </c>
      <c r="BI409" s="399">
        <v>1.69</v>
      </c>
      <c r="BJ409" s="399">
        <v>6.91</v>
      </c>
      <c r="BK409" s="399">
        <v>739.88</v>
      </c>
      <c r="BL409" s="399">
        <v>53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>
        <v>1107.2854899597758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2833.5045</v>
      </c>
      <c r="CJ409" s="399">
        <v>-1907.4754199999998</v>
      </c>
      <c r="CK409" s="399"/>
      <c r="CL409" s="399"/>
      <c r="CM409" s="399"/>
      <c r="CN409" s="399"/>
      <c r="CO409" s="399">
        <v>-1909.1286899999998</v>
      </c>
      <c r="CP409" s="399">
        <v>0</v>
      </c>
      <c r="CQ409" s="399">
        <v>31</v>
      </c>
      <c r="CR409" s="399">
        <v>-61.174822447189172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-60.553379582415914</v>
      </c>
      <c r="DA409" s="399">
        <v>0</v>
      </c>
      <c r="DB409" s="399">
        <v>0</v>
      </c>
      <c r="DC409" s="399">
        <v>0</v>
      </c>
      <c r="DD409" s="399">
        <v>0</v>
      </c>
      <c r="DE409" s="399">
        <v>0</v>
      </c>
      <c r="DF409" s="399">
        <v>0</v>
      </c>
      <c r="DG409" s="399">
        <v>0</v>
      </c>
      <c r="DH409" s="399">
        <v>0</v>
      </c>
      <c r="DI409" s="399">
        <v>0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0</v>
      </c>
      <c r="DP409" s="399">
        <v>-0.62144286477306032</v>
      </c>
      <c r="DQ409" s="399">
        <v>0</v>
      </c>
      <c r="DR409" s="399">
        <v>0</v>
      </c>
      <c r="DS409" s="399"/>
      <c r="DT409" s="399"/>
      <c r="DU409" s="399"/>
      <c r="DV409" s="399">
        <v>2963.9505929031716</v>
      </c>
      <c r="DW409" s="399">
        <v>0</v>
      </c>
      <c r="DX409" s="399">
        <v>0</v>
      </c>
      <c r="DY409" s="399">
        <v>-1909.1286899999996</v>
      </c>
      <c r="DZ409" s="399">
        <v>0</v>
      </c>
      <c r="EA409" s="399">
        <v>0</v>
      </c>
      <c r="EB409" s="399">
        <v>0</v>
      </c>
      <c r="EC409" s="399">
        <v>-1847.9547769881056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221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409</v>
      </c>
      <c r="B410" s="399" t="s">
        <v>956</v>
      </c>
      <c r="C410" s="399" t="s">
        <v>2335</v>
      </c>
      <c r="D410" s="399" t="s">
        <v>1821</v>
      </c>
      <c r="E410" s="399" t="s">
        <v>889</v>
      </c>
      <c r="F410" s="399" t="s">
        <v>889</v>
      </c>
      <c r="G410" s="399" t="s">
        <v>1239</v>
      </c>
      <c r="H410" s="399" t="s">
        <v>1239</v>
      </c>
      <c r="I410" s="399" t="s">
        <v>893</v>
      </c>
      <c r="J410" s="399" t="s">
        <v>2326</v>
      </c>
      <c r="K410" s="786">
        <v>44743</v>
      </c>
      <c r="L410" s="399">
        <v>0</v>
      </c>
      <c r="M410" s="399">
        <v>0</v>
      </c>
      <c r="N410" s="399">
        <v>8.4000000000000005E-2</v>
      </c>
      <c r="O410" s="399">
        <v>8.4000000000000005E-2</v>
      </c>
      <c r="P410" s="399">
        <v>8.4000000000000005E-2</v>
      </c>
      <c r="Q410" s="399">
        <v>8.4000000000000005E-2</v>
      </c>
      <c r="R410" s="399"/>
      <c r="S410" s="399">
        <v>2045.69</v>
      </c>
      <c r="T410" s="399">
        <v>185.74</v>
      </c>
      <c r="U410" s="399"/>
      <c r="V410" s="399">
        <v>187.44012000000001</v>
      </c>
      <c r="W410" s="399">
        <v>187.44012000000001</v>
      </c>
      <c r="X410" s="399">
        <v>101.29728</v>
      </c>
      <c r="Y410" s="399">
        <v>0</v>
      </c>
      <c r="Z410" s="399">
        <v>5.2369939514012565</v>
      </c>
      <c r="AA410" s="399">
        <v>0</v>
      </c>
      <c r="AB410" s="399">
        <v>0</v>
      </c>
      <c r="AC410" s="399">
        <v>0</v>
      </c>
      <c r="AD410" s="399">
        <v>29.572753148257455</v>
      </c>
      <c r="AE410" s="399">
        <v>133.19274514599061</v>
      </c>
      <c r="AF410" s="399">
        <v>15.60252018683123</v>
      </c>
      <c r="AG410" s="399">
        <v>0</v>
      </c>
      <c r="AH410" s="399">
        <v>0</v>
      </c>
      <c r="AI410" s="399">
        <v>0</v>
      </c>
      <c r="AJ410" s="399">
        <v>0</v>
      </c>
      <c r="AK410" s="399">
        <v>0</v>
      </c>
      <c r="AL410" s="399">
        <v>0.80935631418279463</v>
      </c>
      <c r="AM410" s="399"/>
      <c r="AN410" s="399">
        <v>0.19915285725444229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2.8266419206823787</v>
      </c>
      <c r="BH410" s="399">
        <v>0</v>
      </c>
      <c r="BI410" s="399">
        <v>0</v>
      </c>
      <c r="BJ410" s="399">
        <v>0</v>
      </c>
      <c r="BK410" s="399">
        <v>0</v>
      </c>
      <c r="BL410" s="399">
        <v>0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>
        <v>18.429162107513609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96.473600000000005</v>
      </c>
      <c r="CJ410" s="399">
        <v>-90.996519999999975</v>
      </c>
      <c r="CK410" s="399"/>
      <c r="CL410" s="399"/>
      <c r="CM410" s="399"/>
      <c r="CN410" s="399"/>
      <c r="CO410" s="399">
        <v>-86.142840000000021</v>
      </c>
      <c r="CP410" s="399">
        <v>0</v>
      </c>
      <c r="CQ410" s="399">
        <v>31</v>
      </c>
      <c r="CR410" s="399">
        <v>-3.1000032856720381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-2.7223675493064974</v>
      </c>
      <c r="DA410" s="399">
        <v>0</v>
      </c>
      <c r="DB410" s="399">
        <v>0</v>
      </c>
      <c r="DC410" s="399">
        <v>0</v>
      </c>
      <c r="DD410" s="399">
        <v>0</v>
      </c>
      <c r="DE410" s="399">
        <v>0</v>
      </c>
      <c r="DF410" s="399">
        <v>0</v>
      </c>
      <c r="DG410" s="399">
        <v>0</v>
      </c>
      <c r="DH410" s="399">
        <v>0</v>
      </c>
      <c r="DI410" s="399">
        <v>-0.32390119005466289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-4.3391530531029177E-2</v>
      </c>
      <c r="DP410" s="399">
        <v>-1.0343015779856773E-2</v>
      </c>
      <c r="DQ410" s="399">
        <v>0</v>
      </c>
      <c r="DR410" s="399">
        <v>0</v>
      </c>
      <c r="DS410" s="399"/>
      <c r="DT410" s="399"/>
      <c r="DU410" s="399"/>
      <c r="DV410" s="399">
        <v>133.19274514599061</v>
      </c>
      <c r="DW410" s="399">
        <v>0</v>
      </c>
      <c r="DX410" s="399">
        <v>0</v>
      </c>
      <c r="DY410" s="399">
        <v>-86.142840000000007</v>
      </c>
      <c r="DZ410" s="399">
        <v>0</v>
      </c>
      <c r="EA410" s="399">
        <v>0</v>
      </c>
      <c r="EB410" s="399">
        <v>0</v>
      </c>
      <c r="EC410" s="399">
        <v>-83.04260207374287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221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410</v>
      </c>
      <c r="B411" s="399" t="s">
        <v>956</v>
      </c>
      <c r="C411" s="399" t="s">
        <v>2335</v>
      </c>
      <c r="D411" s="399" t="s">
        <v>1821</v>
      </c>
      <c r="E411" s="399" t="s">
        <v>889</v>
      </c>
      <c r="F411" s="399" t="s">
        <v>889</v>
      </c>
      <c r="G411" s="399" t="s">
        <v>1239</v>
      </c>
      <c r="H411" s="399" t="s">
        <v>1239</v>
      </c>
      <c r="I411" s="399" t="s">
        <v>2323</v>
      </c>
      <c r="J411" s="399" t="s">
        <v>2326</v>
      </c>
      <c r="K411" s="786">
        <v>44743</v>
      </c>
      <c r="L411" s="399">
        <v>0</v>
      </c>
      <c r="M411" s="399">
        <v>0</v>
      </c>
      <c r="N411" s="399">
        <v>0.58499999999999996</v>
      </c>
      <c r="O411" s="399">
        <v>0.58499999999999996</v>
      </c>
      <c r="P411" s="399">
        <v>0.58499999999999996</v>
      </c>
      <c r="Q411" s="399">
        <v>0.58499999999999996</v>
      </c>
      <c r="R411" s="399"/>
      <c r="S411" s="399">
        <v>495.6</v>
      </c>
      <c r="T411" s="399">
        <v>185.74</v>
      </c>
      <c r="U411" s="399"/>
      <c r="V411" s="399">
        <v>398.58389999999997</v>
      </c>
      <c r="W411" s="399">
        <v>398.58389999999997</v>
      </c>
      <c r="X411" s="399">
        <v>276.49439999999998</v>
      </c>
      <c r="Y411" s="399">
        <v>0</v>
      </c>
      <c r="Z411" s="399">
        <v>36.471922161544462</v>
      </c>
      <c r="AA411" s="399">
        <v>0</v>
      </c>
      <c r="AB411" s="399">
        <v>0</v>
      </c>
      <c r="AC411" s="399">
        <v>0</v>
      </c>
      <c r="AD411" s="399">
        <v>41.228291702029473</v>
      </c>
      <c r="AE411" s="399">
        <v>185.51832175942533</v>
      </c>
      <c r="AF411" s="399">
        <v>108.6604084440032</v>
      </c>
      <c r="AG411" s="399">
        <v>0</v>
      </c>
      <c r="AH411" s="399">
        <v>0</v>
      </c>
      <c r="AI411" s="399">
        <v>0</v>
      </c>
      <c r="AJ411" s="399">
        <v>0</v>
      </c>
      <c r="AK411" s="399">
        <v>0</v>
      </c>
      <c r="AL411" s="399">
        <v>5.6365886166301769</v>
      </c>
      <c r="AM411" s="399"/>
      <c r="AN411" s="399">
        <v>1.3869573987362942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19.685541947609419</v>
      </c>
      <c r="BH411" s="399">
        <v>0</v>
      </c>
      <c r="BI411" s="399">
        <v>0</v>
      </c>
      <c r="BJ411" s="399">
        <v>0</v>
      </c>
      <c r="BK411" s="399">
        <v>0</v>
      </c>
      <c r="BL411" s="399">
        <v>0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>
        <v>128.3459503916126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278.85759999999999</v>
      </c>
      <c r="CJ411" s="399">
        <v>-119.75629999999995</v>
      </c>
      <c r="CK411" s="399"/>
      <c r="CL411" s="399"/>
      <c r="CM411" s="399"/>
      <c r="CN411" s="399"/>
      <c r="CO411" s="399">
        <v>-122.08950000000002</v>
      </c>
      <c r="CP411" s="399">
        <v>0</v>
      </c>
      <c r="CQ411" s="399">
        <v>31</v>
      </c>
      <c r="CR411" s="399">
        <v>-6.4253001378523038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-3.7953369738779585</v>
      </c>
      <c r="DA411" s="399">
        <v>0</v>
      </c>
      <c r="DB411" s="399">
        <v>0</v>
      </c>
      <c r="DC411" s="399">
        <v>0</v>
      </c>
      <c r="DD411" s="399">
        <v>0</v>
      </c>
      <c r="DE411" s="399">
        <v>0</v>
      </c>
      <c r="DF411" s="399">
        <v>0</v>
      </c>
      <c r="DG411" s="399">
        <v>0</v>
      </c>
      <c r="DH411" s="399">
        <v>0</v>
      </c>
      <c r="DI411" s="399">
        <v>-2.2557404307378306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-0.30219101619823974</v>
      </c>
      <c r="DP411" s="399">
        <v>-7.2031717038288035E-2</v>
      </c>
      <c r="DQ411" s="399">
        <v>0</v>
      </c>
      <c r="DR411" s="399">
        <v>0</v>
      </c>
      <c r="DS411" s="399"/>
      <c r="DT411" s="399"/>
      <c r="DU411" s="399"/>
      <c r="DV411" s="399">
        <v>185.51832175942533</v>
      </c>
      <c r="DW411" s="399">
        <v>0</v>
      </c>
      <c r="DX411" s="399">
        <v>0</v>
      </c>
      <c r="DY411" s="399">
        <v>-122.08950000000002</v>
      </c>
      <c r="DZ411" s="399">
        <v>0</v>
      </c>
      <c r="EA411" s="399">
        <v>0</v>
      </c>
      <c r="EB411" s="399">
        <v>0</v>
      </c>
      <c r="EC411" s="399">
        <v>-115.66639124653803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221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411</v>
      </c>
      <c r="B412" s="399" t="s">
        <v>956</v>
      </c>
      <c r="C412" s="399" t="s">
        <v>2335</v>
      </c>
      <c r="D412" s="399" t="s">
        <v>1821</v>
      </c>
      <c r="E412" s="399" t="s">
        <v>889</v>
      </c>
      <c r="F412" s="399" t="s">
        <v>889</v>
      </c>
      <c r="G412" s="399" t="s">
        <v>1239</v>
      </c>
      <c r="H412" s="399" t="s">
        <v>1239</v>
      </c>
      <c r="I412" s="399" t="s">
        <v>1239</v>
      </c>
      <c r="J412" s="399" t="s">
        <v>2326</v>
      </c>
      <c r="K412" s="786">
        <v>44743</v>
      </c>
      <c r="L412" s="399">
        <v>0</v>
      </c>
      <c r="M412" s="399">
        <v>0</v>
      </c>
      <c r="N412" s="399">
        <v>0</v>
      </c>
      <c r="O412" s="399">
        <v>0</v>
      </c>
      <c r="P412" s="399">
        <v>0</v>
      </c>
      <c r="Q412" s="399">
        <v>0</v>
      </c>
      <c r="R412" s="399"/>
      <c r="S412" s="399"/>
      <c r="T412" s="399"/>
      <c r="U412" s="399"/>
      <c r="V412" s="399"/>
      <c r="W412" s="399"/>
      <c r="X412" s="399"/>
      <c r="Y412" s="399"/>
      <c r="Z412" s="399"/>
      <c r="AA412" s="399">
        <v>0</v>
      </c>
      <c r="AB412" s="399"/>
      <c r="AC412" s="399"/>
      <c r="AD412" s="399"/>
      <c r="AE412" s="399"/>
      <c r="AF412" s="399"/>
      <c r="AG412" s="399"/>
      <c r="AH412" s="399"/>
      <c r="AI412" s="399"/>
      <c r="AJ412" s="399"/>
      <c r="AK412" s="399"/>
      <c r="AL412" s="399"/>
      <c r="AM412" s="399"/>
      <c r="AN412" s="399"/>
      <c r="AO412" s="399"/>
      <c r="AP412" s="399"/>
      <c r="AQ412" s="399"/>
      <c r="AR412" s="399"/>
      <c r="AS412" s="399"/>
      <c r="AT412" s="399"/>
      <c r="AU412" s="399"/>
      <c r="AV412" s="399"/>
      <c r="AW412" s="399"/>
      <c r="AX412" s="399"/>
      <c r="AY412" s="399"/>
      <c r="AZ412" s="399">
        <v>0</v>
      </c>
      <c r="BA412" s="399"/>
      <c r="BB412" s="399"/>
      <c r="BC412" s="399"/>
      <c r="BD412" s="399"/>
      <c r="BE412" s="399"/>
      <c r="BF412" s="399"/>
      <c r="BG412" s="399"/>
      <c r="BH412" s="399"/>
      <c r="BI412" s="399">
        <v>0.2</v>
      </c>
      <c r="BJ412" s="399">
        <v>1.03</v>
      </c>
      <c r="BK412" s="399">
        <v>93.63</v>
      </c>
      <c r="BL412" s="399">
        <v>2</v>
      </c>
      <c r="BM412" s="399"/>
      <c r="BN412" s="399"/>
      <c r="BO412" s="399"/>
      <c r="BP412" s="399"/>
      <c r="BQ412" s="399"/>
      <c r="BR412" s="399"/>
      <c r="BS412" s="399"/>
      <c r="BT412" s="399"/>
      <c r="BU412" s="399"/>
      <c r="BV412" s="399"/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/>
      <c r="CJ412" s="399">
        <v>-0.03</v>
      </c>
      <c r="CK412" s="399"/>
      <c r="CL412" s="399"/>
      <c r="CM412" s="399"/>
      <c r="CN412" s="399"/>
      <c r="CO412" s="399">
        <v>0</v>
      </c>
      <c r="CP412" s="399">
        <v>0</v>
      </c>
      <c r="CQ412" s="399">
        <v>31</v>
      </c>
      <c r="CR412" s="399"/>
      <c r="CS412" s="399"/>
      <c r="CT412" s="399"/>
      <c r="CU412" s="399"/>
      <c r="CV412" s="399"/>
      <c r="CW412" s="399"/>
      <c r="CX412" s="399"/>
      <c r="CY412" s="399"/>
      <c r="CZ412" s="399"/>
      <c r="DA412" s="399"/>
      <c r="DB412" s="399"/>
      <c r="DC412" s="399"/>
      <c r="DD412" s="399"/>
      <c r="DE412" s="399"/>
      <c r="DF412" s="399"/>
      <c r="DG412" s="399"/>
      <c r="DH412" s="399"/>
      <c r="DI412" s="399"/>
      <c r="DJ412" s="399"/>
      <c r="DK412" s="399">
        <v>0</v>
      </c>
      <c r="DL412" s="399"/>
      <c r="DM412" s="399"/>
      <c r="DN412" s="399"/>
      <c r="DO412" s="399"/>
      <c r="DP412" s="399"/>
      <c r="DQ412" s="399"/>
      <c r="DR412" s="399"/>
      <c r="DS412" s="399"/>
      <c r="DT412" s="399"/>
      <c r="DU412" s="399"/>
      <c r="DV412" s="399"/>
      <c r="DW412" s="399"/>
      <c r="DX412" s="399"/>
      <c r="DY412" s="399"/>
      <c r="DZ412" s="399"/>
      <c r="EA412" s="399"/>
      <c r="EB412" s="399"/>
      <c r="EC412" s="399"/>
      <c r="ED412" s="399"/>
      <c r="EE412" s="399"/>
      <c r="EF412" s="399"/>
      <c r="EG412" s="399"/>
      <c r="EH412" s="399"/>
      <c r="EI412" s="399"/>
      <c r="EJ412" s="399"/>
      <c r="EK412" s="399"/>
      <c r="EL412" s="399"/>
      <c r="EM412" s="399"/>
      <c r="EN412" s="399"/>
      <c r="EO412" s="399"/>
      <c r="EP412" s="399"/>
      <c r="EQ412" s="399"/>
      <c r="ER412" s="399"/>
      <c r="ES412" s="399"/>
      <c r="ET412" s="399"/>
      <c r="EU412" s="399"/>
      <c r="EV412" s="399">
        <v>221</v>
      </c>
      <c r="EW412" s="399"/>
      <c r="EX412" s="399"/>
      <c r="EY412" s="399"/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412</v>
      </c>
      <c r="B413" s="399" t="s">
        <v>956</v>
      </c>
      <c r="C413" s="399" t="s">
        <v>2335</v>
      </c>
      <c r="D413" s="399" t="s">
        <v>1821</v>
      </c>
      <c r="E413" s="399" t="s">
        <v>889</v>
      </c>
      <c r="F413" s="399" t="s">
        <v>889</v>
      </c>
      <c r="G413" s="399" t="s">
        <v>1239</v>
      </c>
      <c r="H413" s="399" t="s">
        <v>1239</v>
      </c>
      <c r="I413" s="399" t="s">
        <v>2336</v>
      </c>
      <c r="J413" s="399" t="s">
        <v>2326</v>
      </c>
      <c r="K413" s="786">
        <v>44743</v>
      </c>
      <c r="L413" s="399">
        <v>0</v>
      </c>
      <c r="M413" s="399">
        <v>0</v>
      </c>
      <c r="N413" s="399">
        <v>3.5999999999999997E-2</v>
      </c>
      <c r="O413" s="399">
        <v>3.5999999999999997E-2</v>
      </c>
      <c r="P413" s="399">
        <v>3.5999999999999997E-2</v>
      </c>
      <c r="Q413" s="399">
        <v>3.5999999999999997E-2</v>
      </c>
      <c r="R413" s="399"/>
      <c r="S413" s="399">
        <v>1270.6099999999999</v>
      </c>
      <c r="T413" s="399">
        <v>185.74</v>
      </c>
      <c r="U413" s="399"/>
      <c r="V413" s="399">
        <v>52.428599999999989</v>
      </c>
      <c r="W413" s="399">
        <v>52.428599999999989</v>
      </c>
      <c r="X413" s="399">
        <v>30.212999999999997</v>
      </c>
      <c r="Y413" s="399">
        <v>0</v>
      </c>
      <c r="Z413" s="399">
        <v>2.2444259791719667</v>
      </c>
      <c r="AA413" s="399">
        <v>0</v>
      </c>
      <c r="AB413" s="399">
        <v>0</v>
      </c>
      <c r="AC413" s="399">
        <v>0</v>
      </c>
      <c r="AD413" s="399">
        <v>7.6044229587420835</v>
      </c>
      <c r="AE413" s="399">
        <v>34.249580846022809</v>
      </c>
      <c r="AF413" s="399">
        <v>6.6867943657848121</v>
      </c>
      <c r="AG413" s="399">
        <v>0</v>
      </c>
      <c r="AH413" s="399">
        <v>0</v>
      </c>
      <c r="AI413" s="399">
        <v>0</v>
      </c>
      <c r="AJ413" s="399">
        <v>0</v>
      </c>
      <c r="AK413" s="399">
        <v>0</v>
      </c>
      <c r="AL413" s="399">
        <v>0.34686699179262626</v>
      </c>
      <c r="AM413" s="399"/>
      <c r="AN413" s="399">
        <v>8.5351224537618106E-2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1.2114179660067335</v>
      </c>
      <c r="BH413" s="399">
        <v>0</v>
      </c>
      <c r="BI413" s="399">
        <v>0</v>
      </c>
      <c r="BJ413" s="399">
        <v>0</v>
      </c>
      <c r="BK413" s="399">
        <v>0</v>
      </c>
      <c r="BL413" s="399">
        <v>0</v>
      </c>
      <c r="BM413" s="399"/>
      <c r="BN413" s="399"/>
      <c r="BO413" s="399"/>
      <c r="BP413" s="399"/>
      <c r="BQ413" s="399"/>
      <c r="BR413" s="399"/>
      <c r="BS413" s="399"/>
      <c r="BT413" s="399"/>
      <c r="BU413" s="399"/>
      <c r="BV413" s="399">
        <v>7.8982123317915454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33.57</v>
      </c>
      <c r="CJ413" s="399">
        <v>-18.888599999999983</v>
      </c>
      <c r="CK413" s="399"/>
      <c r="CL413" s="399"/>
      <c r="CM413" s="399"/>
      <c r="CN413" s="399"/>
      <c r="CO413" s="399">
        <v>-22.215599999999995</v>
      </c>
      <c r="CP413" s="399">
        <v>0</v>
      </c>
      <c r="CQ413" s="399">
        <v>31</v>
      </c>
      <c r="CR413" s="399">
        <v>-0.86188132317320409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-0.70003743615939573</v>
      </c>
      <c r="DA413" s="399">
        <v>0</v>
      </c>
      <c r="DB413" s="399">
        <v>0</v>
      </c>
      <c r="DC413" s="399">
        <v>0</v>
      </c>
      <c r="DD413" s="399">
        <v>0</v>
      </c>
      <c r="DE413" s="399">
        <v>0</v>
      </c>
      <c r="DF413" s="399">
        <v>0</v>
      </c>
      <c r="DG413" s="399">
        <v>0</v>
      </c>
      <c r="DH413" s="399">
        <v>0</v>
      </c>
      <c r="DI413" s="399">
        <v>-0.1388147957377126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-1.859637022758398E-2</v>
      </c>
      <c r="DP413" s="399">
        <v>-4.4327210485100299E-3</v>
      </c>
      <c r="DQ413" s="399">
        <v>0</v>
      </c>
      <c r="DR413" s="399">
        <v>0</v>
      </c>
      <c r="DS413" s="399"/>
      <c r="DT413" s="399"/>
      <c r="DU413" s="399"/>
      <c r="DV413" s="399">
        <v>34.249580846022809</v>
      </c>
      <c r="DW413" s="399">
        <v>0</v>
      </c>
      <c r="DX413" s="399">
        <v>0</v>
      </c>
      <c r="DY413" s="399">
        <v>-22.215599999999995</v>
      </c>
      <c r="DZ413" s="399">
        <v>0</v>
      </c>
      <c r="EA413" s="399">
        <v>0</v>
      </c>
      <c r="EB413" s="399">
        <v>0</v>
      </c>
      <c r="EC413" s="399">
        <v>-21.353823064997272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221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413</v>
      </c>
      <c r="B414" s="399" t="s">
        <v>956</v>
      </c>
      <c r="C414" s="399" t="s">
        <v>2328</v>
      </c>
      <c r="D414" s="399" t="s">
        <v>1824</v>
      </c>
      <c r="E414" s="399" t="s">
        <v>890</v>
      </c>
      <c r="F414" s="399" t="s">
        <v>1239</v>
      </c>
      <c r="G414" s="399" t="s">
        <v>1239</v>
      </c>
      <c r="H414" s="399" t="s">
        <v>1239</v>
      </c>
      <c r="I414" s="399" t="s">
        <v>1239</v>
      </c>
      <c r="J414" s="399" t="s">
        <v>2326</v>
      </c>
      <c r="K414" s="786">
        <v>44743</v>
      </c>
      <c r="L414" s="399">
        <v>0</v>
      </c>
      <c r="M414" s="399">
        <v>0</v>
      </c>
      <c r="N414" s="399">
        <v>32.512999999999998</v>
      </c>
      <c r="O414" s="399">
        <v>32.512999999999998</v>
      </c>
      <c r="P414" s="399">
        <v>32.512999999999998</v>
      </c>
      <c r="Q414" s="399">
        <v>32.512999999999998</v>
      </c>
      <c r="R414" s="399"/>
      <c r="S414" s="399">
        <v>825.6</v>
      </c>
      <c r="T414" s="399">
        <v>185.74</v>
      </c>
      <c r="U414" s="399"/>
      <c r="V414" s="399">
        <v>32881.697419999997</v>
      </c>
      <c r="W414" s="399">
        <v>32881.697419999997</v>
      </c>
      <c r="X414" s="399">
        <v>20440.9231</v>
      </c>
      <c r="Y414" s="399">
        <v>0</v>
      </c>
      <c r="Z414" s="399">
        <v>2027.0283850227268</v>
      </c>
      <c r="AA414" s="399">
        <v>0</v>
      </c>
      <c r="AB414" s="399">
        <v>0</v>
      </c>
      <c r="AC414" s="399">
        <v>0</v>
      </c>
      <c r="AD414" s="399">
        <v>4237.4747653440954</v>
      </c>
      <c r="AE414" s="399">
        <v>19093.902442453105</v>
      </c>
      <c r="AF414" s="399">
        <v>6039.1040337433778</v>
      </c>
      <c r="AG414" s="399">
        <v>0</v>
      </c>
      <c r="AH414" s="399">
        <v>0</v>
      </c>
      <c r="AI414" s="399">
        <v>0</v>
      </c>
      <c r="AJ414" s="399">
        <v>0</v>
      </c>
      <c r="AK414" s="399">
        <v>0</v>
      </c>
      <c r="AL414" s="399">
        <v>313.26906955982383</v>
      </c>
      <c r="AM414" s="399"/>
      <c r="AN414" s="399">
        <v>77.084010094210484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1094.0786757993592</v>
      </c>
      <c r="BH414" s="399">
        <v>0</v>
      </c>
      <c r="BI414" s="399">
        <v>10.24</v>
      </c>
      <c r="BJ414" s="399">
        <v>51.28</v>
      </c>
      <c r="BK414" s="399">
        <v>5422.04</v>
      </c>
      <c r="BL414" s="399">
        <v>44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>
        <v>7133.182709542737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20439.036999999997</v>
      </c>
      <c r="CJ414" s="399">
        <v>-12442.690419999999</v>
      </c>
      <c r="CK414" s="399"/>
      <c r="CL414" s="399"/>
      <c r="CM414" s="399"/>
      <c r="CN414" s="399"/>
      <c r="CO414" s="399">
        <v>-12440.77432</v>
      </c>
      <c r="CP414" s="399">
        <v>0</v>
      </c>
      <c r="CQ414" s="399">
        <v>31</v>
      </c>
      <c r="CR414" s="399">
        <v>-536.25509108545702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-390.08758279435051</v>
      </c>
      <c r="DA414" s="399">
        <v>0</v>
      </c>
      <c r="DB414" s="399">
        <v>0</v>
      </c>
      <c r="DC414" s="399">
        <v>0</v>
      </c>
      <c r="DD414" s="399">
        <v>0</v>
      </c>
      <c r="DE414" s="399">
        <v>0</v>
      </c>
      <c r="DF414" s="399">
        <v>0</v>
      </c>
      <c r="DG414" s="399">
        <v>0</v>
      </c>
      <c r="DH414" s="399">
        <v>0</v>
      </c>
      <c r="DI414" s="399">
        <v>-125.36904038389594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-16.795105144706611</v>
      </c>
      <c r="DP414" s="399">
        <v>-4.0033627625057449</v>
      </c>
      <c r="DQ414" s="399">
        <v>0</v>
      </c>
      <c r="DR414" s="399">
        <v>0</v>
      </c>
      <c r="DS414" s="399"/>
      <c r="DT414" s="399"/>
      <c r="DU414" s="399"/>
      <c r="DV414" s="399">
        <v>19093.902442453105</v>
      </c>
      <c r="DW414" s="399">
        <v>0</v>
      </c>
      <c r="DX414" s="399">
        <v>0</v>
      </c>
      <c r="DY414" s="399">
        <v>-12440.774319999999</v>
      </c>
      <c r="DZ414" s="399">
        <v>0</v>
      </c>
      <c r="EA414" s="399">
        <v>0</v>
      </c>
      <c r="EB414" s="399">
        <v>0</v>
      </c>
      <c r="EC414" s="399">
        <v>-11904.607423066036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221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414</v>
      </c>
      <c r="B415" s="399" t="s">
        <v>2330</v>
      </c>
      <c r="C415" s="399" t="s">
        <v>2328</v>
      </c>
      <c r="D415" s="399" t="s">
        <v>1824</v>
      </c>
      <c r="E415" s="399" t="s">
        <v>890</v>
      </c>
      <c r="F415" s="399" t="s">
        <v>1239</v>
      </c>
      <c r="G415" s="399" t="s">
        <v>1239</v>
      </c>
      <c r="H415" s="399" t="s">
        <v>1239</v>
      </c>
      <c r="I415" s="399" t="s">
        <v>1239</v>
      </c>
      <c r="J415" s="399" t="s">
        <v>2326</v>
      </c>
      <c r="K415" s="786">
        <v>44743</v>
      </c>
      <c r="L415" s="399">
        <v>0</v>
      </c>
      <c r="M415" s="399">
        <v>0</v>
      </c>
      <c r="N415" s="399">
        <v>6.4180000000000001</v>
      </c>
      <c r="O415" s="399">
        <v>6.4180000000000001</v>
      </c>
      <c r="P415" s="399">
        <v>6.4180000000000001</v>
      </c>
      <c r="Q415" s="399">
        <v>6.4180000000000001</v>
      </c>
      <c r="R415" s="399"/>
      <c r="S415" s="399">
        <v>825.6</v>
      </c>
      <c r="T415" s="399">
        <v>185.74</v>
      </c>
      <c r="U415" s="399"/>
      <c r="V415" s="399">
        <v>6490.7801200000004</v>
      </c>
      <c r="W415" s="399">
        <v>6490.7801200000004</v>
      </c>
      <c r="X415" s="399">
        <v>4034.9966000000004</v>
      </c>
      <c r="Y415" s="399">
        <v>0</v>
      </c>
      <c r="Z415" s="399">
        <v>400.13127595349124</v>
      </c>
      <c r="AA415" s="399">
        <v>0</v>
      </c>
      <c r="AB415" s="399">
        <v>0</v>
      </c>
      <c r="AC415" s="399">
        <v>0</v>
      </c>
      <c r="AD415" s="399">
        <v>836.46889071997066</v>
      </c>
      <c r="AE415" s="399">
        <v>3769.0974648806332</v>
      </c>
      <c r="AF415" s="399">
        <v>1192.1068399890812</v>
      </c>
      <c r="AG415" s="399">
        <v>0</v>
      </c>
      <c r="AH415" s="399">
        <v>0</v>
      </c>
      <c r="AI415" s="399">
        <v>0</v>
      </c>
      <c r="AJ415" s="399">
        <v>0</v>
      </c>
      <c r="AK415" s="399">
        <v>0</v>
      </c>
      <c r="AL415" s="399">
        <v>61.838676481252094</v>
      </c>
      <c r="AM415" s="399"/>
      <c r="AN415" s="399">
        <v>15.216226641178697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215.96890293975602</v>
      </c>
      <c r="BH415" s="399">
        <v>0</v>
      </c>
      <c r="BI415" s="399">
        <v>2.02</v>
      </c>
      <c r="BJ415" s="399">
        <v>10.119999999999999</v>
      </c>
      <c r="BK415" s="399">
        <v>1453.02</v>
      </c>
      <c r="BL415" s="399">
        <v>3</v>
      </c>
      <c r="BM415" s="399"/>
      <c r="BN415" s="399"/>
      <c r="BO415" s="399"/>
      <c r="BP415" s="399"/>
      <c r="BQ415" s="399"/>
      <c r="BR415" s="399"/>
      <c r="BS415" s="399"/>
      <c r="BT415" s="399"/>
      <c r="BU415" s="399"/>
      <c r="BV415" s="399">
        <v>1408.0757429288371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4036.2539999999999</v>
      </c>
      <c r="CJ415" s="399">
        <v>-2454.5561200000011</v>
      </c>
      <c r="CK415" s="399"/>
      <c r="CL415" s="399"/>
      <c r="CM415" s="399"/>
      <c r="CN415" s="399"/>
      <c r="CO415" s="399">
        <v>-2455.7835200000004</v>
      </c>
      <c r="CP415" s="399">
        <v>0</v>
      </c>
      <c r="CQ415" s="399">
        <v>31</v>
      </c>
      <c r="CR415" s="399">
        <v>-105.85566310664854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-77.002494582909662</v>
      </c>
      <c r="DA415" s="399">
        <v>0</v>
      </c>
      <c r="DB415" s="399">
        <v>0</v>
      </c>
      <c r="DC415" s="399">
        <v>0</v>
      </c>
      <c r="DD415" s="399">
        <v>0</v>
      </c>
      <c r="DE415" s="399">
        <v>0</v>
      </c>
      <c r="DF415" s="399">
        <v>0</v>
      </c>
      <c r="DG415" s="399">
        <v>0</v>
      </c>
      <c r="DH415" s="399">
        <v>0</v>
      </c>
      <c r="DI415" s="399">
        <v>-24.747593306795522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-3.315319558906495</v>
      </c>
      <c r="DP415" s="399">
        <v>-0.79025565803715025</v>
      </c>
      <c r="DQ415" s="399">
        <v>0</v>
      </c>
      <c r="DR415" s="399">
        <v>0</v>
      </c>
      <c r="DS415" s="399"/>
      <c r="DT415" s="399"/>
      <c r="DU415" s="399"/>
      <c r="DV415" s="399">
        <v>3769.0974648806332</v>
      </c>
      <c r="DW415" s="399">
        <v>0</v>
      </c>
      <c r="DX415" s="399">
        <v>0</v>
      </c>
      <c r="DY415" s="399">
        <v>-2455.7835200000004</v>
      </c>
      <c r="DZ415" s="399">
        <v>0</v>
      </c>
      <c r="EA415" s="399">
        <v>0</v>
      </c>
      <c r="EB415" s="399">
        <v>0</v>
      </c>
      <c r="EC415" s="399">
        <v>-2349.9452662392832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221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415</v>
      </c>
      <c r="B416" s="399" t="s">
        <v>956</v>
      </c>
      <c r="C416" s="399" t="s">
        <v>2325</v>
      </c>
      <c r="D416" s="399" t="s">
        <v>533</v>
      </c>
      <c r="E416" s="399" t="s">
        <v>890</v>
      </c>
      <c r="F416" s="399" t="s">
        <v>1239</v>
      </c>
      <c r="G416" s="399" t="s">
        <v>1239</v>
      </c>
      <c r="H416" s="399" t="s">
        <v>1239</v>
      </c>
      <c r="I416" s="399" t="s">
        <v>893</v>
      </c>
      <c r="J416" s="399" t="s">
        <v>2326</v>
      </c>
      <c r="K416" s="786">
        <v>44743</v>
      </c>
      <c r="L416" s="399">
        <v>0</v>
      </c>
      <c r="M416" s="399">
        <v>0</v>
      </c>
      <c r="N416" s="399">
        <v>1.641</v>
      </c>
      <c r="O416" s="399">
        <v>1.641</v>
      </c>
      <c r="P416" s="399">
        <v>1.641</v>
      </c>
      <c r="Q416" s="399">
        <v>1.641</v>
      </c>
      <c r="R416" s="399"/>
      <c r="S416" s="399">
        <v>4433.21</v>
      </c>
      <c r="T416" s="399">
        <v>185.74</v>
      </c>
      <c r="U416" s="399"/>
      <c r="V416" s="399">
        <v>7579.6969499999996</v>
      </c>
      <c r="W416" s="399">
        <v>7579.6969499999996</v>
      </c>
      <c r="X416" s="399">
        <v>3955.8274200000001</v>
      </c>
      <c r="Y416" s="399">
        <v>0</v>
      </c>
      <c r="Z416" s="399">
        <v>89.008323269012166</v>
      </c>
      <c r="AA416" s="399">
        <v>0</v>
      </c>
      <c r="AB416" s="399">
        <v>0</v>
      </c>
      <c r="AC416" s="399">
        <v>0</v>
      </c>
      <c r="AD416" s="399">
        <v>1578.0233018566296</v>
      </c>
      <c r="AE416" s="399">
        <v>5569.0347161142172</v>
      </c>
      <c r="AF416" s="399">
        <v>304.80637650702437</v>
      </c>
      <c r="AG416" s="399">
        <v>0</v>
      </c>
      <c r="AH416" s="399">
        <v>0</v>
      </c>
      <c r="AI416" s="399">
        <v>0</v>
      </c>
      <c r="AJ416" s="399">
        <v>0</v>
      </c>
      <c r="AK416" s="399">
        <v>0</v>
      </c>
      <c r="AL416" s="399">
        <v>15.811353709213881</v>
      </c>
      <c r="AM416" s="399"/>
      <c r="AN416" s="399">
        <v>1.6998814160697711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21.320157201648435</v>
      </c>
      <c r="BH416" s="399">
        <v>0</v>
      </c>
      <c r="BI416" s="399">
        <v>0</v>
      </c>
      <c r="BJ416" s="399">
        <v>0</v>
      </c>
      <c r="BK416" s="399">
        <v>0</v>
      </c>
      <c r="BL416" s="399">
        <v>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326.12653370867281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3953.4168</v>
      </c>
      <c r="CJ416" s="399">
        <v>-3626.3101500000002</v>
      </c>
      <c r="CK416" s="399"/>
      <c r="CL416" s="399"/>
      <c r="CM416" s="399"/>
      <c r="CN416" s="399"/>
      <c r="CO416" s="399">
        <v>-3623.8695299999999</v>
      </c>
      <c r="CP416" s="399">
        <v>0</v>
      </c>
      <c r="CQ416" s="399">
        <v>31</v>
      </c>
      <c r="CR416" s="399">
        <v>-151.70849921631361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-145.26748346651993</v>
      </c>
      <c r="DA416" s="399">
        <v>0</v>
      </c>
      <c r="DB416" s="399">
        <v>0</v>
      </c>
      <c r="DC416" s="399">
        <v>0</v>
      </c>
      <c r="DD416" s="399">
        <v>0</v>
      </c>
      <c r="DE416" s="399">
        <v>0</v>
      </c>
      <c r="DF416" s="399">
        <v>0</v>
      </c>
      <c r="DG416" s="399">
        <v>0</v>
      </c>
      <c r="DH416" s="399">
        <v>0</v>
      </c>
      <c r="DI416" s="399">
        <v>-5.5050477619682994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-0.84768454287403472</v>
      </c>
      <c r="DP416" s="399">
        <v>-8.8283444951187562E-2</v>
      </c>
      <c r="DQ416" s="399">
        <v>0</v>
      </c>
      <c r="DR416" s="399">
        <v>0</v>
      </c>
      <c r="DS416" s="399"/>
      <c r="DT416" s="399"/>
      <c r="DU416" s="399"/>
      <c r="DV416" s="399">
        <v>5569.0347161142172</v>
      </c>
      <c r="DW416" s="399">
        <v>0</v>
      </c>
      <c r="DX416" s="399">
        <v>0</v>
      </c>
      <c r="DY416" s="399">
        <v>-3623.8695299999999</v>
      </c>
      <c r="DZ416" s="399">
        <v>0</v>
      </c>
      <c r="EA416" s="399">
        <v>0</v>
      </c>
      <c r="EB416" s="399">
        <v>0</v>
      </c>
      <c r="EC416" s="399">
        <v>-3472.1645939366213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221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416</v>
      </c>
      <c r="B417" s="399" t="s">
        <v>956</v>
      </c>
      <c r="C417" s="399" t="s">
        <v>2325</v>
      </c>
      <c r="D417" s="399" t="s">
        <v>533</v>
      </c>
      <c r="E417" s="399" t="s">
        <v>890</v>
      </c>
      <c r="F417" s="399" t="s">
        <v>1239</v>
      </c>
      <c r="G417" s="399" t="s">
        <v>1239</v>
      </c>
      <c r="H417" s="399" t="s">
        <v>1239</v>
      </c>
      <c r="I417" s="399" t="s">
        <v>2323</v>
      </c>
      <c r="J417" s="399" t="s">
        <v>2326</v>
      </c>
      <c r="K417" s="786">
        <v>44743</v>
      </c>
      <c r="L417" s="399">
        <v>0</v>
      </c>
      <c r="M417" s="399">
        <v>0</v>
      </c>
      <c r="N417" s="399">
        <v>42.253999999999998</v>
      </c>
      <c r="O417" s="399">
        <v>42.253999999999998</v>
      </c>
      <c r="P417" s="399">
        <v>42.253999999999998</v>
      </c>
      <c r="Q417" s="399">
        <v>42.253999999999998</v>
      </c>
      <c r="R417" s="399"/>
      <c r="S417" s="399">
        <v>77.900000000000006</v>
      </c>
      <c r="T417" s="399">
        <v>185.74</v>
      </c>
      <c r="U417" s="399"/>
      <c r="V417" s="399">
        <v>11139.84456</v>
      </c>
      <c r="W417" s="399">
        <v>11139.84456</v>
      </c>
      <c r="X417" s="399">
        <v>10974.20888</v>
      </c>
      <c r="Y417" s="399">
        <v>0</v>
      </c>
      <c r="Z417" s="399">
        <v>2291.8694036616939</v>
      </c>
      <c r="AA417" s="399">
        <v>0</v>
      </c>
      <c r="AB417" s="399">
        <v>0</v>
      </c>
      <c r="AC417" s="399">
        <v>0</v>
      </c>
      <c r="AD417" s="399">
        <v>0</v>
      </c>
      <c r="AE417" s="399">
        <v>0</v>
      </c>
      <c r="AF417" s="399">
        <v>7848.4391425519843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407.1254964223786</v>
      </c>
      <c r="AM417" s="399"/>
      <c r="AN417" s="399">
        <v>43.770133671305366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548.97131163830159</v>
      </c>
      <c r="BH417" s="399">
        <v>0</v>
      </c>
      <c r="BI417" s="399">
        <v>0</v>
      </c>
      <c r="BJ417" s="399">
        <v>0</v>
      </c>
      <c r="BK417" s="399">
        <v>0</v>
      </c>
      <c r="BL417" s="399">
        <v>0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>
        <v>8397.4104541902852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10973.17</v>
      </c>
      <c r="CJ417" s="399">
        <v>-166.70456000000013</v>
      </c>
      <c r="CK417" s="399"/>
      <c r="CL417" s="399"/>
      <c r="CM417" s="399"/>
      <c r="CN417" s="399"/>
      <c r="CO417" s="399">
        <v>-165.63568000000006</v>
      </c>
      <c r="CP417" s="399">
        <v>0</v>
      </c>
      <c r="CQ417" s="399">
        <v>31</v>
      </c>
      <c r="CR417" s="399">
        <v>-165.84928671040507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0</v>
      </c>
      <c r="DA417" s="399">
        <v>0</v>
      </c>
      <c r="DB417" s="399">
        <v>0</v>
      </c>
      <c r="DC417" s="399">
        <v>0</v>
      </c>
      <c r="DD417" s="399">
        <v>0</v>
      </c>
      <c r="DE417" s="399">
        <v>0</v>
      </c>
      <c r="DF417" s="399">
        <v>0</v>
      </c>
      <c r="DG417" s="399">
        <v>0</v>
      </c>
      <c r="DH417" s="399">
        <v>0</v>
      </c>
      <c r="DI417" s="399">
        <v>-141.74910916161389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-21.82697298878702</v>
      </c>
      <c r="DP417" s="399">
        <v>-2.2732045600045581</v>
      </c>
      <c r="DQ417" s="399">
        <v>0</v>
      </c>
      <c r="DR417" s="399">
        <v>0</v>
      </c>
      <c r="DS417" s="399"/>
      <c r="DT417" s="399"/>
      <c r="DU417" s="399"/>
      <c r="DV417" s="399">
        <v>0</v>
      </c>
      <c r="DW417" s="399">
        <v>0</v>
      </c>
      <c r="DX417" s="399">
        <v>0</v>
      </c>
      <c r="DY417" s="399">
        <v>-165.63567999999987</v>
      </c>
      <c r="DZ417" s="399">
        <v>0</v>
      </c>
      <c r="EA417" s="399">
        <v>0</v>
      </c>
      <c r="EB417" s="399">
        <v>0</v>
      </c>
      <c r="EC417" s="399">
        <v>0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221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417</v>
      </c>
      <c r="B418" s="399" t="s">
        <v>956</v>
      </c>
      <c r="C418" s="399" t="s">
        <v>2325</v>
      </c>
      <c r="D418" s="399" t="s">
        <v>533</v>
      </c>
      <c r="E418" s="399" t="s">
        <v>890</v>
      </c>
      <c r="F418" s="399" t="s">
        <v>1239</v>
      </c>
      <c r="G418" s="399" t="s">
        <v>1239</v>
      </c>
      <c r="H418" s="399" t="s">
        <v>1239</v>
      </c>
      <c r="I418" s="399" t="s">
        <v>1239</v>
      </c>
      <c r="J418" s="399" t="s">
        <v>2326</v>
      </c>
      <c r="K418" s="786">
        <v>44743</v>
      </c>
      <c r="L418" s="399">
        <v>319</v>
      </c>
      <c r="M418" s="399">
        <v>319</v>
      </c>
      <c r="N418" s="399">
        <v>0</v>
      </c>
      <c r="O418" s="399">
        <v>0</v>
      </c>
      <c r="P418" s="399">
        <v>0</v>
      </c>
      <c r="Q418" s="399">
        <v>0</v>
      </c>
      <c r="R418" s="399">
        <v>55.59</v>
      </c>
      <c r="S418" s="399"/>
      <c r="T418" s="399"/>
      <c r="U418" s="399">
        <v>17733.210000000003</v>
      </c>
      <c r="V418" s="399"/>
      <c r="W418" s="399">
        <v>17733.210000000003</v>
      </c>
      <c r="X418" s="399">
        <v>9413.69</v>
      </c>
      <c r="Y418" s="399">
        <v>0</v>
      </c>
      <c r="Z418" s="399">
        <v>0</v>
      </c>
      <c r="AA418" s="399">
        <v>0</v>
      </c>
      <c r="AB418" s="399">
        <v>0</v>
      </c>
      <c r="AC418" s="399">
        <v>0</v>
      </c>
      <c r="AD418" s="399">
        <v>5153.3399940604804</v>
      </c>
      <c r="AE418" s="399">
        <v>12578.40068056382</v>
      </c>
      <c r="AF418" s="399"/>
      <c r="AG418" s="399"/>
      <c r="AH418" s="399"/>
      <c r="AI418" s="399">
        <v>0</v>
      </c>
      <c r="AJ418" s="399">
        <v>0</v>
      </c>
      <c r="AK418" s="399">
        <v>0</v>
      </c>
      <c r="AL418" s="399">
        <v>0</v>
      </c>
      <c r="AM418" s="399"/>
      <c r="AN418" s="399">
        <v>0</v>
      </c>
      <c r="AO418" s="399">
        <v>0</v>
      </c>
      <c r="AP418" s="399">
        <v>0</v>
      </c>
      <c r="AQ418" s="399">
        <v>0</v>
      </c>
      <c r="AR418" s="399">
        <v>0</v>
      </c>
      <c r="AS418" s="399"/>
      <c r="AT418" s="399"/>
      <c r="AU418" s="399">
        <v>0</v>
      </c>
      <c r="AV418" s="399">
        <v>0</v>
      </c>
      <c r="AW418" s="399">
        <v>0</v>
      </c>
      <c r="AX418" s="399"/>
      <c r="AY418" s="399"/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/>
      <c r="BG418" s="399">
        <v>0</v>
      </c>
      <c r="BH418" s="399">
        <v>0</v>
      </c>
      <c r="BI418" s="399">
        <v>12.97</v>
      </c>
      <c r="BJ418" s="399">
        <v>64.92</v>
      </c>
      <c r="BK418" s="399">
        <v>5134.43</v>
      </c>
      <c r="BL418" s="399">
        <v>5</v>
      </c>
      <c r="BM418" s="399"/>
      <c r="BN418" s="399"/>
      <c r="BO418" s="399"/>
      <c r="BP418" s="399"/>
      <c r="BQ418" s="399"/>
      <c r="BR418" s="399"/>
      <c r="BS418" s="399"/>
      <c r="BT418" s="399"/>
      <c r="BU418" s="399"/>
      <c r="BV418" s="399">
        <v>0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9413.69</v>
      </c>
      <c r="CJ418" s="399">
        <v>-8319.5499999999975</v>
      </c>
      <c r="CK418" s="399"/>
      <c r="CL418" s="399"/>
      <c r="CM418" s="399"/>
      <c r="CN418" s="399"/>
      <c r="CO418" s="399">
        <v>-8319.52</v>
      </c>
      <c r="CP418" s="399">
        <v>0</v>
      </c>
      <c r="CQ418" s="399">
        <v>31</v>
      </c>
      <c r="CR418" s="399">
        <v>-474.3990354919215</v>
      </c>
      <c r="CS418" s="399">
        <v>0</v>
      </c>
      <c r="CT418" s="399">
        <v>0</v>
      </c>
      <c r="CU418" s="399">
        <v>0</v>
      </c>
      <c r="CV418" s="399">
        <v>0</v>
      </c>
      <c r="CW418" s="399"/>
      <c r="CX418" s="399"/>
      <c r="CY418" s="399"/>
      <c r="CZ418" s="399">
        <v>-474.3990354919215</v>
      </c>
      <c r="DA418" s="399">
        <v>0</v>
      </c>
      <c r="DB418" s="399">
        <v>0</v>
      </c>
      <c r="DC418" s="399"/>
      <c r="DD418" s="399"/>
      <c r="DE418" s="399">
        <v>0</v>
      </c>
      <c r="DF418" s="399">
        <v>0</v>
      </c>
      <c r="DG418" s="399">
        <v>0</v>
      </c>
      <c r="DH418" s="399">
        <v>0</v>
      </c>
      <c r="DI418" s="399">
        <v>0</v>
      </c>
      <c r="DJ418" s="399"/>
      <c r="DK418" s="399">
        <v>0</v>
      </c>
      <c r="DL418" s="399">
        <v>0</v>
      </c>
      <c r="DM418" s="399"/>
      <c r="DN418" s="399">
        <v>0</v>
      </c>
      <c r="DO418" s="399">
        <v>0</v>
      </c>
      <c r="DP418" s="399">
        <v>0</v>
      </c>
      <c r="DQ418" s="399">
        <v>0</v>
      </c>
      <c r="DR418" s="399">
        <v>0</v>
      </c>
      <c r="DS418" s="399"/>
      <c r="DT418" s="399"/>
      <c r="DU418" s="399">
        <v>12578.40068056382</v>
      </c>
      <c r="DV418" s="399"/>
      <c r="DW418" s="399">
        <v>0</v>
      </c>
      <c r="DX418" s="399">
        <v>0</v>
      </c>
      <c r="DY418" s="399">
        <v>-8319.5200000000023</v>
      </c>
      <c r="DZ418" s="399"/>
      <c r="EA418" s="399">
        <v>0</v>
      </c>
      <c r="EB418" s="399"/>
      <c r="EC418" s="399">
        <v>-7842.3424736478637</v>
      </c>
      <c r="ED418" s="399"/>
      <c r="EE418" s="399">
        <v>0</v>
      </c>
      <c r="EF418" s="399">
        <v>0</v>
      </c>
      <c r="EG418" s="399"/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/>
      <c r="EN418" s="399"/>
      <c r="EO418" s="399">
        <v>0</v>
      </c>
      <c r="EP418" s="399">
        <v>0</v>
      </c>
      <c r="EQ418" s="399"/>
      <c r="ER418" s="399">
        <v>0</v>
      </c>
      <c r="ES418" s="399"/>
      <c r="ET418" s="399">
        <v>0</v>
      </c>
      <c r="EU418" s="399"/>
      <c r="EV418" s="399">
        <v>221</v>
      </c>
      <c r="EW418" s="399"/>
      <c r="EX418" s="399"/>
      <c r="EY418" s="399"/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418</v>
      </c>
      <c r="B419" s="399" t="s">
        <v>956</v>
      </c>
      <c r="C419" s="399" t="s">
        <v>2328</v>
      </c>
      <c r="D419" s="399" t="s">
        <v>1824</v>
      </c>
      <c r="E419" s="399" t="s">
        <v>918</v>
      </c>
      <c r="F419" s="399" t="s">
        <v>1239</v>
      </c>
      <c r="G419" s="399" t="s">
        <v>1239</v>
      </c>
      <c r="H419" s="399" t="s">
        <v>1239</v>
      </c>
      <c r="I419" s="399" t="s">
        <v>1239</v>
      </c>
      <c r="J419" s="399" t="s">
        <v>2326</v>
      </c>
      <c r="K419" s="786">
        <v>44743</v>
      </c>
      <c r="L419" s="399">
        <v>0</v>
      </c>
      <c r="M419" s="399">
        <v>0</v>
      </c>
      <c r="N419" s="399">
        <v>118.15300000000001</v>
      </c>
      <c r="O419" s="399">
        <v>118.15300000000001</v>
      </c>
      <c r="P419" s="399">
        <v>118.15300000000001</v>
      </c>
      <c r="Q419" s="399">
        <v>118.15300000000001</v>
      </c>
      <c r="R419" s="399"/>
      <c r="S419" s="399">
        <v>825.6</v>
      </c>
      <c r="T419" s="399">
        <v>185.74</v>
      </c>
      <c r="U419" s="399"/>
      <c r="V419" s="399">
        <v>119492.85502</v>
      </c>
      <c r="W419" s="399">
        <v>119492.85502</v>
      </c>
      <c r="X419" s="399">
        <v>74282.791100000002</v>
      </c>
      <c r="Y419" s="399">
        <v>0</v>
      </c>
      <c r="Z419" s="399">
        <v>7366.2684088084843</v>
      </c>
      <c r="AA419" s="399">
        <v>0</v>
      </c>
      <c r="AB419" s="399">
        <v>0</v>
      </c>
      <c r="AC419" s="399">
        <v>0</v>
      </c>
      <c r="AD419" s="399">
        <v>15399.082088693782</v>
      </c>
      <c r="AE419" s="399">
        <v>69387.686626369818</v>
      </c>
      <c r="AF419" s="399">
        <v>21946.244852793694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1138.4271022576158</v>
      </c>
      <c r="AM419" s="399"/>
      <c r="AN419" s="399">
        <v>280.12508979981095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3975.9074149331555</v>
      </c>
      <c r="BH419" s="399">
        <v>0</v>
      </c>
      <c r="BI419" s="399">
        <v>37.19</v>
      </c>
      <c r="BJ419" s="399">
        <v>186.53</v>
      </c>
      <c r="BK419" s="399">
        <v>19824.25</v>
      </c>
      <c r="BL419" s="399">
        <v>350</v>
      </c>
      <c r="BM419" s="399"/>
      <c r="BN419" s="399"/>
      <c r="BO419" s="399"/>
      <c r="BP419" s="399"/>
      <c r="BQ419" s="399"/>
      <c r="BR419" s="399"/>
      <c r="BS419" s="399"/>
      <c r="BT419" s="399"/>
      <c r="BU419" s="399"/>
      <c r="BV419" s="399">
        <v>25922.152267726851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74280.904999999999</v>
      </c>
      <c r="CJ419" s="399">
        <v>-45211.980019999988</v>
      </c>
      <c r="CK419" s="399"/>
      <c r="CL419" s="399"/>
      <c r="CM419" s="399"/>
      <c r="CN419" s="399"/>
      <c r="CO419" s="399">
        <v>-45210.063920000008</v>
      </c>
      <c r="CP419" s="399">
        <v>0</v>
      </c>
      <c r="CQ419" s="399">
        <v>31</v>
      </c>
      <c r="CR419" s="399">
        <v>-1948.763503122449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-1417.5873702796071</v>
      </c>
      <c r="DA419" s="399">
        <v>0</v>
      </c>
      <c r="DB419" s="399">
        <v>0</v>
      </c>
      <c r="DC419" s="399">
        <v>0</v>
      </c>
      <c r="DD419" s="399">
        <v>0</v>
      </c>
      <c r="DE419" s="399">
        <v>0</v>
      </c>
      <c r="DF419" s="399">
        <v>0</v>
      </c>
      <c r="DG419" s="399">
        <v>0</v>
      </c>
      <c r="DH419" s="399">
        <v>0</v>
      </c>
      <c r="DI419" s="399">
        <v>-455.59401557772162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-61.033803652770075</v>
      </c>
      <c r="DP419" s="399">
        <v>-14.548313612350228</v>
      </c>
      <c r="DQ419" s="399">
        <v>0</v>
      </c>
      <c r="DR419" s="399">
        <v>0</v>
      </c>
      <c r="DS419" s="399"/>
      <c r="DT419" s="399"/>
      <c r="DU419" s="399"/>
      <c r="DV419" s="399">
        <v>69387.686626369818</v>
      </c>
      <c r="DW419" s="399">
        <v>0</v>
      </c>
      <c r="DX419" s="399">
        <v>0</v>
      </c>
      <c r="DY419" s="399">
        <v>-45210.063920000001</v>
      </c>
      <c r="DZ419" s="399">
        <v>0</v>
      </c>
      <c r="EA419" s="399">
        <v>0</v>
      </c>
      <c r="EB419" s="399">
        <v>0</v>
      </c>
      <c r="EC419" s="399">
        <v>-43261.62091648022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221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419</v>
      </c>
      <c r="B420" s="399" t="s">
        <v>2330</v>
      </c>
      <c r="C420" s="399" t="s">
        <v>2328</v>
      </c>
      <c r="D420" s="399" t="s">
        <v>1824</v>
      </c>
      <c r="E420" s="399" t="s">
        <v>918</v>
      </c>
      <c r="F420" s="399" t="s">
        <v>1239</v>
      </c>
      <c r="G420" s="399" t="s">
        <v>1239</v>
      </c>
      <c r="H420" s="399" t="s">
        <v>1239</v>
      </c>
      <c r="I420" s="399" t="s">
        <v>1239</v>
      </c>
      <c r="J420" s="399" t="s">
        <v>2326</v>
      </c>
      <c r="K420" s="786">
        <v>44743</v>
      </c>
      <c r="L420" s="399">
        <v>0</v>
      </c>
      <c r="M420" s="399">
        <v>0</v>
      </c>
      <c r="N420" s="399">
        <v>4.8849999999999998</v>
      </c>
      <c r="O420" s="399">
        <v>4.8849999999999998</v>
      </c>
      <c r="P420" s="399">
        <v>4.8849999999999998</v>
      </c>
      <c r="Q420" s="399">
        <v>4.8849999999999998</v>
      </c>
      <c r="R420" s="399"/>
      <c r="S420" s="399">
        <v>825.6</v>
      </c>
      <c r="T420" s="399">
        <v>185.74</v>
      </c>
      <c r="U420" s="399"/>
      <c r="V420" s="399">
        <v>4940.3959000000004</v>
      </c>
      <c r="W420" s="399">
        <v>4940.3959000000004</v>
      </c>
      <c r="X420" s="399">
        <v>3071.1994999999997</v>
      </c>
      <c r="Y420" s="399">
        <v>0</v>
      </c>
      <c r="Z420" s="399">
        <v>304.55613634041828</v>
      </c>
      <c r="AA420" s="399">
        <v>0</v>
      </c>
      <c r="AB420" s="399">
        <v>0</v>
      </c>
      <c r="AC420" s="399">
        <v>0</v>
      </c>
      <c r="AD420" s="399">
        <v>636.67038503693618</v>
      </c>
      <c r="AE420" s="399">
        <v>2868.8128881180887</v>
      </c>
      <c r="AF420" s="399">
        <v>907.36084657941126</v>
      </c>
      <c r="AG420" s="399">
        <v>0</v>
      </c>
      <c r="AH420" s="399">
        <v>0</v>
      </c>
      <c r="AI420" s="399">
        <v>0</v>
      </c>
      <c r="AJ420" s="399">
        <v>0</v>
      </c>
      <c r="AK420" s="399">
        <v>0</v>
      </c>
      <c r="AL420" s="399">
        <v>47.067923747416089</v>
      </c>
      <c r="AM420" s="399"/>
      <c r="AN420" s="399">
        <v>11.581686996285123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164.38268788730258</v>
      </c>
      <c r="BH420" s="399">
        <v>0</v>
      </c>
      <c r="BI420" s="399">
        <v>1.47</v>
      </c>
      <c r="BJ420" s="399">
        <v>7.3</v>
      </c>
      <c r="BK420" s="399">
        <v>1921.98</v>
      </c>
      <c r="BL420" s="399">
        <v>13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>
        <v>1071.7435344667138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3074.3429999999998</v>
      </c>
      <c r="CJ420" s="399">
        <v>-1866.0829000000012</v>
      </c>
      <c r="CK420" s="399"/>
      <c r="CL420" s="399"/>
      <c r="CM420" s="399"/>
      <c r="CN420" s="399"/>
      <c r="CO420" s="399">
        <v>-1869.1964</v>
      </c>
      <c r="CP420" s="399">
        <v>0</v>
      </c>
      <c r="CQ420" s="399">
        <v>31</v>
      </c>
      <c r="CR420" s="399">
        <v>-80.571036814580566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-58.60972047951293</v>
      </c>
      <c r="DA420" s="399">
        <v>0</v>
      </c>
      <c r="DB420" s="399">
        <v>0</v>
      </c>
      <c r="DC420" s="399">
        <v>0</v>
      </c>
      <c r="DD420" s="399">
        <v>0</v>
      </c>
      <c r="DE420" s="399">
        <v>0</v>
      </c>
      <c r="DF420" s="399">
        <v>0</v>
      </c>
      <c r="DG420" s="399">
        <v>0</v>
      </c>
      <c r="DH420" s="399">
        <v>0</v>
      </c>
      <c r="DI420" s="399">
        <v>-18.83639658829793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-2.5234241267152129</v>
      </c>
      <c r="DP420" s="399">
        <v>-0.60149562005476476</v>
      </c>
      <c r="DQ420" s="399">
        <v>0</v>
      </c>
      <c r="DR420" s="399">
        <v>0</v>
      </c>
      <c r="DS420" s="399"/>
      <c r="DT420" s="399"/>
      <c r="DU420" s="399"/>
      <c r="DV420" s="399">
        <v>2868.8128881180887</v>
      </c>
      <c r="DW420" s="399">
        <v>0</v>
      </c>
      <c r="DX420" s="399">
        <v>0</v>
      </c>
      <c r="DY420" s="399">
        <v>-1869.1964000000003</v>
      </c>
      <c r="DZ420" s="399">
        <v>0</v>
      </c>
      <c r="EA420" s="399">
        <v>0</v>
      </c>
      <c r="EB420" s="399">
        <v>0</v>
      </c>
      <c r="EC420" s="399">
        <v>-1788.6386141444218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221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420</v>
      </c>
      <c r="B421" s="399" t="s">
        <v>956</v>
      </c>
      <c r="C421" s="399" t="s">
        <v>2577</v>
      </c>
      <c r="D421" s="399" t="s">
        <v>533</v>
      </c>
      <c r="E421" s="399" t="s">
        <v>918</v>
      </c>
      <c r="F421" s="399" t="s">
        <v>1239</v>
      </c>
      <c r="G421" s="399" t="s">
        <v>1239</v>
      </c>
      <c r="H421" s="399" t="s">
        <v>1239</v>
      </c>
      <c r="I421" s="399" t="s">
        <v>893</v>
      </c>
      <c r="J421" s="399" t="s">
        <v>2326</v>
      </c>
      <c r="K421" s="786">
        <v>44743</v>
      </c>
      <c r="L421" s="399">
        <v>529</v>
      </c>
      <c r="M421" s="399">
        <v>529</v>
      </c>
      <c r="N421" s="399">
        <v>29.257000000000001</v>
      </c>
      <c r="O421" s="399">
        <v>29.257000000000001</v>
      </c>
      <c r="P421" s="399">
        <v>29.257000000000001</v>
      </c>
      <c r="Q421" s="399">
        <v>29.257000000000001</v>
      </c>
      <c r="R421" s="399">
        <v>181.08</v>
      </c>
      <c r="S421" s="399">
        <v>77.900000000000006</v>
      </c>
      <c r="T421" s="399">
        <v>185.74</v>
      </c>
      <c r="U421" s="399">
        <v>95791.32</v>
      </c>
      <c r="V421" s="399">
        <v>7713.3154800000011</v>
      </c>
      <c r="W421" s="399">
        <v>103504.63548</v>
      </c>
      <c r="X421" s="399">
        <v>54901.808040000004</v>
      </c>
      <c r="Y421" s="399">
        <v>0</v>
      </c>
      <c r="Z421" s="399">
        <v>1586.9082960886587</v>
      </c>
      <c r="AA421" s="399">
        <v>0</v>
      </c>
      <c r="AB421" s="399">
        <v>0</v>
      </c>
      <c r="AC421" s="399">
        <v>0</v>
      </c>
      <c r="AD421" s="399">
        <v>21143.293090834497</v>
      </c>
      <c r="AE421" s="399">
        <v>74646.872515827636</v>
      </c>
      <c r="AF421" s="399">
        <v>5434.3206322157293</v>
      </c>
      <c r="AG421" s="399">
        <v>0</v>
      </c>
      <c r="AH421" s="399">
        <v>0</v>
      </c>
      <c r="AI421" s="399">
        <v>0</v>
      </c>
      <c r="AJ421" s="399">
        <v>0</v>
      </c>
      <c r="AK421" s="399">
        <v>0</v>
      </c>
      <c r="AL421" s="399">
        <v>281.89687719102409</v>
      </c>
      <c r="AM421" s="399"/>
      <c r="AN421" s="399">
        <v>30.306782809234186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380.11202879258275</v>
      </c>
      <c r="BH421" s="399">
        <v>0</v>
      </c>
      <c r="BI421" s="399">
        <v>0</v>
      </c>
      <c r="BJ421" s="399">
        <v>0</v>
      </c>
      <c r="BK421" s="399">
        <v>0</v>
      </c>
      <c r="BL421" s="399">
        <v>0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5814.4326610083117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54902.587199999994</v>
      </c>
      <c r="CJ421" s="399">
        <v>-48602.078279999987</v>
      </c>
      <c r="CK421" s="399"/>
      <c r="CL421" s="399"/>
      <c r="CM421" s="399"/>
      <c r="CN421" s="399"/>
      <c r="CO421" s="399">
        <v>-48602.827440000008</v>
      </c>
      <c r="CP421" s="399">
        <v>0</v>
      </c>
      <c r="CQ421" s="399">
        <v>31</v>
      </c>
      <c r="CR421" s="399">
        <v>-2061.2153335986077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-1946.3799906420463</v>
      </c>
      <c r="DA421" s="399">
        <v>0</v>
      </c>
      <c r="DB421" s="399">
        <v>0</v>
      </c>
      <c r="DC421" s="399">
        <v>0</v>
      </c>
      <c r="DD421" s="399">
        <v>0</v>
      </c>
      <c r="DE421" s="399">
        <v>0</v>
      </c>
      <c r="DF421" s="399">
        <v>0</v>
      </c>
      <c r="DG421" s="399">
        <v>0</v>
      </c>
      <c r="DH421" s="399">
        <v>0</v>
      </c>
      <c r="DI421" s="399">
        <v>-98.148191573373879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-15.113166770789576</v>
      </c>
      <c r="DP421" s="399">
        <v>-1.5739846123929908</v>
      </c>
      <c r="DQ421" s="399">
        <v>0</v>
      </c>
      <c r="DR421" s="399">
        <v>0</v>
      </c>
      <c r="DS421" s="399"/>
      <c r="DT421" s="399"/>
      <c r="DU421" s="399">
        <v>74646.872515827636</v>
      </c>
      <c r="DV421" s="399">
        <v>0</v>
      </c>
      <c r="DW421" s="399">
        <v>0</v>
      </c>
      <c r="DX421" s="399">
        <v>0</v>
      </c>
      <c r="DY421" s="399">
        <v>-48602.827440000001</v>
      </c>
      <c r="DZ421" s="399">
        <v>0</v>
      </c>
      <c r="EA421" s="399">
        <v>0</v>
      </c>
      <c r="EB421" s="399">
        <v>0</v>
      </c>
      <c r="EC421" s="399">
        <v>-46540.601919322333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0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221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421</v>
      </c>
      <c r="B422" s="399" t="s">
        <v>956</v>
      </c>
      <c r="C422" s="399" t="s">
        <v>2577</v>
      </c>
      <c r="D422" s="399" t="s">
        <v>533</v>
      </c>
      <c r="E422" s="399" t="s">
        <v>918</v>
      </c>
      <c r="F422" s="399" t="s">
        <v>1239</v>
      </c>
      <c r="G422" s="399" t="s">
        <v>1239</v>
      </c>
      <c r="H422" s="399" t="s">
        <v>1239</v>
      </c>
      <c r="I422" s="399" t="s">
        <v>2323</v>
      </c>
      <c r="J422" s="399" t="s">
        <v>2326</v>
      </c>
      <c r="K422" s="786">
        <v>44743</v>
      </c>
      <c r="L422" s="399">
        <v>543</v>
      </c>
      <c r="M422" s="399">
        <v>543</v>
      </c>
      <c r="N422" s="399">
        <v>300.12599999999998</v>
      </c>
      <c r="O422" s="399">
        <v>300.12599999999998</v>
      </c>
      <c r="P422" s="399">
        <v>300.12599999999998</v>
      </c>
      <c r="Q422" s="399">
        <v>300.12599999999998</v>
      </c>
      <c r="R422" s="399">
        <v>55.59</v>
      </c>
      <c r="S422" s="399">
        <v>77.900000000000006</v>
      </c>
      <c r="T422" s="399">
        <v>185.74</v>
      </c>
      <c r="U422" s="399">
        <v>30185.370000000003</v>
      </c>
      <c r="V422" s="399">
        <v>79125.218640000006</v>
      </c>
      <c r="W422" s="399">
        <v>109310.58864</v>
      </c>
      <c r="X422" s="399">
        <v>93972.654719999991</v>
      </c>
      <c r="Y422" s="399">
        <v>0</v>
      </c>
      <c r="Z422" s="399">
        <v>16278.922626103316</v>
      </c>
      <c r="AA422" s="399">
        <v>0</v>
      </c>
      <c r="AB422" s="399">
        <v>0</v>
      </c>
      <c r="AC422" s="399">
        <v>0</v>
      </c>
      <c r="AD422" s="399">
        <v>8771.9862594822589</v>
      </c>
      <c r="AE422" s="399">
        <v>21410.882663154091</v>
      </c>
      <c r="AF422" s="399">
        <v>55746.690161820348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2891.7722994098262</v>
      </c>
      <c r="AM422" s="399"/>
      <c r="AN422" s="399">
        <v>310.89494812879713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3899.2891531395107</v>
      </c>
      <c r="BH422" s="399">
        <v>0</v>
      </c>
      <c r="BI422" s="399">
        <v>0</v>
      </c>
      <c r="BJ422" s="399">
        <v>0</v>
      </c>
      <c r="BK422" s="399">
        <v>0</v>
      </c>
      <c r="BL422" s="399">
        <v>0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59645.979314959855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93973.693599999999</v>
      </c>
      <c r="CJ422" s="399">
        <v>-15336.925039999987</v>
      </c>
      <c r="CK422" s="399"/>
      <c r="CL422" s="399"/>
      <c r="CM422" s="399"/>
      <c r="CN422" s="399"/>
      <c r="CO422" s="399">
        <v>-15337.933920000001</v>
      </c>
      <c r="CP422" s="399">
        <v>0</v>
      </c>
      <c r="CQ422" s="399">
        <v>31</v>
      </c>
      <c r="CR422" s="399">
        <v>-1985.5305087784363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-807.51936135458618</v>
      </c>
      <c r="DA422" s="399">
        <v>0</v>
      </c>
      <c r="DB422" s="399">
        <v>0</v>
      </c>
      <c r="DC422" s="399">
        <v>0</v>
      </c>
      <c r="DD422" s="399">
        <v>0</v>
      </c>
      <c r="DE422" s="399">
        <v>0</v>
      </c>
      <c r="DF422" s="399">
        <v>0</v>
      </c>
      <c r="DG422" s="399">
        <v>0</v>
      </c>
      <c r="DH422" s="399">
        <v>0</v>
      </c>
      <c r="DI422" s="399">
        <v>-1006.82996015143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-155.0348391923294</v>
      </c>
      <c r="DP422" s="399">
        <v>-16.146348080085374</v>
      </c>
      <c r="DQ422" s="399">
        <v>0</v>
      </c>
      <c r="DR422" s="399">
        <v>0</v>
      </c>
      <c r="DS422" s="399"/>
      <c r="DT422" s="399"/>
      <c r="DU422" s="399">
        <v>21410.882663154091</v>
      </c>
      <c r="DV422" s="399">
        <v>0</v>
      </c>
      <c r="DW422" s="399">
        <v>0</v>
      </c>
      <c r="DX422" s="399">
        <v>0</v>
      </c>
      <c r="DY422" s="399">
        <v>-15337.933920000003</v>
      </c>
      <c r="DZ422" s="399">
        <v>0</v>
      </c>
      <c r="EA422" s="399">
        <v>0</v>
      </c>
      <c r="EB422" s="399">
        <v>0</v>
      </c>
      <c r="EC422" s="399">
        <v>-13349.191107181161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221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422</v>
      </c>
      <c r="B423" s="399" t="s">
        <v>956</v>
      </c>
      <c r="C423" s="399" t="s">
        <v>2577</v>
      </c>
      <c r="D423" s="399" t="s">
        <v>533</v>
      </c>
      <c r="E423" s="399" t="s">
        <v>918</v>
      </c>
      <c r="F423" s="399" t="s">
        <v>1239</v>
      </c>
      <c r="G423" s="399" t="s">
        <v>1239</v>
      </c>
      <c r="H423" s="399" t="s">
        <v>1239</v>
      </c>
      <c r="I423" s="399" t="s">
        <v>1239</v>
      </c>
      <c r="J423" s="399" t="s">
        <v>2326</v>
      </c>
      <c r="K423" s="786">
        <v>44743</v>
      </c>
      <c r="L423" s="399">
        <v>0</v>
      </c>
      <c r="M423" s="399">
        <v>0</v>
      </c>
      <c r="N423" s="399">
        <v>0</v>
      </c>
      <c r="O423" s="399">
        <v>0</v>
      </c>
      <c r="P423" s="399">
        <v>0</v>
      </c>
      <c r="Q423" s="399">
        <v>0</v>
      </c>
      <c r="R423" s="399"/>
      <c r="S423" s="399"/>
      <c r="T423" s="399"/>
      <c r="U423" s="399"/>
      <c r="V423" s="399"/>
      <c r="W423" s="399"/>
      <c r="X423" s="399"/>
      <c r="Y423" s="399"/>
      <c r="Z423" s="399"/>
      <c r="AA423" s="399">
        <v>0</v>
      </c>
      <c r="AB423" s="399"/>
      <c r="AC423" s="399"/>
      <c r="AD423" s="399"/>
      <c r="AE423" s="399"/>
      <c r="AF423" s="399"/>
      <c r="AG423" s="399"/>
      <c r="AH423" s="399"/>
      <c r="AI423" s="399"/>
      <c r="AJ423" s="399"/>
      <c r="AK423" s="399"/>
      <c r="AL423" s="399"/>
      <c r="AM423" s="399"/>
      <c r="AN423" s="399"/>
      <c r="AO423" s="399"/>
      <c r="AP423" s="399"/>
      <c r="AQ423" s="399"/>
      <c r="AR423" s="399"/>
      <c r="AS423" s="399"/>
      <c r="AT423" s="399"/>
      <c r="AU423" s="399"/>
      <c r="AV423" s="399"/>
      <c r="AW423" s="399"/>
      <c r="AX423" s="399"/>
      <c r="AY423" s="399"/>
      <c r="AZ423" s="399">
        <v>0</v>
      </c>
      <c r="BA423" s="399"/>
      <c r="BB423" s="399"/>
      <c r="BC423" s="399"/>
      <c r="BD423" s="399"/>
      <c r="BE423" s="399"/>
      <c r="BF423" s="399"/>
      <c r="BG423" s="399"/>
      <c r="BH423" s="399"/>
      <c r="BI423" s="399">
        <v>74.66</v>
      </c>
      <c r="BJ423" s="399">
        <v>373.31</v>
      </c>
      <c r="BK423" s="399">
        <v>30584.11</v>
      </c>
      <c r="BL423" s="399">
        <v>1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/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/>
      <c r="CJ423" s="399">
        <v>-0.03</v>
      </c>
      <c r="CK423" s="399"/>
      <c r="CL423" s="399"/>
      <c r="CM423" s="399"/>
      <c r="CN423" s="399"/>
      <c r="CO423" s="399">
        <v>0</v>
      </c>
      <c r="CP423" s="399">
        <v>0</v>
      </c>
      <c r="CQ423" s="399">
        <v>31</v>
      </c>
      <c r="CR423" s="399"/>
      <c r="CS423" s="399"/>
      <c r="CT423" s="399"/>
      <c r="CU423" s="399"/>
      <c r="CV423" s="399"/>
      <c r="CW423" s="399"/>
      <c r="CX423" s="399"/>
      <c r="CY423" s="399"/>
      <c r="CZ423" s="399"/>
      <c r="DA423" s="399"/>
      <c r="DB423" s="399"/>
      <c r="DC423" s="399"/>
      <c r="DD423" s="399"/>
      <c r="DE423" s="399"/>
      <c r="DF423" s="399"/>
      <c r="DG423" s="399"/>
      <c r="DH423" s="399"/>
      <c r="DI423" s="399"/>
      <c r="DJ423" s="399"/>
      <c r="DK423" s="399">
        <v>0</v>
      </c>
      <c r="DL423" s="399"/>
      <c r="DM423" s="399"/>
      <c r="DN423" s="399"/>
      <c r="DO423" s="399"/>
      <c r="DP423" s="399"/>
      <c r="DQ423" s="399"/>
      <c r="DR423" s="399"/>
      <c r="DS423" s="399"/>
      <c r="DT423" s="399"/>
      <c r="DU423" s="399"/>
      <c r="DV423" s="399"/>
      <c r="DW423" s="399"/>
      <c r="DX423" s="399"/>
      <c r="DY423" s="399"/>
      <c r="DZ423" s="399"/>
      <c r="EA423" s="399"/>
      <c r="EB423" s="399"/>
      <c r="EC423" s="399"/>
      <c r="ED423" s="399"/>
      <c r="EE423" s="399"/>
      <c r="EF423" s="399"/>
      <c r="EG423" s="399"/>
      <c r="EH423" s="399"/>
      <c r="EI423" s="399"/>
      <c r="EJ423" s="399"/>
      <c r="EK423" s="399"/>
      <c r="EL423" s="399"/>
      <c r="EM423" s="399"/>
      <c r="EN423" s="399"/>
      <c r="EO423" s="399"/>
      <c r="EP423" s="399"/>
      <c r="EQ423" s="399"/>
      <c r="ER423" s="399"/>
      <c r="ES423" s="399"/>
      <c r="ET423" s="399"/>
      <c r="EU423" s="399"/>
      <c r="EV423" s="399">
        <v>221</v>
      </c>
      <c r="EW423" s="399"/>
      <c r="EX423" s="399"/>
      <c r="EY423" s="399"/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423</v>
      </c>
      <c r="B424" s="399" t="s">
        <v>956</v>
      </c>
      <c r="C424" s="399" t="s">
        <v>2325</v>
      </c>
      <c r="D424" s="399" t="s">
        <v>533</v>
      </c>
      <c r="E424" s="399" t="s">
        <v>918</v>
      </c>
      <c r="F424" s="399" t="s">
        <v>1239</v>
      </c>
      <c r="G424" s="399" t="s">
        <v>1239</v>
      </c>
      <c r="H424" s="399" t="s">
        <v>1239</v>
      </c>
      <c r="I424" s="399" t="s">
        <v>893</v>
      </c>
      <c r="J424" s="399" t="s">
        <v>2326</v>
      </c>
      <c r="K424" s="786">
        <v>44743</v>
      </c>
      <c r="L424" s="399">
        <v>0</v>
      </c>
      <c r="M424" s="399">
        <v>0</v>
      </c>
      <c r="N424" s="399">
        <v>16.074999999999999</v>
      </c>
      <c r="O424" s="399">
        <v>16.074999999999999</v>
      </c>
      <c r="P424" s="399">
        <v>16.074999999999999</v>
      </c>
      <c r="Q424" s="399">
        <v>16.074999999999999</v>
      </c>
      <c r="R424" s="399"/>
      <c r="S424" s="399">
        <v>4433.21</v>
      </c>
      <c r="T424" s="399">
        <v>185.74</v>
      </c>
      <c r="U424" s="399"/>
      <c r="V424" s="399">
        <v>74249.621249999997</v>
      </c>
      <c r="W424" s="399">
        <v>74249.621249999997</v>
      </c>
      <c r="X424" s="399">
        <v>38750.716500000002</v>
      </c>
      <c r="Y424" s="399">
        <v>0</v>
      </c>
      <c r="Z424" s="399">
        <v>871.91273403374191</v>
      </c>
      <c r="AA424" s="399">
        <v>0</v>
      </c>
      <c r="AB424" s="399">
        <v>0</v>
      </c>
      <c r="AC424" s="399">
        <v>0</v>
      </c>
      <c r="AD424" s="399">
        <v>15458.089321965461</v>
      </c>
      <c r="AE424" s="399">
        <v>54553.463169735543</v>
      </c>
      <c r="AF424" s="399">
        <v>2985.8394286108569</v>
      </c>
      <c r="AG424" s="399">
        <v>0</v>
      </c>
      <c r="AH424" s="399">
        <v>0</v>
      </c>
      <c r="AI424" s="399">
        <v>0</v>
      </c>
      <c r="AJ424" s="399">
        <v>0</v>
      </c>
      <c r="AK424" s="399">
        <v>0</v>
      </c>
      <c r="AL424" s="399">
        <v>154.88574702962407</v>
      </c>
      <c r="AM424" s="399"/>
      <c r="AN424" s="399">
        <v>16.651793883803517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208.84919379433185</v>
      </c>
      <c r="BH424" s="399">
        <v>0</v>
      </c>
      <c r="BI424" s="399">
        <v>0</v>
      </c>
      <c r="BJ424" s="399">
        <v>0</v>
      </c>
      <c r="BK424" s="399">
        <v>0</v>
      </c>
      <c r="BL424" s="399">
        <v>0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3194.6886224051887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38762.7696</v>
      </c>
      <c r="CJ424" s="399">
        <v>-35486.881649999981</v>
      </c>
      <c r="CK424" s="399"/>
      <c r="CL424" s="399"/>
      <c r="CM424" s="399"/>
      <c r="CN424" s="399"/>
      <c r="CO424" s="399">
        <v>-35498.904749999994</v>
      </c>
      <c r="CP424" s="399">
        <v>0</v>
      </c>
      <c r="CQ424" s="399">
        <v>31</v>
      </c>
      <c r="CR424" s="399">
        <v>-1486.1146404035608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-1423.0193764316336</v>
      </c>
      <c r="DA424" s="399">
        <v>0</v>
      </c>
      <c r="DB424" s="399">
        <v>0</v>
      </c>
      <c r="DC424" s="399">
        <v>0</v>
      </c>
      <c r="DD424" s="399">
        <v>0</v>
      </c>
      <c r="DE424" s="399">
        <v>0</v>
      </c>
      <c r="DF424" s="399">
        <v>0</v>
      </c>
      <c r="DG424" s="399">
        <v>0</v>
      </c>
      <c r="DH424" s="399">
        <v>0</v>
      </c>
      <c r="DI424" s="399">
        <v>-53.926656169189755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-8.3037958724558791</v>
      </c>
      <c r="DP424" s="399">
        <v>-0.86481193028052594</v>
      </c>
      <c r="DQ424" s="399">
        <v>0</v>
      </c>
      <c r="DR424" s="399">
        <v>0</v>
      </c>
      <c r="DS424" s="399"/>
      <c r="DT424" s="399"/>
      <c r="DU424" s="399"/>
      <c r="DV424" s="399">
        <v>54553.463169735543</v>
      </c>
      <c r="DW424" s="399">
        <v>0</v>
      </c>
      <c r="DX424" s="399">
        <v>0</v>
      </c>
      <c r="DY424" s="399">
        <v>-35498.904749999994</v>
      </c>
      <c r="DZ424" s="399">
        <v>0</v>
      </c>
      <c r="EA424" s="399">
        <v>0</v>
      </c>
      <c r="EB424" s="399">
        <v>0</v>
      </c>
      <c r="EC424" s="399">
        <v>-34012.825013730151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221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424</v>
      </c>
      <c r="B425" s="399" t="s">
        <v>956</v>
      </c>
      <c r="C425" s="399" t="s">
        <v>2325</v>
      </c>
      <c r="D425" s="399" t="s">
        <v>533</v>
      </c>
      <c r="E425" s="399" t="s">
        <v>918</v>
      </c>
      <c r="F425" s="399" t="s">
        <v>1239</v>
      </c>
      <c r="G425" s="399" t="s">
        <v>1239</v>
      </c>
      <c r="H425" s="399" t="s">
        <v>1239</v>
      </c>
      <c r="I425" s="399" t="s">
        <v>2323</v>
      </c>
      <c r="J425" s="399" t="s">
        <v>2326</v>
      </c>
      <c r="K425" s="786">
        <v>44743</v>
      </c>
      <c r="L425" s="399">
        <v>0</v>
      </c>
      <c r="M425" s="399">
        <v>0</v>
      </c>
      <c r="N425" s="399">
        <v>428.73</v>
      </c>
      <c r="O425" s="399">
        <v>428.73</v>
      </c>
      <c r="P425" s="399">
        <v>428.73</v>
      </c>
      <c r="Q425" s="399">
        <v>428.73</v>
      </c>
      <c r="R425" s="399"/>
      <c r="S425" s="399">
        <v>77.900000000000006</v>
      </c>
      <c r="T425" s="399">
        <v>185.74</v>
      </c>
      <c r="U425" s="399"/>
      <c r="V425" s="399">
        <v>113030.37720000002</v>
      </c>
      <c r="W425" s="399">
        <v>113030.37720000002</v>
      </c>
      <c r="X425" s="399">
        <v>111349.7556</v>
      </c>
      <c r="Y425" s="399">
        <v>0</v>
      </c>
      <c r="Z425" s="399">
        <v>23254.441459551243</v>
      </c>
      <c r="AA425" s="399">
        <v>0</v>
      </c>
      <c r="AB425" s="399">
        <v>0</v>
      </c>
      <c r="AC425" s="399">
        <v>0</v>
      </c>
      <c r="AD425" s="399">
        <v>0</v>
      </c>
      <c r="AE425" s="399">
        <v>0</v>
      </c>
      <c r="AF425" s="399">
        <v>79634.148567858967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4130.8968164236849</v>
      </c>
      <c r="AM425" s="399"/>
      <c r="AN425" s="399">
        <v>444.11344272491959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5570.134672189356</v>
      </c>
      <c r="BH425" s="399">
        <v>0</v>
      </c>
      <c r="BI425" s="399">
        <v>0</v>
      </c>
      <c r="BJ425" s="399">
        <v>0</v>
      </c>
      <c r="BK425" s="399">
        <v>0</v>
      </c>
      <c r="BL425" s="399">
        <v>0</v>
      </c>
      <c r="BM425" s="399"/>
      <c r="BN425" s="399"/>
      <c r="BO425" s="399"/>
      <c r="BP425" s="399"/>
      <c r="BQ425" s="399"/>
      <c r="BR425" s="399"/>
      <c r="BS425" s="399"/>
      <c r="BT425" s="399"/>
      <c r="BU425" s="399"/>
      <c r="BV425" s="399">
        <v>85204.283240048317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111349.7556</v>
      </c>
      <c r="CJ425" s="399">
        <v>-1680.6515999999974</v>
      </c>
      <c r="CK425" s="399"/>
      <c r="CL425" s="399"/>
      <c r="CM425" s="399"/>
      <c r="CN425" s="399"/>
      <c r="CO425" s="399">
        <v>-1680.6216000000009</v>
      </c>
      <c r="CP425" s="399">
        <v>0</v>
      </c>
      <c r="CQ425" s="399">
        <v>31</v>
      </c>
      <c r="CR425" s="399">
        <v>-1682.7889594204607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0</v>
      </c>
      <c r="DA425" s="399">
        <v>0</v>
      </c>
      <c r="DB425" s="399">
        <v>0</v>
      </c>
      <c r="DC425" s="399">
        <v>0</v>
      </c>
      <c r="DD425" s="399">
        <v>0</v>
      </c>
      <c r="DE425" s="399">
        <v>0</v>
      </c>
      <c r="DF425" s="399">
        <v>0</v>
      </c>
      <c r="DG425" s="399">
        <v>0</v>
      </c>
      <c r="DH425" s="399">
        <v>0</v>
      </c>
      <c r="DI425" s="399">
        <v>-1438.2566282685366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-221.46727243533496</v>
      </c>
      <c r="DP425" s="399">
        <v>-23.065058716589078</v>
      </c>
      <c r="DQ425" s="399">
        <v>0</v>
      </c>
      <c r="DR425" s="399">
        <v>0</v>
      </c>
      <c r="DS425" s="399"/>
      <c r="DT425" s="399"/>
      <c r="DU425" s="399"/>
      <c r="DV425" s="399">
        <v>0</v>
      </c>
      <c r="DW425" s="399">
        <v>0</v>
      </c>
      <c r="DX425" s="399">
        <v>0</v>
      </c>
      <c r="DY425" s="399">
        <v>-1680.6215999999986</v>
      </c>
      <c r="DZ425" s="399">
        <v>0</v>
      </c>
      <c r="EA425" s="399">
        <v>0</v>
      </c>
      <c r="EB425" s="399">
        <v>0</v>
      </c>
      <c r="EC425" s="399">
        <v>0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221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425</v>
      </c>
      <c r="B426" s="399" t="s">
        <v>956</v>
      </c>
      <c r="C426" s="399" t="s">
        <v>2325</v>
      </c>
      <c r="D426" s="399" t="s">
        <v>533</v>
      </c>
      <c r="E426" s="399" t="s">
        <v>918</v>
      </c>
      <c r="F426" s="399" t="s">
        <v>1239</v>
      </c>
      <c r="G426" s="399" t="s">
        <v>1239</v>
      </c>
      <c r="H426" s="399" t="s">
        <v>1239</v>
      </c>
      <c r="I426" s="399" t="s">
        <v>1239</v>
      </c>
      <c r="J426" s="399" t="s">
        <v>2326</v>
      </c>
      <c r="K426" s="786">
        <v>44743</v>
      </c>
      <c r="L426" s="399">
        <v>1263</v>
      </c>
      <c r="M426" s="399">
        <v>1263</v>
      </c>
      <c r="N426" s="399">
        <v>0</v>
      </c>
      <c r="O426" s="399">
        <v>0</v>
      </c>
      <c r="P426" s="399">
        <v>0</v>
      </c>
      <c r="Q426" s="399">
        <v>0</v>
      </c>
      <c r="R426" s="399">
        <v>55.59</v>
      </c>
      <c r="S426" s="399"/>
      <c r="T426" s="399"/>
      <c r="U426" s="399">
        <v>70210.17</v>
      </c>
      <c r="V426" s="399"/>
      <c r="W426" s="399">
        <v>70210.17</v>
      </c>
      <c r="X426" s="399">
        <v>37271.130000000005</v>
      </c>
      <c r="Y426" s="399">
        <v>0</v>
      </c>
      <c r="Z426" s="399">
        <v>0</v>
      </c>
      <c r="AA426" s="399">
        <v>0</v>
      </c>
      <c r="AB426" s="399">
        <v>0</v>
      </c>
      <c r="AC426" s="399">
        <v>0</v>
      </c>
      <c r="AD426" s="399">
        <v>20403.349255480836</v>
      </c>
      <c r="AE426" s="399">
        <v>49801.003321479955</v>
      </c>
      <c r="AF426" s="399"/>
      <c r="AG426" s="399"/>
      <c r="AH426" s="399"/>
      <c r="AI426" s="399">
        <v>0</v>
      </c>
      <c r="AJ426" s="399">
        <v>0</v>
      </c>
      <c r="AK426" s="399">
        <v>0</v>
      </c>
      <c r="AL426" s="399">
        <v>0</v>
      </c>
      <c r="AM426" s="399"/>
      <c r="AN426" s="399">
        <v>0</v>
      </c>
      <c r="AO426" s="399">
        <v>0</v>
      </c>
      <c r="AP426" s="399">
        <v>0</v>
      </c>
      <c r="AQ426" s="399">
        <v>0</v>
      </c>
      <c r="AR426" s="399">
        <v>0</v>
      </c>
      <c r="AS426" s="399"/>
      <c r="AT426" s="399"/>
      <c r="AU426" s="399">
        <v>0</v>
      </c>
      <c r="AV426" s="399">
        <v>0</v>
      </c>
      <c r="AW426" s="399">
        <v>0</v>
      </c>
      <c r="AX426" s="399"/>
      <c r="AY426" s="399"/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/>
      <c r="BG426" s="399">
        <v>0</v>
      </c>
      <c r="BH426" s="399">
        <v>0</v>
      </c>
      <c r="BI426" s="399">
        <v>94.29</v>
      </c>
      <c r="BJ426" s="399">
        <v>471.47</v>
      </c>
      <c r="BK426" s="399">
        <v>37595.56</v>
      </c>
      <c r="BL426" s="399">
        <v>6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0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37271.130000000005</v>
      </c>
      <c r="CJ426" s="399">
        <v>-32939.069999999978</v>
      </c>
      <c r="CK426" s="399"/>
      <c r="CL426" s="399"/>
      <c r="CM426" s="399"/>
      <c r="CN426" s="399"/>
      <c r="CO426" s="399">
        <v>-32939.040000000001</v>
      </c>
      <c r="CP426" s="399">
        <v>0</v>
      </c>
      <c r="CQ426" s="399">
        <v>31</v>
      </c>
      <c r="CR426" s="399">
        <v>-1878.2632659131559</v>
      </c>
      <c r="CS426" s="399">
        <v>0</v>
      </c>
      <c r="CT426" s="399">
        <v>0</v>
      </c>
      <c r="CU426" s="399">
        <v>0</v>
      </c>
      <c r="CV426" s="399">
        <v>0</v>
      </c>
      <c r="CW426" s="399"/>
      <c r="CX426" s="399"/>
      <c r="CY426" s="399"/>
      <c r="CZ426" s="399">
        <v>-1878.2632659131559</v>
      </c>
      <c r="DA426" s="399">
        <v>0</v>
      </c>
      <c r="DB426" s="399">
        <v>0</v>
      </c>
      <c r="DC426" s="399"/>
      <c r="DD426" s="399"/>
      <c r="DE426" s="399">
        <v>0</v>
      </c>
      <c r="DF426" s="399">
        <v>0</v>
      </c>
      <c r="DG426" s="399">
        <v>0</v>
      </c>
      <c r="DH426" s="399">
        <v>0</v>
      </c>
      <c r="DI426" s="399">
        <v>0</v>
      </c>
      <c r="DJ426" s="399"/>
      <c r="DK426" s="399">
        <v>0</v>
      </c>
      <c r="DL426" s="399">
        <v>0</v>
      </c>
      <c r="DM426" s="399"/>
      <c r="DN426" s="399">
        <v>0</v>
      </c>
      <c r="DO426" s="399">
        <v>0</v>
      </c>
      <c r="DP426" s="399">
        <v>0</v>
      </c>
      <c r="DQ426" s="399">
        <v>0</v>
      </c>
      <c r="DR426" s="399">
        <v>0</v>
      </c>
      <c r="DS426" s="399"/>
      <c r="DT426" s="399"/>
      <c r="DU426" s="399">
        <v>49801.003321479955</v>
      </c>
      <c r="DV426" s="399"/>
      <c r="DW426" s="399">
        <v>0</v>
      </c>
      <c r="DX426" s="399">
        <v>0</v>
      </c>
      <c r="DY426" s="399">
        <v>-32939.039999999994</v>
      </c>
      <c r="DZ426" s="399"/>
      <c r="EA426" s="399">
        <v>0</v>
      </c>
      <c r="EB426" s="399"/>
      <c r="EC426" s="399">
        <v>-31049.776000681042</v>
      </c>
      <c r="ED426" s="399"/>
      <c r="EE426" s="399">
        <v>0</v>
      </c>
      <c r="EF426" s="399">
        <v>0</v>
      </c>
      <c r="EG426" s="399"/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/>
      <c r="EN426" s="399"/>
      <c r="EO426" s="399">
        <v>0</v>
      </c>
      <c r="EP426" s="399">
        <v>0</v>
      </c>
      <c r="EQ426" s="399"/>
      <c r="ER426" s="399">
        <v>0</v>
      </c>
      <c r="ES426" s="399"/>
      <c r="ET426" s="399">
        <v>0</v>
      </c>
      <c r="EU426" s="399"/>
      <c r="EV426" s="399">
        <v>221</v>
      </c>
      <c r="EW426" s="399"/>
      <c r="EX426" s="399"/>
      <c r="EY426" s="399"/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426</v>
      </c>
      <c r="B427" s="399" t="s">
        <v>956</v>
      </c>
      <c r="C427" s="399" t="s">
        <v>2328</v>
      </c>
      <c r="D427" s="399" t="s">
        <v>2337</v>
      </c>
      <c r="E427" s="399" t="s">
        <v>894</v>
      </c>
      <c r="F427" s="399" t="s">
        <v>1239</v>
      </c>
      <c r="G427" s="399" t="s">
        <v>1239</v>
      </c>
      <c r="H427" s="399" t="s">
        <v>1239</v>
      </c>
      <c r="I427" s="399" t="s">
        <v>1239</v>
      </c>
      <c r="J427" s="399" t="s">
        <v>2326</v>
      </c>
      <c r="K427" s="786">
        <v>44743</v>
      </c>
      <c r="L427" s="399">
        <v>0</v>
      </c>
      <c r="M427" s="399">
        <v>0</v>
      </c>
      <c r="N427" s="399">
        <v>1206.8920000000001</v>
      </c>
      <c r="O427" s="399">
        <v>1206.8920000000001</v>
      </c>
      <c r="P427" s="399">
        <v>1206.8920000000001</v>
      </c>
      <c r="Q427" s="399">
        <v>1206.8920000000001</v>
      </c>
      <c r="R427" s="399"/>
      <c r="S427" s="399">
        <v>825.6</v>
      </c>
      <c r="T427" s="399">
        <v>185.74</v>
      </c>
      <c r="U427" s="399"/>
      <c r="V427" s="399">
        <v>1220578.1552800001</v>
      </c>
      <c r="W427" s="399">
        <v>1220578.1552800001</v>
      </c>
      <c r="X427" s="399">
        <v>758773.00040000002</v>
      </c>
      <c r="Y427" s="399">
        <v>0</v>
      </c>
      <c r="Z427" s="399">
        <v>75243.882190411488</v>
      </c>
      <c r="AA427" s="399">
        <v>0</v>
      </c>
      <c r="AB427" s="399">
        <v>0</v>
      </c>
      <c r="AC427" s="399">
        <v>0</v>
      </c>
      <c r="AD427" s="399">
        <v>157296.29362087985</v>
      </c>
      <c r="AE427" s="399">
        <v>708771.20249060728</v>
      </c>
      <c r="AF427" s="399">
        <v>224173.29515863233</v>
      </c>
      <c r="AG427" s="399">
        <v>0</v>
      </c>
      <c r="AH427" s="399">
        <v>0</v>
      </c>
      <c r="AI427" s="399">
        <v>0</v>
      </c>
      <c r="AJ427" s="399">
        <v>0</v>
      </c>
      <c r="AK427" s="399">
        <v>0</v>
      </c>
      <c r="AL427" s="399">
        <v>11628.638818294065</v>
      </c>
      <c r="AM427" s="399"/>
      <c r="AN427" s="399">
        <v>2861.3808356848613</v>
      </c>
      <c r="AO427" s="399">
        <v>0</v>
      </c>
      <c r="AP427" s="399">
        <v>0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40612.518106383301</v>
      </c>
      <c r="BH427" s="399">
        <v>0</v>
      </c>
      <c r="BI427" s="399">
        <v>335.74</v>
      </c>
      <c r="BJ427" s="399">
        <v>1671.96</v>
      </c>
      <c r="BK427" s="399">
        <v>116678.7</v>
      </c>
      <c r="BL427" s="399">
        <v>5577</v>
      </c>
      <c r="BM427" s="399"/>
      <c r="BN427" s="399"/>
      <c r="BO427" s="399"/>
      <c r="BP427" s="399"/>
      <c r="BQ427" s="399"/>
      <c r="BR427" s="399">
        <v>91047.932480000003</v>
      </c>
      <c r="BS427" s="399"/>
      <c r="BT427" s="399"/>
      <c r="BU427" s="399"/>
      <c r="BV427" s="399">
        <v>264785.8132650156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667723.96140000003</v>
      </c>
      <c r="CJ427" s="399">
        <v>-406385.81075999991</v>
      </c>
      <c r="CK427" s="399"/>
      <c r="CL427" s="399"/>
      <c r="CM427" s="399"/>
      <c r="CN427" s="399"/>
      <c r="CO427" s="399">
        <v>-461805.15488000005</v>
      </c>
      <c r="CP427" s="399">
        <v>0</v>
      </c>
      <c r="CQ427" s="399">
        <v>31</v>
      </c>
      <c r="CR427" s="399">
        <v>-19905.944680291344</v>
      </c>
      <c r="CS427" s="399">
        <v>0</v>
      </c>
      <c r="CT427" s="399">
        <v>0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-14480.164333461667</v>
      </c>
      <c r="DA427" s="399">
        <v>0</v>
      </c>
      <c r="DB427" s="399">
        <v>0</v>
      </c>
      <c r="DC427" s="399">
        <v>0</v>
      </c>
      <c r="DD427" s="399">
        <v>0</v>
      </c>
      <c r="DE427" s="399">
        <v>0</v>
      </c>
      <c r="DF427" s="399">
        <v>0</v>
      </c>
      <c r="DG427" s="399">
        <v>0</v>
      </c>
      <c r="DH427" s="399">
        <v>0</v>
      </c>
      <c r="DI427" s="399">
        <v>-4653.735179374431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-623.4391793530358</v>
      </c>
      <c r="DP427" s="399">
        <v>-148.60598810217698</v>
      </c>
      <c r="DQ427" s="399">
        <v>0</v>
      </c>
      <c r="DR427" s="399">
        <v>0</v>
      </c>
      <c r="DS427" s="399"/>
      <c r="DT427" s="399"/>
      <c r="DU427" s="399"/>
      <c r="DV427" s="399">
        <v>708771.20249060728</v>
      </c>
      <c r="DW427" s="399">
        <v>0</v>
      </c>
      <c r="DX427" s="399">
        <v>0</v>
      </c>
      <c r="DY427" s="399">
        <v>-461805.15488000005</v>
      </c>
      <c r="DZ427" s="399">
        <v>0</v>
      </c>
      <c r="EA427" s="399">
        <v>0</v>
      </c>
      <c r="EB427" s="399">
        <v>0</v>
      </c>
      <c r="EC427" s="399">
        <v>-441902.48399221891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0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221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427</v>
      </c>
      <c r="B428" s="399" t="s">
        <v>2329</v>
      </c>
      <c r="C428" s="399" t="s">
        <v>2328</v>
      </c>
      <c r="D428" s="399" t="s">
        <v>2337</v>
      </c>
      <c r="E428" s="399" t="s">
        <v>894</v>
      </c>
      <c r="F428" s="399" t="s">
        <v>1239</v>
      </c>
      <c r="G428" s="399" t="s">
        <v>1239</v>
      </c>
      <c r="H428" s="399" t="s">
        <v>1239</v>
      </c>
      <c r="I428" s="399" t="s">
        <v>1239</v>
      </c>
      <c r="J428" s="399" t="s">
        <v>2326</v>
      </c>
      <c r="K428" s="786">
        <v>44743</v>
      </c>
      <c r="L428" s="399">
        <v>0</v>
      </c>
      <c r="M428" s="399">
        <v>0</v>
      </c>
      <c r="N428" s="399">
        <v>-0.32800000000000001</v>
      </c>
      <c r="O428" s="399">
        <v>-0.32800000000000001</v>
      </c>
      <c r="P428" s="399">
        <v>-0.32800000000000001</v>
      </c>
      <c r="Q428" s="399">
        <v>-0.32800000000000001</v>
      </c>
      <c r="R428" s="399"/>
      <c r="S428" s="399">
        <v>825.6</v>
      </c>
      <c r="T428" s="399">
        <v>185.74</v>
      </c>
      <c r="U428" s="399"/>
      <c r="V428" s="399">
        <v>-331.71952000000005</v>
      </c>
      <c r="W428" s="399">
        <v>-331.71952000000005</v>
      </c>
      <c r="X428" s="399">
        <v>-206.21359999999999</v>
      </c>
      <c r="Y428" s="399">
        <v>0</v>
      </c>
      <c r="Z428" s="399">
        <v>-20.449214476900146</v>
      </c>
      <c r="AA428" s="399">
        <v>0</v>
      </c>
      <c r="AB428" s="399">
        <v>0</v>
      </c>
      <c r="AC428" s="399">
        <v>0</v>
      </c>
      <c r="AD428" s="399">
        <v>-42.748799650381798</v>
      </c>
      <c r="AE428" s="399">
        <v>-192.62448870066186</v>
      </c>
      <c r="AF428" s="399">
        <v>-60.92412644381718</v>
      </c>
      <c r="AG428" s="399">
        <v>0</v>
      </c>
      <c r="AH428" s="399">
        <v>0</v>
      </c>
      <c r="AI428" s="399">
        <v>0</v>
      </c>
      <c r="AJ428" s="399">
        <v>0</v>
      </c>
      <c r="AK428" s="399">
        <v>0</v>
      </c>
      <c r="AL428" s="399">
        <v>-3.1603437029994841</v>
      </c>
      <c r="AM428" s="399"/>
      <c r="AN428" s="399">
        <v>-0.77764449023163174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-11.037363690283573</v>
      </c>
      <c r="BH428" s="399">
        <v>0</v>
      </c>
      <c r="BI428" s="399">
        <v>-0.1</v>
      </c>
      <c r="BJ428" s="399">
        <v>-0.47</v>
      </c>
      <c r="BK428" s="399">
        <v>-35</v>
      </c>
      <c r="BL428" s="399">
        <v>0</v>
      </c>
      <c r="BM428" s="399"/>
      <c r="BN428" s="399"/>
      <c r="BO428" s="399"/>
      <c r="BP428" s="399"/>
      <c r="BQ428" s="399"/>
      <c r="BR428" s="399">
        <v>-24.744319999999998</v>
      </c>
      <c r="BS428" s="399"/>
      <c r="BT428" s="399"/>
      <c r="BU428" s="399"/>
      <c r="BV428" s="399">
        <v>-71.961490134100757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-182.57580000000002</v>
      </c>
      <c r="CJ428" s="399">
        <v>109.30763999999999</v>
      </c>
      <c r="CK428" s="399"/>
      <c r="CL428" s="399"/>
      <c r="CM428" s="399"/>
      <c r="CN428" s="399"/>
      <c r="CO428" s="399">
        <v>125.50592000000002</v>
      </c>
      <c r="CP428" s="399">
        <v>0</v>
      </c>
      <c r="CQ428" s="399">
        <v>31</v>
      </c>
      <c r="CR428" s="399">
        <v>5.4098874258305898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3.935309788593699</v>
      </c>
      <c r="DA428" s="399">
        <v>0</v>
      </c>
      <c r="DB428" s="399">
        <v>0</v>
      </c>
      <c r="DC428" s="399">
        <v>0</v>
      </c>
      <c r="DD428" s="399">
        <v>0</v>
      </c>
      <c r="DE428" s="399">
        <v>0</v>
      </c>
      <c r="DF428" s="399">
        <v>0</v>
      </c>
      <c r="DG428" s="399">
        <v>0</v>
      </c>
      <c r="DH428" s="399">
        <v>0</v>
      </c>
      <c r="DI428" s="399">
        <v>1.2647570278324949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0.16943359540687641</v>
      </c>
      <c r="DP428" s="399">
        <v>4.0387013997535859E-2</v>
      </c>
      <c r="DQ428" s="399">
        <v>0</v>
      </c>
      <c r="DR428" s="399">
        <v>0</v>
      </c>
      <c r="DS428" s="399"/>
      <c r="DT428" s="399"/>
      <c r="DU428" s="399"/>
      <c r="DV428" s="399">
        <v>-192.62448870066186</v>
      </c>
      <c r="DW428" s="399">
        <v>0</v>
      </c>
      <c r="DX428" s="399">
        <v>0</v>
      </c>
      <c r="DY428" s="399">
        <v>125.50592000000003</v>
      </c>
      <c r="DZ428" s="399">
        <v>0</v>
      </c>
      <c r="EA428" s="399">
        <v>0</v>
      </c>
      <c r="EB428" s="399">
        <v>0</v>
      </c>
      <c r="EC428" s="399">
        <v>120.0969223007923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221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428</v>
      </c>
      <c r="B429" s="399" t="s">
        <v>2330</v>
      </c>
      <c r="C429" s="399" t="s">
        <v>2328</v>
      </c>
      <c r="D429" s="399" t="s">
        <v>2337</v>
      </c>
      <c r="E429" s="399" t="s">
        <v>894</v>
      </c>
      <c r="F429" s="399" t="s">
        <v>1239</v>
      </c>
      <c r="G429" s="399" t="s">
        <v>1239</v>
      </c>
      <c r="H429" s="399" t="s">
        <v>1239</v>
      </c>
      <c r="I429" s="399" t="s">
        <v>1239</v>
      </c>
      <c r="J429" s="399" t="s">
        <v>2326</v>
      </c>
      <c r="K429" s="786">
        <v>44743</v>
      </c>
      <c r="L429" s="399">
        <v>0</v>
      </c>
      <c r="M429" s="399">
        <v>0</v>
      </c>
      <c r="N429" s="399">
        <v>46.091999999999999</v>
      </c>
      <c r="O429" s="399">
        <v>46.091999999999999</v>
      </c>
      <c r="P429" s="399">
        <v>46.091999999999999</v>
      </c>
      <c r="Q429" s="399">
        <v>46.091999999999999</v>
      </c>
      <c r="R429" s="399"/>
      <c r="S429" s="399">
        <v>825.6</v>
      </c>
      <c r="T429" s="399">
        <v>185.74</v>
      </c>
      <c r="U429" s="399"/>
      <c r="V429" s="399">
        <v>46614.683280000005</v>
      </c>
      <c r="W429" s="399">
        <v>46614.683280000005</v>
      </c>
      <c r="X429" s="399">
        <v>28978.040399999998</v>
      </c>
      <c r="Y429" s="399">
        <v>0</v>
      </c>
      <c r="Z429" s="399">
        <v>2873.613395333175</v>
      </c>
      <c r="AA429" s="399">
        <v>0</v>
      </c>
      <c r="AB429" s="399">
        <v>0</v>
      </c>
      <c r="AC429" s="399">
        <v>0</v>
      </c>
      <c r="AD429" s="399">
        <v>6007.2490045286513</v>
      </c>
      <c r="AE429" s="399">
        <v>27068.438820703981</v>
      </c>
      <c r="AF429" s="399">
        <v>8561.3257196598206</v>
      </c>
      <c r="AG429" s="399">
        <v>0</v>
      </c>
      <c r="AH429" s="399">
        <v>0</v>
      </c>
      <c r="AI429" s="399">
        <v>0</v>
      </c>
      <c r="AJ429" s="399">
        <v>0</v>
      </c>
      <c r="AK429" s="399">
        <v>0</v>
      </c>
      <c r="AL429" s="399">
        <v>444.10537182515912</v>
      </c>
      <c r="AM429" s="399"/>
      <c r="AN429" s="399">
        <v>109.27801781633039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1551.0188024772879</v>
      </c>
      <c r="BH429" s="399">
        <v>0</v>
      </c>
      <c r="BI429" s="399">
        <v>11.41</v>
      </c>
      <c r="BJ429" s="399">
        <v>56.97</v>
      </c>
      <c r="BK429" s="399">
        <v>11397.99</v>
      </c>
      <c r="BL429" s="399">
        <v>188</v>
      </c>
      <c r="BM429" s="399"/>
      <c r="BN429" s="399"/>
      <c r="BO429" s="399"/>
      <c r="BP429" s="399"/>
      <c r="BQ429" s="399"/>
      <c r="BR429" s="399">
        <v>3477.18048</v>
      </c>
      <c r="BS429" s="399"/>
      <c r="BT429" s="399"/>
      <c r="BU429" s="399"/>
      <c r="BV429" s="399">
        <v>10112.344522137108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25499.753400000001</v>
      </c>
      <c r="CJ429" s="399">
        <v>-15521.234759999999</v>
      </c>
      <c r="CK429" s="399"/>
      <c r="CL429" s="399"/>
      <c r="CM429" s="399"/>
      <c r="CN429" s="399"/>
      <c r="CO429" s="399">
        <v>-17636.642880000003</v>
      </c>
      <c r="CP429" s="399">
        <v>0</v>
      </c>
      <c r="CQ429" s="399">
        <v>31</v>
      </c>
      <c r="CR429" s="399">
        <v>-760.22113180300221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-553.00700846298969</v>
      </c>
      <c r="DA429" s="399">
        <v>0</v>
      </c>
      <c r="DB429" s="399">
        <v>0</v>
      </c>
      <c r="DC429" s="399">
        <v>0</v>
      </c>
      <c r="DD429" s="399">
        <v>0</v>
      </c>
      <c r="DE429" s="399">
        <v>0</v>
      </c>
      <c r="DF429" s="399">
        <v>0</v>
      </c>
      <c r="DG429" s="399">
        <v>0</v>
      </c>
      <c r="DH429" s="399">
        <v>0</v>
      </c>
      <c r="DI429" s="399">
        <v>-177.72921014285157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-23.809552681383309</v>
      </c>
      <c r="DP429" s="399">
        <v>-5.6753605157756795</v>
      </c>
      <c r="DQ429" s="399">
        <v>0</v>
      </c>
      <c r="DR429" s="399">
        <v>0</v>
      </c>
      <c r="DS429" s="399"/>
      <c r="DT429" s="399"/>
      <c r="DU429" s="399"/>
      <c r="DV429" s="399">
        <v>27068.438820703981</v>
      </c>
      <c r="DW429" s="399">
        <v>0</v>
      </c>
      <c r="DX429" s="399">
        <v>0</v>
      </c>
      <c r="DY429" s="399">
        <v>-17636.642880000003</v>
      </c>
      <c r="DZ429" s="399">
        <v>0</v>
      </c>
      <c r="EA429" s="399">
        <v>0</v>
      </c>
      <c r="EB429" s="399">
        <v>0</v>
      </c>
      <c r="EC429" s="399">
        <v>-16876.546776488165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0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221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429</v>
      </c>
      <c r="B430" s="399" t="s">
        <v>956</v>
      </c>
      <c r="C430" s="399" t="s">
        <v>2328</v>
      </c>
      <c r="D430" s="399" t="s">
        <v>1824</v>
      </c>
      <c r="E430" s="399" t="s">
        <v>2338</v>
      </c>
      <c r="F430" s="399" t="s">
        <v>1239</v>
      </c>
      <c r="G430" s="399" t="s">
        <v>1239</v>
      </c>
      <c r="H430" s="399" t="s">
        <v>1239</v>
      </c>
      <c r="I430" s="399" t="s">
        <v>1239</v>
      </c>
      <c r="J430" s="399" t="s">
        <v>2326</v>
      </c>
      <c r="K430" s="786">
        <v>44743</v>
      </c>
      <c r="L430" s="399">
        <v>0</v>
      </c>
      <c r="M430" s="399">
        <v>0</v>
      </c>
      <c r="N430" s="399">
        <v>21.2</v>
      </c>
      <c r="O430" s="399">
        <v>21.2</v>
      </c>
      <c r="P430" s="399">
        <v>21.2</v>
      </c>
      <c r="Q430" s="399">
        <v>21.2</v>
      </c>
      <c r="R430" s="399"/>
      <c r="S430" s="399">
        <v>825.6</v>
      </c>
      <c r="T430" s="399">
        <v>185.74</v>
      </c>
      <c r="U430" s="399"/>
      <c r="V430" s="399">
        <v>21440.408000000003</v>
      </c>
      <c r="W430" s="399">
        <v>21440.408000000003</v>
      </c>
      <c r="X430" s="399">
        <v>13328.439999999999</v>
      </c>
      <c r="Y430" s="399">
        <v>0</v>
      </c>
      <c r="Z430" s="399">
        <v>1321.7175210679361</v>
      </c>
      <c r="AA430" s="399">
        <v>0</v>
      </c>
      <c r="AB430" s="399">
        <v>0</v>
      </c>
      <c r="AC430" s="399">
        <v>0</v>
      </c>
      <c r="AD430" s="399">
        <v>2763.0321725246768</v>
      </c>
      <c r="AE430" s="399">
        <v>12450.119391628143</v>
      </c>
      <c r="AF430" s="399">
        <v>3937.7789042955005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204.26611738899101</v>
      </c>
      <c r="AM430" s="399"/>
      <c r="AN430" s="399">
        <v>50.262387783263996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713.39057998174314</v>
      </c>
      <c r="BH430" s="399">
        <v>0</v>
      </c>
      <c r="BI430" s="399">
        <v>6.74</v>
      </c>
      <c r="BJ430" s="399">
        <v>33.450000000000003</v>
      </c>
      <c r="BK430" s="399">
        <v>2664.96</v>
      </c>
      <c r="BL430" s="399">
        <v>92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4651.169484277244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13328.439999999999</v>
      </c>
      <c r="CJ430" s="399">
        <v>-8111.9979999999996</v>
      </c>
      <c r="CK430" s="399"/>
      <c r="CL430" s="399"/>
      <c r="CM430" s="399"/>
      <c r="CN430" s="399"/>
      <c r="CO430" s="399">
        <v>-8111.9680000000008</v>
      </c>
      <c r="CP430" s="399">
        <v>0</v>
      </c>
      <c r="CQ430" s="399">
        <v>31</v>
      </c>
      <c r="CR430" s="399">
        <v>-349.66345557197928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-254.35538877495856</v>
      </c>
      <c r="DA430" s="399">
        <v>0</v>
      </c>
      <c r="DB430" s="399">
        <v>0</v>
      </c>
      <c r="DC430" s="399">
        <v>0</v>
      </c>
      <c r="DD430" s="399">
        <v>0</v>
      </c>
      <c r="DE430" s="399">
        <v>0</v>
      </c>
      <c r="DF430" s="399">
        <v>0</v>
      </c>
      <c r="DG430" s="399">
        <v>0</v>
      </c>
      <c r="DH430" s="399">
        <v>0</v>
      </c>
      <c r="DI430" s="399">
        <v>-81.746490823319618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-10.951195800688311</v>
      </c>
      <c r="DP430" s="399">
        <v>-2.610380173011464</v>
      </c>
      <c r="DQ430" s="399">
        <v>0</v>
      </c>
      <c r="DR430" s="399">
        <v>0</v>
      </c>
      <c r="DS430" s="399"/>
      <c r="DT430" s="399"/>
      <c r="DU430" s="399"/>
      <c r="DV430" s="399">
        <v>12450.119391628143</v>
      </c>
      <c r="DW430" s="399">
        <v>0</v>
      </c>
      <c r="DX430" s="399">
        <v>0</v>
      </c>
      <c r="DY430" s="399">
        <v>-8111.9680000000026</v>
      </c>
      <c r="DZ430" s="399">
        <v>0</v>
      </c>
      <c r="EA430" s="399">
        <v>0</v>
      </c>
      <c r="EB430" s="399">
        <v>0</v>
      </c>
      <c r="EC430" s="399">
        <v>-7762.3620511487688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221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430</v>
      </c>
      <c r="B431" s="399" t="s">
        <v>956</v>
      </c>
      <c r="C431" s="399" t="s">
        <v>2328</v>
      </c>
      <c r="D431" s="399" t="s">
        <v>2339</v>
      </c>
      <c r="E431" s="399" t="s">
        <v>2340</v>
      </c>
      <c r="F431" s="399" t="s">
        <v>2341</v>
      </c>
      <c r="G431" s="399" t="s">
        <v>1239</v>
      </c>
      <c r="H431" s="399" t="s">
        <v>1239</v>
      </c>
      <c r="I431" s="399" t="s">
        <v>1239</v>
      </c>
      <c r="J431" s="399" t="s">
        <v>2326</v>
      </c>
      <c r="K431" s="786">
        <v>44743</v>
      </c>
      <c r="L431" s="399">
        <v>0</v>
      </c>
      <c r="M431" s="399">
        <v>0</v>
      </c>
      <c r="N431" s="399">
        <v>262.262</v>
      </c>
      <c r="O431" s="399">
        <v>262.262</v>
      </c>
      <c r="P431" s="399">
        <v>262.262</v>
      </c>
      <c r="Q431" s="399">
        <v>262.262</v>
      </c>
      <c r="R431" s="399"/>
      <c r="S431" s="399">
        <v>454.08</v>
      </c>
      <c r="T431" s="399">
        <v>102.16</v>
      </c>
      <c r="U431" s="399"/>
      <c r="V431" s="399">
        <v>145880.61487999998</v>
      </c>
      <c r="W431" s="399">
        <v>145880.61487999998</v>
      </c>
      <c r="X431" s="399">
        <v>90687.576979999998</v>
      </c>
      <c r="Y431" s="399">
        <v>0</v>
      </c>
      <c r="Z431" s="399">
        <v>8992.9223717299737</v>
      </c>
      <c r="AA431" s="399">
        <v>0</v>
      </c>
      <c r="AB431" s="399">
        <v>0</v>
      </c>
      <c r="AC431" s="399">
        <v>0</v>
      </c>
      <c r="AD431" s="399">
        <v>18799.579669663577</v>
      </c>
      <c r="AE431" s="399">
        <v>84710.201251790058</v>
      </c>
      <c r="AF431" s="399">
        <v>26792.517643825067</v>
      </c>
      <c r="AG431" s="399">
        <v>0</v>
      </c>
      <c r="AH431" s="399">
        <v>0</v>
      </c>
      <c r="AI431" s="399">
        <v>0</v>
      </c>
      <c r="AJ431" s="399">
        <v>0</v>
      </c>
      <c r="AK431" s="399">
        <v>0</v>
      </c>
      <c r="AL431" s="399">
        <v>1389.8199180787428</v>
      </c>
      <c r="AM431" s="399"/>
      <c r="AN431" s="399">
        <v>341.98362687018619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4853.8859508464338</v>
      </c>
      <c r="BH431" s="399">
        <v>0</v>
      </c>
      <c r="BI431" s="399">
        <v>45.47</v>
      </c>
      <c r="BJ431" s="399">
        <v>227.4</v>
      </c>
      <c r="BK431" s="399">
        <v>18630.46</v>
      </c>
      <c r="BL431" s="399">
        <v>9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31646.403594671501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90686.885399999999</v>
      </c>
      <c r="CJ431" s="399">
        <v>-55193.759479999979</v>
      </c>
      <c r="CK431" s="399"/>
      <c r="CL431" s="399"/>
      <c r="CM431" s="399"/>
      <c r="CN431" s="399"/>
      <c r="CO431" s="399">
        <v>-55193.037899999996</v>
      </c>
      <c r="CP431" s="399">
        <v>0</v>
      </c>
      <c r="CQ431" s="399">
        <v>31</v>
      </c>
      <c r="CR431" s="399">
        <v>-2379.0986062203156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-1730.6256666978552</v>
      </c>
      <c r="DA431" s="399">
        <v>0</v>
      </c>
      <c r="DB431" s="399">
        <v>0</v>
      </c>
      <c r="DC431" s="399">
        <v>0</v>
      </c>
      <c r="DD431" s="399">
        <v>0</v>
      </c>
      <c r="DE431" s="399">
        <v>0</v>
      </c>
      <c r="DF431" s="399">
        <v>0</v>
      </c>
      <c r="DG431" s="399">
        <v>0</v>
      </c>
      <c r="DH431" s="399">
        <v>0</v>
      </c>
      <c r="DI431" s="399">
        <v>-556.20042438528799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-74.511574631795611</v>
      </c>
      <c r="DP431" s="399">
        <v>-17.760940505373298</v>
      </c>
      <c r="DQ431" s="399">
        <v>0</v>
      </c>
      <c r="DR431" s="399">
        <v>0</v>
      </c>
      <c r="DS431" s="399"/>
      <c r="DT431" s="399"/>
      <c r="DU431" s="399"/>
      <c r="DV431" s="399">
        <v>84710.201251790058</v>
      </c>
      <c r="DW431" s="399">
        <v>0</v>
      </c>
      <c r="DX431" s="399">
        <v>0</v>
      </c>
      <c r="DY431" s="399">
        <v>-55193.037899999988</v>
      </c>
      <c r="DZ431" s="399">
        <v>0</v>
      </c>
      <c r="EA431" s="399">
        <v>0</v>
      </c>
      <c r="EB431" s="399">
        <v>0</v>
      </c>
      <c r="EC431" s="399">
        <v>-52814.855091608952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221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431</v>
      </c>
      <c r="B432" s="399" t="s">
        <v>956</v>
      </c>
      <c r="C432" s="399" t="s">
        <v>2328</v>
      </c>
      <c r="D432" s="399" t="s">
        <v>2339</v>
      </c>
      <c r="E432" s="399" t="s">
        <v>2340</v>
      </c>
      <c r="F432" s="399" t="s">
        <v>2578</v>
      </c>
      <c r="G432" s="399" t="s">
        <v>1239</v>
      </c>
      <c r="H432" s="399" t="s">
        <v>1239</v>
      </c>
      <c r="I432" s="399" t="s">
        <v>1239</v>
      </c>
      <c r="J432" s="399" t="s">
        <v>2326</v>
      </c>
      <c r="K432" s="786">
        <v>44743</v>
      </c>
      <c r="L432" s="399">
        <v>0</v>
      </c>
      <c r="M432" s="399">
        <v>0</v>
      </c>
      <c r="N432" s="399">
        <v>137.452</v>
      </c>
      <c r="O432" s="399">
        <v>137.452</v>
      </c>
      <c r="P432" s="399">
        <v>137.452</v>
      </c>
      <c r="Q432" s="399">
        <v>137.452</v>
      </c>
      <c r="R432" s="399"/>
      <c r="S432" s="399">
        <v>495.36</v>
      </c>
      <c r="T432" s="399">
        <v>111.45</v>
      </c>
      <c r="U432" s="399"/>
      <c r="V432" s="399">
        <v>83407.248120000004</v>
      </c>
      <c r="W432" s="399">
        <v>83407.248120000004</v>
      </c>
      <c r="X432" s="399">
        <v>51851.017959999997</v>
      </c>
      <c r="Y432" s="399">
        <v>0</v>
      </c>
      <c r="Z432" s="399">
        <v>5141.6806614857514</v>
      </c>
      <c r="AA432" s="399">
        <v>0</v>
      </c>
      <c r="AB432" s="399">
        <v>0</v>
      </c>
      <c r="AC432" s="399">
        <v>0</v>
      </c>
      <c r="AD432" s="399">
        <v>10748.612212581023</v>
      </c>
      <c r="AE432" s="399">
        <v>48432.843696737953</v>
      </c>
      <c r="AF432" s="399">
        <v>15318.554319430872</v>
      </c>
      <c r="AG432" s="399">
        <v>0</v>
      </c>
      <c r="AH432" s="399">
        <v>0</v>
      </c>
      <c r="AI432" s="399">
        <v>0</v>
      </c>
      <c r="AJ432" s="399">
        <v>0</v>
      </c>
      <c r="AK432" s="399">
        <v>0</v>
      </c>
      <c r="AL432" s="399">
        <v>794.62602926466718</v>
      </c>
      <c r="AM432" s="399"/>
      <c r="AN432" s="399">
        <v>195.52827525241116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2775.1970377259508</v>
      </c>
      <c r="BH432" s="399">
        <v>0</v>
      </c>
      <c r="BI432" s="399">
        <v>26</v>
      </c>
      <c r="BJ432" s="399">
        <v>130.03</v>
      </c>
      <c r="BK432" s="399">
        <v>10652.04</v>
      </c>
      <c r="BL432" s="399">
        <v>6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18093.751357156823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51850.263499999994</v>
      </c>
      <c r="CJ432" s="399">
        <v>-31557.014619999994</v>
      </c>
      <c r="CK432" s="399"/>
      <c r="CL432" s="399"/>
      <c r="CM432" s="399"/>
      <c r="CN432" s="399"/>
      <c r="CO432" s="399">
        <v>-31556.230160000006</v>
      </c>
      <c r="CP432" s="399">
        <v>0</v>
      </c>
      <c r="CQ432" s="399">
        <v>31</v>
      </c>
      <c r="CR432" s="399">
        <v>-1360.2436215645357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-989.480855600832</v>
      </c>
      <c r="DA432" s="399">
        <v>0</v>
      </c>
      <c r="DB432" s="399">
        <v>0</v>
      </c>
      <c r="DC432" s="399">
        <v>0</v>
      </c>
      <c r="DD432" s="399">
        <v>0</v>
      </c>
      <c r="DE432" s="399">
        <v>0</v>
      </c>
      <c r="DF432" s="399">
        <v>0</v>
      </c>
      <c r="DG432" s="399">
        <v>0</v>
      </c>
      <c r="DH432" s="399">
        <v>0</v>
      </c>
      <c r="DI432" s="399">
        <v>-318.00618839567142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-42.601804675363724</v>
      </c>
      <c r="DP432" s="399">
        <v>-10.154772892662834</v>
      </c>
      <c r="DQ432" s="399">
        <v>0</v>
      </c>
      <c r="DR432" s="399">
        <v>0</v>
      </c>
      <c r="DS432" s="399"/>
      <c r="DT432" s="399"/>
      <c r="DU432" s="399"/>
      <c r="DV432" s="399">
        <v>48432.843696737953</v>
      </c>
      <c r="DW432" s="399">
        <v>0</v>
      </c>
      <c r="DX432" s="399">
        <v>0</v>
      </c>
      <c r="DY432" s="399">
        <v>-31556.230160000006</v>
      </c>
      <c r="DZ432" s="399">
        <v>0</v>
      </c>
      <c r="EA432" s="399">
        <v>0</v>
      </c>
      <c r="EB432" s="399">
        <v>0</v>
      </c>
      <c r="EC432" s="399">
        <v>-30196.760056259529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0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221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432</v>
      </c>
      <c r="B433" s="399" t="s">
        <v>956</v>
      </c>
      <c r="C433" s="399" t="s">
        <v>2328</v>
      </c>
      <c r="D433" s="399" t="s">
        <v>1824</v>
      </c>
      <c r="E433" s="399" t="s">
        <v>921</v>
      </c>
      <c r="F433" s="399" t="s">
        <v>2327</v>
      </c>
      <c r="G433" s="399" t="s">
        <v>1239</v>
      </c>
      <c r="H433" s="399" t="s">
        <v>1239</v>
      </c>
      <c r="I433" s="399" t="s">
        <v>1239</v>
      </c>
      <c r="J433" s="399" t="s">
        <v>2326</v>
      </c>
      <c r="K433" s="786">
        <v>44743</v>
      </c>
      <c r="L433" s="399">
        <v>0</v>
      </c>
      <c r="M433" s="399">
        <v>0</v>
      </c>
      <c r="N433" s="399">
        <v>3.6429999999999998</v>
      </c>
      <c r="O433" s="399">
        <v>3.4244199999999996</v>
      </c>
      <c r="P433" s="399">
        <v>3.6429999999999998</v>
      </c>
      <c r="Q433" s="399">
        <v>3.4244199999999996</v>
      </c>
      <c r="R433" s="399"/>
      <c r="S433" s="399">
        <v>825.6</v>
      </c>
      <c r="T433" s="399">
        <v>185.74</v>
      </c>
      <c r="U433" s="399"/>
      <c r="V433" s="399">
        <v>3684.3116199999999</v>
      </c>
      <c r="W433" s="399">
        <v>3684.3116199999999</v>
      </c>
      <c r="X433" s="399">
        <v>2290.3540999999996</v>
      </c>
      <c r="Y433" s="399">
        <v>0</v>
      </c>
      <c r="Z433" s="399">
        <v>227.12344005898544</v>
      </c>
      <c r="AA433" s="399">
        <v>0</v>
      </c>
      <c r="AB433" s="399">
        <v>0</v>
      </c>
      <c r="AC433" s="399">
        <v>0</v>
      </c>
      <c r="AD433" s="399">
        <v>474.79840587299043</v>
      </c>
      <c r="AE433" s="399">
        <v>2139.4238180991192</v>
      </c>
      <c r="AF433" s="399">
        <v>676.66644095983531</v>
      </c>
      <c r="AG433" s="399">
        <v>0</v>
      </c>
      <c r="AH433" s="399">
        <v>0</v>
      </c>
      <c r="AI433" s="399">
        <v>0</v>
      </c>
      <c r="AJ433" s="399">
        <v>0</v>
      </c>
      <c r="AK433" s="399">
        <v>0</v>
      </c>
      <c r="AL433" s="399">
        <v>35.101012530570486</v>
      </c>
      <c r="AM433" s="399"/>
      <c r="AN433" s="399">
        <v>8.6370697497372984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122.58876806007028</v>
      </c>
      <c r="BH433" s="399">
        <v>0</v>
      </c>
      <c r="BI433" s="399">
        <v>0.98</v>
      </c>
      <c r="BJ433" s="399">
        <v>4.88</v>
      </c>
      <c r="BK433" s="399">
        <v>0</v>
      </c>
      <c r="BL433" s="399">
        <v>5</v>
      </c>
      <c r="BM433" s="399"/>
      <c r="BN433" s="399"/>
      <c r="BO433" s="399"/>
      <c r="BP433" s="399"/>
      <c r="BQ433" s="399">
        <v>137.42124600000014</v>
      </c>
      <c r="BR433" s="399"/>
      <c r="BS433" s="399"/>
      <c r="BT433" s="399"/>
      <c r="BU433" s="399"/>
      <c r="BV433" s="399">
        <v>799.25520901990558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2150.154</v>
      </c>
      <c r="CJ433" s="399">
        <v>-1313.1289228000001</v>
      </c>
      <c r="CK433" s="399"/>
      <c r="CL433" s="399"/>
      <c r="CM433" s="399"/>
      <c r="CN433" s="399"/>
      <c r="CO433" s="399">
        <v>-1393.9575200000002</v>
      </c>
      <c r="CP433" s="399">
        <v>0</v>
      </c>
      <c r="CQ433" s="399">
        <v>31</v>
      </c>
      <c r="CR433" s="399">
        <v>-60.086036257014939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-43.708334023923271</v>
      </c>
      <c r="DA433" s="399">
        <v>0</v>
      </c>
      <c r="DB433" s="399">
        <v>0</v>
      </c>
      <c r="DC433" s="399">
        <v>0</v>
      </c>
      <c r="DD433" s="399">
        <v>0</v>
      </c>
      <c r="DE433" s="399">
        <v>0</v>
      </c>
      <c r="DF433" s="399">
        <v>0</v>
      </c>
      <c r="DG433" s="399">
        <v>0</v>
      </c>
      <c r="DH433" s="399">
        <v>0</v>
      </c>
      <c r="DI433" s="399">
        <v>-14.047286135346866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-1.881849353863565</v>
      </c>
      <c r="DP433" s="399">
        <v>-0.4485667438811678</v>
      </c>
      <c r="DQ433" s="399">
        <v>0</v>
      </c>
      <c r="DR433" s="399">
        <v>0</v>
      </c>
      <c r="DS433" s="399"/>
      <c r="DT433" s="399"/>
      <c r="DU433" s="399"/>
      <c r="DV433" s="399">
        <v>2139.4238180991192</v>
      </c>
      <c r="DW433" s="399">
        <v>0</v>
      </c>
      <c r="DX433" s="399">
        <v>0</v>
      </c>
      <c r="DY433" s="399">
        <v>-1393.9575200000004</v>
      </c>
      <c r="DZ433" s="399">
        <v>0</v>
      </c>
      <c r="EA433" s="399">
        <v>0</v>
      </c>
      <c r="EB433" s="399">
        <v>0</v>
      </c>
      <c r="EC433" s="399">
        <v>-1333.8813656761777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0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221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433</v>
      </c>
      <c r="B434" s="399" t="s">
        <v>956</v>
      </c>
      <c r="C434" s="399" t="s">
        <v>2328</v>
      </c>
      <c r="D434" s="399" t="s">
        <v>1824</v>
      </c>
      <c r="E434" s="399" t="s">
        <v>2579</v>
      </c>
      <c r="F434" s="399" t="s">
        <v>1239</v>
      </c>
      <c r="G434" s="399" t="s">
        <v>1239</v>
      </c>
      <c r="H434" s="399" t="s">
        <v>1239</v>
      </c>
      <c r="I434" s="399" t="s">
        <v>1239</v>
      </c>
      <c r="J434" s="399" t="s">
        <v>2326</v>
      </c>
      <c r="K434" s="786">
        <v>44743</v>
      </c>
      <c r="L434" s="399">
        <v>0</v>
      </c>
      <c r="M434" s="399">
        <v>0</v>
      </c>
      <c r="N434" s="399">
        <v>0.58499999999999996</v>
      </c>
      <c r="O434" s="399">
        <v>0.58499999999999996</v>
      </c>
      <c r="P434" s="399">
        <v>0.58499999999999996</v>
      </c>
      <c r="Q434" s="399">
        <v>0.58499999999999996</v>
      </c>
      <c r="R434" s="399"/>
      <c r="S434" s="399">
        <v>825.6</v>
      </c>
      <c r="T434" s="399">
        <v>185.74</v>
      </c>
      <c r="U434" s="399"/>
      <c r="V434" s="399">
        <v>591.63390000000004</v>
      </c>
      <c r="W434" s="399">
        <v>591.63390000000004</v>
      </c>
      <c r="X434" s="399">
        <v>367.78949999999998</v>
      </c>
      <c r="Y434" s="399">
        <v>0</v>
      </c>
      <c r="Z434" s="399">
        <v>36.471922161544462</v>
      </c>
      <c r="AA434" s="399">
        <v>0</v>
      </c>
      <c r="AB434" s="399">
        <v>0</v>
      </c>
      <c r="AC434" s="399">
        <v>0</v>
      </c>
      <c r="AD434" s="399">
        <v>76.244048156930944</v>
      </c>
      <c r="AE434" s="399">
        <v>343.55282283502186</v>
      </c>
      <c r="AF434" s="399">
        <v>108.6604084440032</v>
      </c>
      <c r="AG434" s="399">
        <v>0</v>
      </c>
      <c r="AH434" s="399">
        <v>0</v>
      </c>
      <c r="AI434" s="399">
        <v>0</v>
      </c>
      <c r="AJ434" s="399">
        <v>0</v>
      </c>
      <c r="AK434" s="399">
        <v>0</v>
      </c>
      <c r="AL434" s="399">
        <v>5.6365886166301769</v>
      </c>
      <c r="AM434" s="399"/>
      <c r="AN434" s="399">
        <v>1.3869573987362942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19.685541947609419</v>
      </c>
      <c r="BH434" s="399">
        <v>0</v>
      </c>
      <c r="BI434" s="399">
        <v>0.19</v>
      </c>
      <c r="BJ434" s="399">
        <v>0.91</v>
      </c>
      <c r="BK434" s="399">
        <v>101.82</v>
      </c>
      <c r="BL434" s="399">
        <v>4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128.3459503916126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370.93299999999999</v>
      </c>
      <c r="CJ434" s="399">
        <v>-220.73090000000002</v>
      </c>
      <c r="CK434" s="399"/>
      <c r="CL434" s="399"/>
      <c r="CM434" s="399"/>
      <c r="CN434" s="399"/>
      <c r="CO434" s="399">
        <v>-223.84440000000001</v>
      </c>
      <c r="CP434" s="399">
        <v>0</v>
      </c>
      <c r="CQ434" s="399">
        <v>31</v>
      </c>
      <c r="CR434" s="399">
        <v>-9.6487321466795493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-7.0187689827052253</v>
      </c>
      <c r="DA434" s="399">
        <v>0</v>
      </c>
      <c r="DB434" s="399">
        <v>0</v>
      </c>
      <c r="DC434" s="399">
        <v>0</v>
      </c>
      <c r="DD434" s="399">
        <v>0</v>
      </c>
      <c r="DE434" s="399">
        <v>0</v>
      </c>
      <c r="DF434" s="399">
        <v>0</v>
      </c>
      <c r="DG434" s="399">
        <v>0</v>
      </c>
      <c r="DH434" s="399">
        <v>0</v>
      </c>
      <c r="DI434" s="399">
        <v>-2.2557404307378306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-0.30219101619823974</v>
      </c>
      <c r="DP434" s="399">
        <v>-7.2031717038288035E-2</v>
      </c>
      <c r="DQ434" s="399">
        <v>0</v>
      </c>
      <c r="DR434" s="399">
        <v>0</v>
      </c>
      <c r="DS434" s="399"/>
      <c r="DT434" s="399"/>
      <c r="DU434" s="399"/>
      <c r="DV434" s="399">
        <v>343.55282283502186</v>
      </c>
      <c r="DW434" s="399">
        <v>0</v>
      </c>
      <c r="DX434" s="399">
        <v>0</v>
      </c>
      <c r="DY434" s="399">
        <v>-223.84440000000001</v>
      </c>
      <c r="DZ434" s="399">
        <v>0</v>
      </c>
      <c r="EA434" s="399">
        <v>0</v>
      </c>
      <c r="EB434" s="399">
        <v>0</v>
      </c>
      <c r="EC434" s="399">
        <v>-214.19725471330329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221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434</v>
      </c>
      <c r="B435" s="399" t="s">
        <v>956</v>
      </c>
      <c r="C435" s="399" t="s">
        <v>2328</v>
      </c>
      <c r="D435" s="399" t="s">
        <v>1824</v>
      </c>
      <c r="E435" s="399" t="s">
        <v>921</v>
      </c>
      <c r="F435" s="399" t="s">
        <v>2580</v>
      </c>
      <c r="G435" s="399" t="s">
        <v>1239</v>
      </c>
      <c r="H435" s="399" t="s">
        <v>1239</v>
      </c>
      <c r="I435" s="399" t="s">
        <v>1239</v>
      </c>
      <c r="J435" s="399" t="s">
        <v>2326</v>
      </c>
      <c r="K435" s="786">
        <v>44743</v>
      </c>
      <c r="L435" s="399">
        <v>0</v>
      </c>
      <c r="M435" s="399">
        <v>0</v>
      </c>
      <c r="N435" s="399">
        <v>3.5999999999999997E-2</v>
      </c>
      <c r="O435" s="399">
        <v>3.5999999999999997E-2</v>
      </c>
      <c r="P435" s="399">
        <v>3.5999999999999997E-2</v>
      </c>
      <c r="Q435" s="399">
        <v>3.5999999999999997E-2</v>
      </c>
      <c r="R435" s="399"/>
      <c r="S435" s="399">
        <v>825.6</v>
      </c>
      <c r="T435" s="399">
        <v>185.74</v>
      </c>
      <c r="U435" s="399"/>
      <c r="V435" s="399">
        <v>36.408239999999999</v>
      </c>
      <c r="W435" s="399">
        <v>36.408239999999999</v>
      </c>
      <c r="X435" s="399">
        <v>22.633199999999999</v>
      </c>
      <c r="Y435" s="399">
        <v>0</v>
      </c>
      <c r="Z435" s="399">
        <v>2.2444259791719667</v>
      </c>
      <c r="AA435" s="399">
        <v>0</v>
      </c>
      <c r="AB435" s="399">
        <v>0</v>
      </c>
      <c r="AC435" s="399">
        <v>0</v>
      </c>
      <c r="AD435" s="399">
        <v>4.6919414250419038</v>
      </c>
      <c r="AE435" s="399">
        <v>21.141712174462885</v>
      </c>
      <c r="AF435" s="399">
        <v>6.6867943657848121</v>
      </c>
      <c r="AG435" s="399">
        <v>0</v>
      </c>
      <c r="AH435" s="399">
        <v>0</v>
      </c>
      <c r="AI435" s="399">
        <v>0</v>
      </c>
      <c r="AJ435" s="399">
        <v>0</v>
      </c>
      <c r="AK435" s="399">
        <v>0</v>
      </c>
      <c r="AL435" s="399">
        <v>0.34686699179262626</v>
      </c>
      <c r="AM435" s="399"/>
      <c r="AN435" s="399">
        <v>8.5351224537618106E-2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1.2114179660067335</v>
      </c>
      <c r="BH435" s="399">
        <v>0</v>
      </c>
      <c r="BI435" s="399">
        <v>0.01</v>
      </c>
      <c r="BJ435" s="399">
        <v>0.06</v>
      </c>
      <c r="BK435" s="399">
        <v>0</v>
      </c>
      <c r="BL435" s="399">
        <v>1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7.8982123317915454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25.148</v>
      </c>
      <c r="CJ435" s="399">
        <v>-11.290240000000001</v>
      </c>
      <c r="CK435" s="399"/>
      <c r="CL435" s="399"/>
      <c r="CM435" s="399"/>
      <c r="CN435" s="399"/>
      <c r="CO435" s="399">
        <v>-13.775040000000001</v>
      </c>
      <c r="CP435" s="399">
        <v>0</v>
      </c>
      <c r="CQ435" s="399">
        <v>31</v>
      </c>
      <c r="CR435" s="399">
        <v>-0.5937681321033601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-0.43192424508955174</v>
      </c>
      <c r="DA435" s="399">
        <v>0</v>
      </c>
      <c r="DB435" s="399">
        <v>0</v>
      </c>
      <c r="DC435" s="399">
        <v>0</v>
      </c>
      <c r="DD435" s="399">
        <v>0</v>
      </c>
      <c r="DE435" s="399">
        <v>0</v>
      </c>
      <c r="DF435" s="399">
        <v>0</v>
      </c>
      <c r="DG435" s="399">
        <v>0</v>
      </c>
      <c r="DH435" s="399">
        <v>0</v>
      </c>
      <c r="DI435" s="399">
        <v>-0.1388147957377126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-1.859637022758398E-2</v>
      </c>
      <c r="DP435" s="399">
        <v>-4.4327210485100299E-3</v>
      </c>
      <c r="DQ435" s="399">
        <v>0</v>
      </c>
      <c r="DR435" s="399">
        <v>0</v>
      </c>
      <c r="DS435" s="399"/>
      <c r="DT435" s="399"/>
      <c r="DU435" s="399"/>
      <c r="DV435" s="399">
        <v>21.141712174462885</v>
      </c>
      <c r="DW435" s="399">
        <v>0</v>
      </c>
      <c r="DX435" s="399">
        <v>0</v>
      </c>
      <c r="DY435" s="399">
        <v>-13.775040000000001</v>
      </c>
      <c r="DZ435" s="399">
        <v>0</v>
      </c>
      <c r="EA435" s="399">
        <v>0</v>
      </c>
      <c r="EB435" s="399">
        <v>0</v>
      </c>
      <c r="EC435" s="399">
        <v>-13.181369520818667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221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435</v>
      </c>
      <c r="B436" s="399" t="s">
        <v>956</v>
      </c>
      <c r="C436" s="399" t="s">
        <v>2328</v>
      </c>
      <c r="D436" s="399" t="s">
        <v>1821</v>
      </c>
      <c r="E436" s="399" t="s">
        <v>889</v>
      </c>
      <c r="F436" s="399" t="s">
        <v>889</v>
      </c>
      <c r="G436" s="399" t="s">
        <v>1239</v>
      </c>
      <c r="H436" s="399" t="s">
        <v>1239</v>
      </c>
      <c r="I436" s="399" t="s">
        <v>1239</v>
      </c>
      <c r="J436" s="399" t="s">
        <v>2326</v>
      </c>
      <c r="K436" s="786">
        <v>44774</v>
      </c>
      <c r="L436" s="399">
        <v>0</v>
      </c>
      <c r="M436" s="399">
        <v>0</v>
      </c>
      <c r="N436" s="399">
        <v>1352.2570000000001</v>
      </c>
      <c r="O436" s="399">
        <v>1352.2570000000001</v>
      </c>
      <c r="P436" s="399">
        <v>1352.2570000000001</v>
      </c>
      <c r="Q436" s="399">
        <v>1352.2570000000001</v>
      </c>
      <c r="R436" s="399"/>
      <c r="S436" s="399">
        <v>825.6</v>
      </c>
      <c r="T436" s="399">
        <v>185.74</v>
      </c>
      <c r="U436" s="399"/>
      <c r="V436" s="399">
        <v>1367591.5943800001</v>
      </c>
      <c r="W436" s="399">
        <v>1367591.5943800001</v>
      </c>
      <c r="X436" s="399">
        <v>850163.97590000008</v>
      </c>
      <c r="Y436" s="399">
        <v>0</v>
      </c>
      <c r="Z436" s="399">
        <v>84306.68725880963</v>
      </c>
      <c r="AA436" s="399">
        <v>0</v>
      </c>
      <c r="AB436" s="399">
        <v>0</v>
      </c>
      <c r="AC436" s="399">
        <v>0</v>
      </c>
      <c r="AD436" s="399">
        <v>176241.9621000803</v>
      </c>
      <c r="AE436" s="399">
        <v>794139.6744417405</v>
      </c>
      <c r="AF436" s="399">
        <v>251174.01357480758</v>
      </c>
      <c r="AG436" s="399">
        <v>0</v>
      </c>
      <c r="AH436" s="399">
        <v>0</v>
      </c>
      <c r="AI436" s="399">
        <v>0</v>
      </c>
      <c r="AJ436" s="399">
        <v>0</v>
      </c>
      <c r="AK436" s="399">
        <v>0</v>
      </c>
      <c r="AL436" s="399">
        <v>13029.258825570039</v>
      </c>
      <c r="AM436" s="399"/>
      <c r="AN436" s="399">
        <v>3206.0219677657183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45504.122901621326</v>
      </c>
      <c r="BH436" s="399">
        <v>0</v>
      </c>
      <c r="BI436" s="399">
        <v>345.99</v>
      </c>
      <c r="BJ436" s="399">
        <v>1606.63</v>
      </c>
      <c r="BK436" s="399">
        <v>138179.32999999999</v>
      </c>
      <c r="BL436" s="399">
        <v>8393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296678.13647642889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850165.86199999996</v>
      </c>
      <c r="CJ436" s="399">
        <v>-517425.7623800002</v>
      </c>
      <c r="CK436" s="399"/>
      <c r="CL436" s="399"/>
      <c r="CM436" s="399"/>
      <c r="CN436" s="399"/>
      <c r="CO436" s="399">
        <v>-517427.61848000006</v>
      </c>
      <c r="CP436" s="399">
        <v>0</v>
      </c>
      <c r="CQ436" s="399">
        <v>31</v>
      </c>
      <c r="CR436" s="399">
        <v>-22303.530917047057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-16224.238441446185</v>
      </c>
      <c r="DA436" s="399">
        <v>0</v>
      </c>
      <c r="DB436" s="399">
        <v>0</v>
      </c>
      <c r="DC436" s="399">
        <v>0</v>
      </c>
      <c r="DD436" s="399">
        <v>0</v>
      </c>
      <c r="DE436" s="399">
        <v>0</v>
      </c>
      <c r="DF436" s="399">
        <v>0</v>
      </c>
      <c r="DG436" s="399">
        <v>0</v>
      </c>
      <c r="DH436" s="399">
        <v>0</v>
      </c>
      <c r="DI436" s="399">
        <v>-5214.257756663661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-698.52977263449975</v>
      </c>
      <c r="DP436" s="399">
        <v>-166.50494630263984</v>
      </c>
      <c r="DQ436" s="399">
        <v>0</v>
      </c>
      <c r="DR436" s="399">
        <v>0</v>
      </c>
      <c r="DS436" s="399"/>
      <c r="DT436" s="399"/>
      <c r="DU436" s="399"/>
      <c r="DV436" s="399">
        <v>794139.6744417405</v>
      </c>
      <c r="DW436" s="399">
        <v>0</v>
      </c>
      <c r="DX436" s="399">
        <v>0</v>
      </c>
      <c r="DY436" s="399">
        <v>-517427.61848000006</v>
      </c>
      <c r="DZ436" s="399">
        <v>0</v>
      </c>
      <c r="EA436" s="399">
        <v>0</v>
      </c>
      <c r="EB436" s="399">
        <v>0</v>
      </c>
      <c r="EC436" s="399">
        <v>-495127.7556698246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0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221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436</v>
      </c>
      <c r="B437" s="399" t="s">
        <v>2329</v>
      </c>
      <c r="C437" s="399" t="s">
        <v>2328</v>
      </c>
      <c r="D437" s="399" t="s">
        <v>1821</v>
      </c>
      <c r="E437" s="399" t="s">
        <v>889</v>
      </c>
      <c r="F437" s="399" t="s">
        <v>889</v>
      </c>
      <c r="G437" s="399" t="s">
        <v>1239</v>
      </c>
      <c r="H437" s="399" t="s">
        <v>1239</v>
      </c>
      <c r="I437" s="399" t="s">
        <v>1239</v>
      </c>
      <c r="J437" s="399" t="s">
        <v>2326</v>
      </c>
      <c r="K437" s="786">
        <v>44774</v>
      </c>
      <c r="L437" s="399">
        <v>0</v>
      </c>
      <c r="M437" s="399">
        <v>0</v>
      </c>
      <c r="N437" s="399">
        <v>-0.123</v>
      </c>
      <c r="O437" s="399">
        <v>-0.123</v>
      </c>
      <c r="P437" s="399">
        <v>-0.123</v>
      </c>
      <c r="Q437" s="399">
        <v>-0.123</v>
      </c>
      <c r="R437" s="399"/>
      <c r="S437" s="399">
        <v>825.6</v>
      </c>
      <c r="T437" s="399">
        <v>185.74</v>
      </c>
      <c r="U437" s="399"/>
      <c r="V437" s="399">
        <v>-124.39482</v>
      </c>
      <c r="W437" s="399">
        <v>-124.39482</v>
      </c>
      <c r="X437" s="399">
        <v>-77.330100000000002</v>
      </c>
      <c r="Y437" s="399">
        <v>0</v>
      </c>
      <c r="Z437" s="399">
        <v>-7.6684554288375537</v>
      </c>
      <c r="AA437" s="399">
        <v>0</v>
      </c>
      <c r="AB437" s="399">
        <v>0</v>
      </c>
      <c r="AC437" s="399">
        <v>0</v>
      </c>
      <c r="AD437" s="399">
        <v>-16.030799868893173</v>
      </c>
      <c r="AE437" s="399">
        <v>-72.234183262748189</v>
      </c>
      <c r="AF437" s="399">
        <v>-22.846547416431441</v>
      </c>
      <c r="AG437" s="399">
        <v>0</v>
      </c>
      <c r="AH437" s="399">
        <v>0</v>
      </c>
      <c r="AI437" s="399">
        <v>0</v>
      </c>
      <c r="AJ437" s="399">
        <v>0</v>
      </c>
      <c r="AK437" s="399">
        <v>0</v>
      </c>
      <c r="AL437" s="399">
        <v>-1.1851288886248064</v>
      </c>
      <c r="AM437" s="399"/>
      <c r="AN437" s="399">
        <v>-0.2916166838368619</v>
      </c>
      <c r="AO437" s="399">
        <v>0</v>
      </c>
      <c r="AP437" s="399">
        <v>0</v>
      </c>
      <c r="AQ437" s="399">
        <v>0</v>
      </c>
      <c r="AR437" s="399">
        <v>0</v>
      </c>
      <c r="AS437" s="399">
        <v>0</v>
      </c>
      <c r="AT437" s="399">
        <v>0</v>
      </c>
      <c r="AU437" s="399">
        <v>0</v>
      </c>
      <c r="AV437" s="399">
        <v>0</v>
      </c>
      <c r="AW437" s="399">
        <v>0</v>
      </c>
      <c r="AX437" s="399">
        <v>0</v>
      </c>
      <c r="AY437" s="399">
        <v>0</v>
      </c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>
        <v>0</v>
      </c>
      <c r="BG437" s="399">
        <v>-4.1390113838563396</v>
      </c>
      <c r="BH437" s="399">
        <v>0</v>
      </c>
      <c r="BI437" s="399">
        <v>-0.03</v>
      </c>
      <c r="BJ437" s="399">
        <v>-0.18</v>
      </c>
      <c r="BK437" s="399">
        <v>-11.07</v>
      </c>
      <c r="BL437" s="399">
        <v>0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-26.98555880028778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-75.443999999999988</v>
      </c>
      <c r="CJ437" s="399">
        <v>48.920819999999992</v>
      </c>
      <c r="CK437" s="399"/>
      <c r="CL437" s="399"/>
      <c r="CM437" s="399"/>
      <c r="CN437" s="399"/>
      <c r="CO437" s="399">
        <v>47.064720000000001</v>
      </c>
      <c r="CP437" s="399">
        <v>0</v>
      </c>
      <c r="CQ437" s="399">
        <v>31</v>
      </c>
      <c r="CR437" s="399">
        <v>2.0287077846864818</v>
      </c>
      <c r="CS437" s="399">
        <v>0</v>
      </c>
      <c r="CT437" s="399">
        <v>0</v>
      </c>
      <c r="CU437" s="399">
        <v>0</v>
      </c>
      <c r="CV437" s="399">
        <v>0</v>
      </c>
      <c r="CW437" s="399">
        <v>0</v>
      </c>
      <c r="CX437" s="399">
        <v>0</v>
      </c>
      <c r="CY437" s="399">
        <v>0</v>
      </c>
      <c r="CZ437" s="399">
        <v>1.4757411707226371</v>
      </c>
      <c r="DA437" s="399">
        <v>0</v>
      </c>
      <c r="DB437" s="399">
        <v>0</v>
      </c>
      <c r="DC437" s="399">
        <v>0</v>
      </c>
      <c r="DD437" s="399">
        <v>0</v>
      </c>
      <c r="DE437" s="399">
        <v>0</v>
      </c>
      <c r="DF437" s="399">
        <v>0</v>
      </c>
      <c r="DG437" s="399">
        <v>0</v>
      </c>
      <c r="DH437" s="399">
        <v>0</v>
      </c>
      <c r="DI437" s="399">
        <v>0.47428388543718469</v>
      </c>
      <c r="DJ437" s="399"/>
      <c r="DK437" s="399">
        <v>0</v>
      </c>
      <c r="DL437" s="399">
        <v>0</v>
      </c>
      <c r="DM437" s="399">
        <v>0</v>
      </c>
      <c r="DN437" s="399">
        <v>0</v>
      </c>
      <c r="DO437" s="399">
        <v>6.3537598277578544E-2</v>
      </c>
      <c r="DP437" s="399">
        <v>1.5145130249075989E-2</v>
      </c>
      <c r="DQ437" s="399">
        <v>0</v>
      </c>
      <c r="DR437" s="399">
        <v>0</v>
      </c>
      <c r="DS437" s="399"/>
      <c r="DT437" s="399"/>
      <c r="DU437" s="399"/>
      <c r="DV437" s="399">
        <v>-72.234183262748189</v>
      </c>
      <c r="DW437" s="399">
        <v>0</v>
      </c>
      <c r="DX437" s="399">
        <v>0</v>
      </c>
      <c r="DY437" s="399">
        <v>47.064720000000001</v>
      </c>
      <c r="DZ437" s="399">
        <v>0</v>
      </c>
      <c r="EA437" s="399">
        <v>0</v>
      </c>
      <c r="EB437" s="399">
        <v>0</v>
      </c>
      <c r="EC437" s="399">
        <v>45.036345862797106</v>
      </c>
      <c r="ED437" s="399">
        <v>0</v>
      </c>
      <c r="EE437" s="399">
        <v>0</v>
      </c>
      <c r="EF437" s="399">
        <v>0</v>
      </c>
      <c r="EG437" s="399">
        <v>0</v>
      </c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>
        <v>0</v>
      </c>
      <c r="EN437" s="399">
        <v>0</v>
      </c>
      <c r="EO437" s="399">
        <v>0</v>
      </c>
      <c r="EP437" s="399">
        <v>0</v>
      </c>
      <c r="EQ437" s="399">
        <v>0</v>
      </c>
      <c r="ER437" s="399">
        <v>0</v>
      </c>
      <c r="ES437" s="399">
        <v>0</v>
      </c>
      <c r="ET437" s="399">
        <v>0</v>
      </c>
      <c r="EU437" s="399">
        <v>0</v>
      </c>
      <c r="EV437" s="399">
        <v>221</v>
      </c>
      <c r="EW437" s="399">
        <v>0</v>
      </c>
      <c r="EX437" s="399">
        <v>0</v>
      </c>
      <c r="EY437" s="399">
        <v>0</v>
      </c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437</v>
      </c>
      <c r="B438" s="399" t="s">
        <v>2330</v>
      </c>
      <c r="C438" s="399" t="s">
        <v>2328</v>
      </c>
      <c r="D438" s="399" t="s">
        <v>1821</v>
      </c>
      <c r="E438" s="399" t="s">
        <v>889</v>
      </c>
      <c r="F438" s="399" t="s">
        <v>889</v>
      </c>
      <c r="G438" s="399" t="s">
        <v>1239</v>
      </c>
      <c r="H438" s="399" t="s">
        <v>1239</v>
      </c>
      <c r="I438" s="399" t="s">
        <v>1239</v>
      </c>
      <c r="J438" s="399" t="s">
        <v>2326</v>
      </c>
      <c r="K438" s="786">
        <v>44774</v>
      </c>
      <c r="L438" s="399">
        <v>0</v>
      </c>
      <c r="M438" s="399">
        <v>0</v>
      </c>
      <c r="N438" s="399">
        <v>20.401</v>
      </c>
      <c r="O438" s="399">
        <v>20.401</v>
      </c>
      <c r="P438" s="399">
        <v>20.401</v>
      </c>
      <c r="Q438" s="399">
        <v>20.401</v>
      </c>
      <c r="R438" s="399"/>
      <c r="S438" s="399">
        <v>825.6</v>
      </c>
      <c r="T438" s="399">
        <v>185.74</v>
      </c>
      <c r="U438" s="399"/>
      <c r="V438" s="399">
        <v>20632.34734</v>
      </c>
      <c r="W438" s="399">
        <v>20632.34734</v>
      </c>
      <c r="X438" s="399">
        <v>12826.108700000001</v>
      </c>
      <c r="Y438" s="399">
        <v>0</v>
      </c>
      <c r="Z438" s="399">
        <v>1271.903733363536</v>
      </c>
      <c r="AA438" s="399">
        <v>0</v>
      </c>
      <c r="AB438" s="399">
        <v>0</v>
      </c>
      <c r="AC438" s="399">
        <v>0</v>
      </c>
      <c r="AD438" s="399">
        <v>2658.8971392299968</v>
      </c>
      <c r="AE438" s="399">
        <v>11980.890835311593</v>
      </c>
      <c r="AF438" s="399">
        <v>3789.3692182326654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196.567597210038</v>
      </c>
      <c r="AM438" s="399"/>
      <c r="AN438" s="399">
        <v>48.368064771998533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686.50383123620475</v>
      </c>
      <c r="BH438" s="399">
        <v>0</v>
      </c>
      <c r="BI438" s="399">
        <v>4.8600000000000003</v>
      </c>
      <c r="BJ438" s="399">
        <v>22.4</v>
      </c>
      <c r="BK438" s="399">
        <v>6792.18</v>
      </c>
      <c r="BL438" s="399">
        <v>112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4475.8730494688698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12825.479999999998</v>
      </c>
      <c r="CJ438" s="399">
        <v>-7806.8973399999977</v>
      </c>
      <c r="CK438" s="399"/>
      <c r="CL438" s="399"/>
      <c r="CM438" s="399"/>
      <c r="CN438" s="399"/>
      <c r="CO438" s="399">
        <v>-7806.2386400000005</v>
      </c>
      <c r="CP438" s="399">
        <v>0</v>
      </c>
      <c r="CQ438" s="399">
        <v>31</v>
      </c>
      <c r="CR438" s="399">
        <v>-336.48510175113006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-244.76907011310959</v>
      </c>
      <c r="DA438" s="399">
        <v>0</v>
      </c>
      <c r="DB438" s="399">
        <v>0</v>
      </c>
      <c r="DC438" s="399">
        <v>0</v>
      </c>
      <c r="DD438" s="399">
        <v>0</v>
      </c>
      <c r="DE438" s="399">
        <v>0</v>
      </c>
      <c r="DF438" s="399">
        <v>0</v>
      </c>
      <c r="DG438" s="399">
        <v>0</v>
      </c>
      <c r="DH438" s="399">
        <v>0</v>
      </c>
      <c r="DI438" s="399">
        <v>-78.66557355125201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-10.53845969480389</v>
      </c>
      <c r="DP438" s="399">
        <v>-2.5119983919625923</v>
      </c>
      <c r="DQ438" s="399">
        <v>0</v>
      </c>
      <c r="DR438" s="399">
        <v>0</v>
      </c>
      <c r="DS438" s="399"/>
      <c r="DT438" s="399"/>
      <c r="DU438" s="399"/>
      <c r="DV438" s="399">
        <v>11980.890835311593</v>
      </c>
      <c r="DW438" s="399">
        <v>0</v>
      </c>
      <c r="DX438" s="399">
        <v>0</v>
      </c>
      <c r="DY438" s="399">
        <v>-7806.2386400000014</v>
      </c>
      <c r="DZ438" s="399">
        <v>0</v>
      </c>
      <c r="EA438" s="399">
        <v>0</v>
      </c>
      <c r="EB438" s="399">
        <v>0</v>
      </c>
      <c r="EC438" s="399">
        <v>-7469.8088776172672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221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438</v>
      </c>
      <c r="B439" s="399" t="s">
        <v>956</v>
      </c>
      <c r="C439" s="399" t="s">
        <v>2328</v>
      </c>
      <c r="D439" s="399" t="s">
        <v>1821</v>
      </c>
      <c r="E439" s="399" t="s">
        <v>889</v>
      </c>
      <c r="F439" s="399" t="s">
        <v>2331</v>
      </c>
      <c r="G439" s="399" t="s">
        <v>1239</v>
      </c>
      <c r="H439" s="399" t="s">
        <v>1239</v>
      </c>
      <c r="I439" s="399" t="s">
        <v>1239</v>
      </c>
      <c r="J439" s="399" t="s">
        <v>2326</v>
      </c>
      <c r="K439" s="786">
        <v>44774</v>
      </c>
      <c r="L439" s="399">
        <v>0</v>
      </c>
      <c r="M439" s="399">
        <v>0</v>
      </c>
      <c r="N439" s="399">
        <v>6.75</v>
      </c>
      <c r="O439" s="399">
        <v>6.75</v>
      </c>
      <c r="P439" s="399">
        <v>6.75</v>
      </c>
      <c r="Q439" s="399">
        <v>6.75</v>
      </c>
      <c r="R439" s="399"/>
      <c r="S439" s="399">
        <v>753.62</v>
      </c>
      <c r="T439" s="399">
        <v>185.74</v>
      </c>
      <c r="U439" s="399"/>
      <c r="V439" s="399">
        <v>6340.68</v>
      </c>
      <c r="W439" s="399">
        <v>6340.68</v>
      </c>
      <c r="X439" s="399">
        <v>3787.3575000000001</v>
      </c>
      <c r="Y439" s="399">
        <v>0</v>
      </c>
      <c r="Z439" s="399">
        <v>0</v>
      </c>
      <c r="AA439" s="399">
        <v>0</v>
      </c>
      <c r="AB439" s="399">
        <v>0</v>
      </c>
      <c r="AC439" s="399">
        <v>0</v>
      </c>
      <c r="AD439" s="399">
        <v>879.73901719535706</v>
      </c>
      <c r="AE439" s="399">
        <v>3964.0710327117908</v>
      </c>
      <c r="AF439" s="399">
        <v>1253.7739435846522</v>
      </c>
      <c r="AG439" s="399">
        <v>0</v>
      </c>
      <c r="AH439" s="399">
        <v>0</v>
      </c>
      <c r="AI439" s="399">
        <v>0</v>
      </c>
      <c r="AJ439" s="399">
        <v>0</v>
      </c>
      <c r="AK439" s="399">
        <v>0</v>
      </c>
      <c r="AL439" s="399">
        <v>0</v>
      </c>
      <c r="AM439" s="399"/>
      <c r="AN439" s="399">
        <v>16.003354600803398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227.14086862626255</v>
      </c>
      <c r="BH439" s="399">
        <v>0</v>
      </c>
      <c r="BI439" s="399">
        <v>0</v>
      </c>
      <c r="BJ439" s="399">
        <v>2.25</v>
      </c>
      <c r="BK439" s="399">
        <v>180</v>
      </c>
      <c r="BL439" s="399">
        <v>19</v>
      </c>
      <c r="BM439" s="399"/>
      <c r="BN439" s="399"/>
      <c r="BO439" s="399"/>
      <c r="BP439" s="399"/>
      <c r="BQ439" s="399"/>
      <c r="BR439" s="399"/>
      <c r="BS439" s="399"/>
      <c r="BT439" s="399">
        <v>2461.7925000000005</v>
      </c>
      <c r="BU439" s="399"/>
      <c r="BV439" s="399">
        <v>1480.9148122109148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1325.5650000000001</v>
      </c>
      <c r="CJ439" s="399">
        <v>-893.73</v>
      </c>
      <c r="CK439" s="399"/>
      <c r="CL439" s="399"/>
      <c r="CM439" s="399"/>
      <c r="CN439" s="399"/>
      <c r="CO439" s="399">
        <v>-2553.3224999999998</v>
      </c>
      <c r="CP439" s="399">
        <v>0</v>
      </c>
      <c r="CQ439" s="399">
        <v>31</v>
      </c>
      <c r="CR439" s="399">
        <v>-81.816931150887285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-80.985795954291007</v>
      </c>
      <c r="DA439" s="399">
        <v>0</v>
      </c>
      <c r="DB439" s="399">
        <v>0</v>
      </c>
      <c r="DC439" s="399">
        <v>0</v>
      </c>
      <c r="DD439" s="399">
        <v>0</v>
      </c>
      <c r="DE439" s="399">
        <v>0</v>
      </c>
      <c r="DF439" s="399">
        <v>0</v>
      </c>
      <c r="DG439" s="399">
        <v>0</v>
      </c>
      <c r="DH439" s="399">
        <v>0</v>
      </c>
      <c r="DI439" s="399">
        <v>0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0</v>
      </c>
      <c r="DP439" s="399">
        <v>-0.83113519659563373</v>
      </c>
      <c r="DQ439" s="399">
        <v>0</v>
      </c>
      <c r="DR439" s="399">
        <v>0</v>
      </c>
      <c r="DS439" s="399"/>
      <c r="DT439" s="399"/>
      <c r="DU439" s="399"/>
      <c r="DV439" s="399">
        <v>3964.0710327117908</v>
      </c>
      <c r="DW439" s="399">
        <v>0</v>
      </c>
      <c r="DX439" s="399">
        <v>0</v>
      </c>
      <c r="DY439" s="399">
        <v>-2553.3225000000002</v>
      </c>
      <c r="DZ439" s="399">
        <v>0</v>
      </c>
      <c r="EA439" s="399">
        <v>0</v>
      </c>
      <c r="EB439" s="399">
        <v>0</v>
      </c>
      <c r="EC439" s="399">
        <v>-2471.5067851534995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221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439</v>
      </c>
      <c r="B440" s="399" t="s">
        <v>956</v>
      </c>
      <c r="C440" s="399" t="s">
        <v>2328</v>
      </c>
      <c r="D440" s="399" t="s">
        <v>1821</v>
      </c>
      <c r="E440" s="399" t="s">
        <v>889</v>
      </c>
      <c r="F440" s="399" t="s">
        <v>2332</v>
      </c>
      <c r="G440" s="399" t="s">
        <v>1239</v>
      </c>
      <c r="H440" s="399" t="s">
        <v>1239</v>
      </c>
      <c r="I440" s="399" t="s">
        <v>1239</v>
      </c>
      <c r="J440" s="399" t="s">
        <v>2326</v>
      </c>
      <c r="K440" s="786">
        <v>44774</v>
      </c>
      <c r="L440" s="399">
        <v>0</v>
      </c>
      <c r="M440" s="399">
        <v>0</v>
      </c>
      <c r="N440" s="399">
        <v>13.456</v>
      </c>
      <c r="O440" s="399">
        <v>13.456</v>
      </c>
      <c r="P440" s="399">
        <v>13.456</v>
      </c>
      <c r="Q440" s="399">
        <v>13.456</v>
      </c>
      <c r="R440" s="399"/>
      <c r="S440" s="399">
        <v>753.62</v>
      </c>
      <c r="T440" s="399">
        <v>185.74</v>
      </c>
      <c r="U440" s="399"/>
      <c r="V440" s="399">
        <v>12640.028159999998</v>
      </c>
      <c r="W440" s="399">
        <v>12640.028159999998</v>
      </c>
      <c r="X440" s="399">
        <v>7550.0270399999999</v>
      </c>
      <c r="Y440" s="399">
        <v>0</v>
      </c>
      <c r="Z440" s="399">
        <v>0</v>
      </c>
      <c r="AA440" s="399">
        <v>0</v>
      </c>
      <c r="AB440" s="399">
        <v>0</v>
      </c>
      <c r="AC440" s="399">
        <v>0</v>
      </c>
      <c r="AD440" s="399">
        <v>1753.7434393156627</v>
      </c>
      <c r="AE440" s="399">
        <v>7902.3021949881268</v>
      </c>
      <c r="AF440" s="399">
        <v>2499.3751385000119</v>
      </c>
      <c r="AG440" s="399">
        <v>0</v>
      </c>
      <c r="AH440" s="399">
        <v>0</v>
      </c>
      <c r="AI440" s="399">
        <v>0</v>
      </c>
      <c r="AJ440" s="399">
        <v>0</v>
      </c>
      <c r="AK440" s="399">
        <v>0</v>
      </c>
      <c r="AL440" s="399">
        <v>0</v>
      </c>
      <c r="AM440" s="399"/>
      <c r="AN440" s="399">
        <v>31.902391038283035</v>
      </c>
      <c r="AO440" s="399">
        <v>0</v>
      </c>
      <c r="AP440" s="399">
        <v>0</v>
      </c>
      <c r="AQ440" s="399">
        <v>0</v>
      </c>
      <c r="AR440" s="399">
        <v>0</v>
      </c>
      <c r="AS440" s="399">
        <v>0</v>
      </c>
      <c r="AT440" s="399">
        <v>0</v>
      </c>
      <c r="AU440" s="399">
        <v>0</v>
      </c>
      <c r="AV440" s="399">
        <v>0</v>
      </c>
      <c r="AW440" s="399">
        <v>0</v>
      </c>
      <c r="AX440" s="399">
        <v>0</v>
      </c>
      <c r="AY440" s="399">
        <v>0</v>
      </c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>
        <v>0</v>
      </c>
      <c r="BG440" s="399">
        <v>452.80111529407242</v>
      </c>
      <c r="BH440" s="399">
        <v>0</v>
      </c>
      <c r="BI440" s="399">
        <v>2</v>
      </c>
      <c r="BJ440" s="399">
        <v>9.5500000000000007</v>
      </c>
      <c r="BK440" s="399">
        <v>620.89</v>
      </c>
      <c r="BL440" s="399">
        <v>33</v>
      </c>
      <c r="BM440" s="399"/>
      <c r="BN440" s="399"/>
      <c r="BO440" s="399"/>
      <c r="BP440" s="399"/>
      <c r="BQ440" s="399"/>
      <c r="BR440" s="399"/>
      <c r="BS440" s="399"/>
      <c r="BT440" s="399">
        <v>3019.9300800000001</v>
      </c>
      <c r="BU440" s="399"/>
      <c r="BV440" s="399">
        <v>2952.1762537940845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4531.4436000000005</v>
      </c>
      <c r="CJ440" s="399">
        <v>-3052.6571199999998</v>
      </c>
      <c r="CK440" s="399"/>
      <c r="CL440" s="399"/>
      <c r="CM440" s="399"/>
      <c r="CN440" s="399"/>
      <c r="CO440" s="399">
        <v>-5090.0011199999999</v>
      </c>
      <c r="CP440" s="399">
        <v>0</v>
      </c>
      <c r="CQ440" s="399">
        <v>31</v>
      </c>
      <c r="CR440" s="399">
        <v>-163.10053712093759</v>
      </c>
      <c r="CS440" s="399">
        <v>0</v>
      </c>
      <c r="CT440" s="399">
        <v>0</v>
      </c>
      <c r="CU440" s="399">
        <v>0</v>
      </c>
      <c r="CV440" s="399">
        <v>0</v>
      </c>
      <c r="CW440" s="399">
        <v>0</v>
      </c>
      <c r="CX440" s="399">
        <v>0</v>
      </c>
      <c r="CY440" s="399">
        <v>0</v>
      </c>
      <c r="CZ440" s="399">
        <v>-161.44368449791705</v>
      </c>
      <c r="DA440" s="399">
        <v>0</v>
      </c>
      <c r="DB440" s="399">
        <v>0</v>
      </c>
      <c r="DC440" s="399">
        <v>0</v>
      </c>
      <c r="DD440" s="399">
        <v>0</v>
      </c>
      <c r="DE440" s="399">
        <v>0</v>
      </c>
      <c r="DF440" s="399">
        <v>0</v>
      </c>
      <c r="DG440" s="399">
        <v>0</v>
      </c>
      <c r="DH440" s="399">
        <v>0</v>
      </c>
      <c r="DI440" s="399">
        <v>0</v>
      </c>
      <c r="DJ440" s="399"/>
      <c r="DK440" s="399">
        <v>0</v>
      </c>
      <c r="DL440" s="399">
        <v>0</v>
      </c>
      <c r="DM440" s="399">
        <v>0</v>
      </c>
      <c r="DN440" s="399">
        <v>0</v>
      </c>
      <c r="DO440" s="399">
        <v>0</v>
      </c>
      <c r="DP440" s="399">
        <v>-1.6568526230208604</v>
      </c>
      <c r="DQ440" s="399">
        <v>0</v>
      </c>
      <c r="DR440" s="399">
        <v>0</v>
      </c>
      <c r="DS440" s="399"/>
      <c r="DT440" s="399"/>
      <c r="DU440" s="399"/>
      <c r="DV440" s="399">
        <v>7902.3021949881268</v>
      </c>
      <c r="DW440" s="399">
        <v>0</v>
      </c>
      <c r="DX440" s="399">
        <v>0</v>
      </c>
      <c r="DY440" s="399">
        <v>-5090.001119999999</v>
      </c>
      <c r="DZ440" s="399">
        <v>0</v>
      </c>
      <c r="EA440" s="399">
        <v>0</v>
      </c>
      <c r="EB440" s="399">
        <v>0</v>
      </c>
      <c r="EC440" s="399">
        <v>-4926.9030075593319</v>
      </c>
      <c r="ED440" s="399">
        <v>0</v>
      </c>
      <c r="EE440" s="399">
        <v>0</v>
      </c>
      <c r="EF440" s="399">
        <v>0</v>
      </c>
      <c r="EG440" s="399">
        <v>0</v>
      </c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>
        <v>0</v>
      </c>
      <c r="EN440" s="399">
        <v>0</v>
      </c>
      <c r="EO440" s="399">
        <v>0</v>
      </c>
      <c r="EP440" s="399">
        <v>0</v>
      </c>
      <c r="EQ440" s="399">
        <v>0</v>
      </c>
      <c r="ER440" s="399">
        <v>0</v>
      </c>
      <c r="ES440" s="399">
        <v>0</v>
      </c>
      <c r="ET440" s="399">
        <v>0</v>
      </c>
      <c r="EU440" s="399">
        <v>0</v>
      </c>
      <c r="EV440" s="399">
        <v>221</v>
      </c>
      <c r="EW440" s="399">
        <v>0</v>
      </c>
      <c r="EX440" s="399">
        <v>0</v>
      </c>
      <c r="EY440" s="399">
        <v>0</v>
      </c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440</v>
      </c>
      <c r="B441" s="399" t="s">
        <v>956</v>
      </c>
      <c r="C441" s="399" t="s">
        <v>2328</v>
      </c>
      <c r="D441" s="399" t="s">
        <v>1821</v>
      </c>
      <c r="E441" s="399" t="s">
        <v>889</v>
      </c>
      <c r="F441" s="399" t="s">
        <v>2333</v>
      </c>
      <c r="G441" s="399" t="s">
        <v>1239</v>
      </c>
      <c r="H441" s="399" t="s">
        <v>1239</v>
      </c>
      <c r="I441" s="399" t="s">
        <v>1239</v>
      </c>
      <c r="J441" s="399" t="s">
        <v>2326</v>
      </c>
      <c r="K441" s="786">
        <v>44774</v>
      </c>
      <c r="L441" s="399">
        <v>0</v>
      </c>
      <c r="M441" s="399">
        <v>0</v>
      </c>
      <c r="N441" s="399">
        <v>14.058999999999999</v>
      </c>
      <c r="O441" s="399">
        <v>14.058999999999999</v>
      </c>
      <c r="P441" s="399">
        <v>14.058999999999999</v>
      </c>
      <c r="Q441" s="399">
        <v>14.058999999999999</v>
      </c>
      <c r="R441" s="399"/>
      <c r="S441" s="399">
        <v>753.62</v>
      </c>
      <c r="T441" s="399">
        <v>185.74</v>
      </c>
      <c r="U441" s="399"/>
      <c r="V441" s="399">
        <v>13206.462240000001</v>
      </c>
      <c r="W441" s="399">
        <v>13206.462240000001</v>
      </c>
      <c r="X441" s="399">
        <v>7888.3643099999999</v>
      </c>
      <c r="Y441" s="399">
        <v>0</v>
      </c>
      <c r="Z441" s="399">
        <v>0</v>
      </c>
      <c r="AA441" s="399">
        <v>0</v>
      </c>
      <c r="AB441" s="399">
        <v>0</v>
      </c>
      <c r="AC441" s="399">
        <v>0</v>
      </c>
      <c r="AD441" s="399">
        <v>1832.3334581851148</v>
      </c>
      <c r="AE441" s="399">
        <v>8256.4258739103807</v>
      </c>
      <c r="AF441" s="399">
        <v>2611.3789441269078</v>
      </c>
      <c r="AG441" s="399">
        <v>0</v>
      </c>
      <c r="AH441" s="399">
        <v>0</v>
      </c>
      <c r="AI441" s="399">
        <v>0</v>
      </c>
      <c r="AJ441" s="399">
        <v>0</v>
      </c>
      <c r="AK441" s="399">
        <v>0</v>
      </c>
      <c r="AL441" s="399">
        <v>0</v>
      </c>
      <c r="AM441" s="399"/>
      <c r="AN441" s="399">
        <v>33.332024049288137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473.09236622468518</v>
      </c>
      <c r="BH441" s="399">
        <v>0</v>
      </c>
      <c r="BI441" s="399">
        <v>2.77</v>
      </c>
      <c r="BJ441" s="399">
        <v>13.38</v>
      </c>
      <c r="BK441" s="399">
        <v>1193.54</v>
      </c>
      <c r="BL441" s="399">
        <v>108</v>
      </c>
      <c r="BM441" s="399"/>
      <c r="BN441" s="399"/>
      <c r="BO441" s="399"/>
      <c r="BP441" s="399"/>
      <c r="BQ441" s="399"/>
      <c r="BR441" s="399"/>
      <c r="BS441" s="399"/>
      <c r="BT441" s="399">
        <v>788.70990000000063</v>
      </c>
      <c r="BU441" s="399"/>
      <c r="BV441" s="399">
        <v>3084.4713103515928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7100.1594000000005</v>
      </c>
      <c r="CJ441" s="399">
        <v>-4785.7709699999996</v>
      </c>
      <c r="CK441" s="399"/>
      <c r="CL441" s="399"/>
      <c r="CM441" s="399"/>
      <c r="CN441" s="399"/>
      <c r="CO441" s="399">
        <v>-5318.0979299999999</v>
      </c>
      <c r="CP441" s="399">
        <v>0</v>
      </c>
      <c r="CQ441" s="399">
        <v>31</v>
      </c>
      <c r="CR441" s="399">
        <v>-170.40951630375093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-168.6784156031672</v>
      </c>
      <c r="DA441" s="399">
        <v>0</v>
      </c>
      <c r="DB441" s="399">
        <v>0</v>
      </c>
      <c r="DC441" s="399">
        <v>0</v>
      </c>
      <c r="DD441" s="399">
        <v>0</v>
      </c>
      <c r="DE441" s="399">
        <v>0</v>
      </c>
      <c r="DF441" s="399">
        <v>0</v>
      </c>
      <c r="DG441" s="399">
        <v>0</v>
      </c>
      <c r="DH441" s="399">
        <v>0</v>
      </c>
      <c r="DI441" s="399">
        <v>0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0</v>
      </c>
      <c r="DP441" s="399">
        <v>-1.7311007005834043</v>
      </c>
      <c r="DQ441" s="399">
        <v>0</v>
      </c>
      <c r="DR441" s="399">
        <v>0</v>
      </c>
      <c r="DS441" s="399"/>
      <c r="DT441" s="399"/>
      <c r="DU441" s="399"/>
      <c r="DV441" s="399">
        <v>8256.4258739103807</v>
      </c>
      <c r="DW441" s="399">
        <v>0</v>
      </c>
      <c r="DX441" s="399">
        <v>0</v>
      </c>
      <c r="DY441" s="399">
        <v>-5318.0979299999999</v>
      </c>
      <c r="DZ441" s="399">
        <v>0</v>
      </c>
      <c r="EA441" s="399">
        <v>0</v>
      </c>
      <c r="EB441" s="399">
        <v>0</v>
      </c>
      <c r="EC441" s="399">
        <v>-5147.6909470330447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221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441</v>
      </c>
      <c r="B442" s="399" t="s">
        <v>956</v>
      </c>
      <c r="C442" s="399" t="s">
        <v>2328</v>
      </c>
      <c r="D442" s="399" t="s">
        <v>1821</v>
      </c>
      <c r="E442" s="399" t="s">
        <v>889</v>
      </c>
      <c r="F442" s="399" t="s">
        <v>2334</v>
      </c>
      <c r="G442" s="399" t="s">
        <v>1239</v>
      </c>
      <c r="H442" s="399" t="s">
        <v>1239</v>
      </c>
      <c r="I442" s="399" t="s">
        <v>1239</v>
      </c>
      <c r="J442" s="399" t="s">
        <v>2326</v>
      </c>
      <c r="K442" s="786">
        <v>44774</v>
      </c>
      <c r="L442" s="399">
        <v>0</v>
      </c>
      <c r="M442" s="399">
        <v>0</v>
      </c>
      <c r="N442" s="399">
        <v>6.5069999999999997</v>
      </c>
      <c r="O442" s="399">
        <v>6.5069999999999997</v>
      </c>
      <c r="P442" s="399">
        <v>6.5069999999999997</v>
      </c>
      <c r="Q442" s="399">
        <v>6.5069999999999997</v>
      </c>
      <c r="R442" s="399"/>
      <c r="S442" s="399">
        <v>753.62</v>
      </c>
      <c r="T442" s="399">
        <v>185.74</v>
      </c>
      <c r="U442" s="399"/>
      <c r="V442" s="399">
        <v>6112.4155199999996</v>
      </c>
      <c r="W442" s="399">
        <v>6112.4155199999996</v>
      </c>
      <c r="X442" s="399">
        <v>3651.0126300000002</v>
      </c>
      <c r="Y442" s="399">
        <v>0</v>
      </c>
      <c r="Z442" s="399">
        <v>0</v>
      </c>
      <c r="AA442" s="399">
        <v>0</v>
      </c>
      <c r="AB442" s="399">
        <v>0</v>
      </c>
      <c r="AC442" s="399">
        <v>0</v>
      </c>
      <c r="AD442" s="399">
        <v>848.06841257632414</v>
      </c>
      <c r="AE442" s="399">
        <v>3821.3644755341661</v>
      </c>
      <c r="AF442" s="399">
        <v>1208.6380816156047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0</v>
      </c>
      <c r="AM442" s="399"/>
      <c r="AN442" s="399">
        <v>15.427233835174473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218.96379735571708</v>
      </c>
      <c r="BH442" s="399">
        <v>0</v>
      </c>
      <c r="BI442" s="399">
        <v>1.8</v>
      </c>
      <c r="BJ442" s="399">
        <v>6.44</v>
      </c>
      <c r="BK442" s="399">
        <v>749.36</v>
      </c>
      <c r="BL442" s="399">
        <v>65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1427.6018789713219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3652.6958999999997</v>
      </c>
      <c r="CJ442" s="399">
        <v>-2459.7496200000005</v>
      </c>
      <c r="CK442" s="399"/>
      <c r="CL442" s="399"/>
      <c r="CM442" s="399"/>
      <c r="CN442" s="399"/>
      <c r="CO442" s="399">
        <v>-2461.4028899999998</v>
      </c>
      <c r="CP442" s="399">
        <v>0</v>
      </c>
      <c r="CQ442" s="399">
        <v>31</v>
      </c>
      <c r="CR442" s="399">
        <v>-78.871521629454946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-78.07030729993653</v>
      </c>
      <c r="DA442" s="399">
        <v>0</v>
      </c>
      <c r="DB442" s="399">
        <v>0</v>
      </c>
      <c r="DC442" s="399">
        <v>0</v>
      </c>
      <c r="DD442" s="399">
        <v>0</v>
      </c>
      <c r="DE442" s="399">
        <v>0</v>
      </c>
      <c r="DF442" s="399">
        <v>0</v>
      </c>
      <c r="DG442" s="399">
        <v>0</v>
      </c>
      <c r="DH442" s="399">
        <v>0</v>
      </c>
      <c r="DI442" s="399">
        <v>0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0</v>
      </c>
      <c r="DP442" s="399">
        <v>-0.80121432951818861</v>
      </c>
      <c r="DQ442" s="399">
        <v>0</v>
      </c>
      <c r="DR442" s="399">
        <v>0</v>
      </c>
      <c r="DS442" s="399"/>
      <c r="DT442" s="399"/>
      <c r="DU442" s="399"/>
      <c r="DV442" s="399">
        <v>3821.3644755341661</v>
      </c>
      <c r="DW442" s="399">
        <v>0</v>
      </c>
      <c r="DX442" s="399">
        <v>0</v>
      </c>
      <c r="DY442" s="399">
        <v>-2461.4028899999998</v>
      </c>
      <c r="DZ442" s="399">
        <v>0</v>
      </c>
      <c r="EA442" s="399">
        <v>0</v>
      </c>
      <c r="EB442" s="399">
        <v>0</v>
      </c>
      <c r="EC442" s="399">
        <v>-2382.5325408879735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221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442</v>
      </c>
      <c r="B443" s="399" t="s">
        <v>956</v>
      </c>
      <c r="C443" s="399" t="s">
        <v>2335</v>
      </c>
      <c r="D443" s="399" t="s">
        <v>1821</v>
      </c>
      <c r="E443" s="399" t="s">
        <v>889</v>
      </c>
      <c r="F443" s="399" t="s">
        <v>889</v>
      </c>
      <c r="G443" s="399" t="s">
        <v>1239</v>
      </c>
      <c r="H443" s="399" t="s">
        <v>1239</v>
      </c>
      <c r="I443" s="399" t="s">
        <v>893</v>
      </c>
      <c r="J443" s="399" t="s">
        <v>2326</v>
      </c>
      <c r="K443" s="786">
        <v>44774</v>
      </c>
      <c r="L443" s="399">
        <v>0</v>
      </c>
      <c r="M443" s="399">
        <v>0</v>
      </c>
      <c r="N443" s="399">
        <v>7.3999999999999996E-2</v>
      </c>
      <c r="O443" s="399">
        <v>7.3999999999999996E-2</v>
      </c>
      <c r="P443" s="399">
        <v>7.3999999999999996E-2</v>
      </c>
      <c r="Q443" s="399">
        <v>7.3999999999999996E-2</v>
      </c>
      <c r="R443" s="399"/>
      <c r="S443" s="399">
        <v>2045.69</v>
      </c>
      <c r="T443" s="399">
        <v>185.74</v>
      </c>
      <c r="U443" s="399"/>
      <c r="V443" s="399">
        <v>165.12581999999998</v>
      </c>
      <c r="W443" s="399">
        <v>165.12581999999998</v>
      </c>
      <c r="X443" s="399">
        <v>89.238079999999997</v>
      </c>
      <c r="Y443" s="399">
        <v>0</v>
      </c>
      <c r="Z443" s="399">
        <v>4.6135422905201544</v>
      </c>
      <c r="AA443" s="399">
        <v>0</v>
      </c>
      <c r="AB443" s="399">
        <v>0</v>
      </c>
      <c r="AC443" s="399">
        <v>0</v>
      </c>
      <c r="AD443" s="399">
        <v>26.052187297274422</v>
      </c>
      <c r="AE443" s="399">
        <v>117.3364659619441</v>
      </c>
      <c r="AF443" s="399">
        <v>13.745077307446557</v>
      </c>
      <c r="AG443" s="399">
        <v>0</v>
      </c>
      <c r="AH443" s="399">
        <v>0</v>
      </c>
      <c r="AI443" s="399">
        <v>0</v>
      </c>
      <c r="AJ443" s="399">
        <v>0</v>
      </c>
      <c r="AK443" s="399">
        <v>0</v>
      </c>
      <c r="AL443" s="399">
        <v>0.71300437201817612</v>
      </c>
      <c r="AM443" s="399"/>
      <c r="AN443" s="399">
        <v>0.17544418377177057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2.4901369301249523</v>
      </c>
      <c r="BH443" s="399">
        <v>0</v>
      </c>
      <c r="BI443" s="399">
        <v>0</v>
      </c>
      <c r="BJ443" s="399">
        <v>0</v>
      </c>
      <c r="BK443" s="399">
        <v>0</v>
      </c>
      <c r="BL443" s="399">
        <v>0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16.235214237571508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84.414400000000001</v>
      </c>
      <c r="CJ443" s="399">
        <v>-80.741419999999948</v>
      </c>
      <c r="CK443" s="399"/>
      <c r="CL443" s="399"/>
      <c r="CM443" s="399"/>
      <c r="CN443" s="399"/>
      <c r="CO443" s="399">
        <v>-75.887740000000008</v>
      </c>
      <c r="CP443" s="399">
        <v>0</v>
      </c>
      <c r="CQ443" s="399">
        <v>31</v>
      </c>
      <c r="CR443" s="399">
        <v>-2.7309552754729935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-2.398276174389057</v>
      </c>
      <c r="DA443" s="399">
        <v>0</v>
      </c>
      <c r="DB443" s="399">
        <v>0</v>
      </c>
      <c r="DC443" s="399">
        <v>0</v>
      </c>
      <c r="DD443" s="399">
        <v>0</v>
      </c>
      <c r="DE443" s="399">
        <v>0</v>
      </c>
      <c r="DF443" s="399">
        <v>0</v>
      </c>
      <c r="DG443" s="399">
        <v>0</v>
      </c>
      <c r="DH443" s="399">
        <v>0</v>
      </c>
      <c r="DI443" s="399">
        <v>-0.28534152457196527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-3.8225872134478034E-2</v>
      </c>
      <c r="DP443" s="399">
        <v>-9.1117043774928685E-3</v>
      </c>
      <c r="DQ443" s="399">
        <v>0</v>
      </c>
      <c r="DR443" s="399">
        <v>0</v>
      </c>
      <c r="DS443" s="399"/>
      <c r="DT443" s="399"/>
      <c r="DU443" s="399"/>
      <c r="DV443" s="399">
        <v>117.3364659619441</v>
      </c>
      <c r="DW443" s="399">
        <v>0</v>
      </c>
      <c r="DX443" s="399">
        <v>0</v>
      </c>
      <c r="DY443" s="399">
        <v>-75.887739999999994</v>
      </c>
      <c r="DZ443" s="399">
        <v>0</v>
      </c>
      <c r="EA443" s="399">
        <v>0</v>
      </c>
      <c r="EB443" s="399">
        <v>0</v>
      </c>
      <c r="EC443" s="399">
        <v>-73.156578017344899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221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443</v>
      </c>
      <c r="B444" s="399" t="s">
        <v>956</v>
      </c>
      <c r="C444" s="399" t="s">
        <v>2335</v>
      </c>
      <c r="D444" s="399" t="s">
        <v>1821</v>
      </c>
      <c r="E444" s="399" t="s">
        <v>889</v>
      </c>
      <c r="F444" s="399" t="s">
        <v>889</v>
      </c>
      <c r="G444" s="399" t="s">
        <v>1239</v>
      </c>
      <c r="H444" s="399" t="s">
        <v>1239</v>
      </c>
      <c r="I444" s="399" t="s">
        <v>2323</v>
      </c>
      <c r="J444" s="399" t="s">
        <v>2326</v>
      </c>
      <c r="K444" s="786">
        <v>44774</v>
      </c>
      <c r="L444" s="399">
        <v>0</v>
      </c>
      <c r="M444" s="399">
        <v>0</v>
      </c>
      <c r="N444" s="399">
        <v>0.68</v>
      </c>
      <c r="O444" s="399">
        <v>0.68</v>
      </c>
      <c r="P444" s="399">
        <v>0.68</v>
      </c>
      <c r="Q444" s="399">
        <v>0.68</v>
      </c>
      <c r="R444" s="399"/>
      <c r="S444" s="399">
        <v>495.6</v>
      </c>
      <c r="T444" s="399">
        <v>185.74</v>
      </c>
      <c r="U444" s="399"/>
      <c r="V444" s="399">
        <v>463.31120000000004</v>
      </c>
      <c r="W444" s="399">
        <v>463.31120000000004</v>
      </c>
      <c r="X444" s="399">
        <v>321.39519999999999</v>
      </c>
      <c r="Y444" s="399">
        <v>0</v>
      </c>
      <c r="Z444" s="399">
        <v>42.394712939914939</v>
      </c>
      <c r="AA444" s="399">
        <v>0</v>
      </c>
      <c r="AB444" s="399">
        <v>0</v>
      </c>
      <c r="AC444" s="399">
        <v>0</v>
      </c>
      <c r="AD444" s="399">
        <v>47.923484371589822</v>
      </c>
      <c r="AE444" s="399">
        <v>215.64522871181066</v>
      </c>
      <c r="AF444" s="399">
        <v>126.30611579815758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6.551932067194052</v>
      </c>
      <c r="AM444" s="399"/>
      <c r="AN444" s="399">
        <v>1.6121897968216756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22.882339357904968</v>
      </c>
      <c r="BH444" s="399">
        <v>0</v>
      </c>
      <c r="BI444" s="399">
        <v>0</v>
      </c>
      <c r="BJ444" s="399">
        <v>0</v>
      </c>
      <c r="BK444" s="399">
        <v>0</v>
      </c>
      <c r="BL444" s="399">
        <v>0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149.18845515606256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321.39519999999999</v>
      </c>
      <c r="CJ444" s="399">
        <v>-141.94600000000003</v>
      </c>
      <c r="CK444" s="399"/>
      <c r="CL444" s="399"/>
      <c r="CM444" s="399"/>
      <c r="CN444" s="399"/>
      <c r="CO444" s="399">
        <v>-141.91600000000005</v>
      </c>
      <c r="CP444" s="399">
        <v>0</v>
      </c>
      <c r="CQ444" s="399">
        <v>31</v>
      </c>
      <c r="CR444" s="399">
        <v>-7.4687249465634125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-4.4116737474137011</v>
      </c>
      <c r="DA444" s="399">
        <v>0</v>
      </c>
      <c r="DB444" s="399">
        <v>0</v>
      </c>
      <c r="DC444" s="399">
        <v>0</v>
      </c>
      <c r="DD444" s="399">
        <v>0</v>
      </c>
      <c r="DE444" s="399">
        <v>0</v>
      </c>
      <c r="DF444" s="399">
        <v>0</v>
      </c>
      <c r="DG444" s="399">
        <v>0</v>
      </c>
      <c r="DH444" s="399">
        <v>0</v>
      </c>
      <c r="DI444" s="399">
        <v>-2.6220572528234669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-0.35126477096547415</v>
      </c>
      <c r="DP444" s="399">
        <v>-8.3729175360745201E-2</v>
      </c>
      <c r="DQ444" s="399">
        <v>0</v>
      </c>
      <c r="DR444" s="399">
        <v>0</v>
      </c>
      <c r="DS444" s="399"/>
      <c r="DT444" s="399"/>
      <c r="DU444" s="399"/>
      <c r="DV444" s="399">
        <v>215.64522871181066</v>
      </c>
      <c r="DW444" s="399">
        <v>0</v>
      </c>
      <c r="DX444" s="399">
        <v>0</v>
      </c>
      <c r="DY444" s="399">
        <v>-141.91600000000005</v>
      </c>
      <c r="DZ444" s="399">
        <v>0</v>
      </c>
      <c r="EA444" s="399">
        <v>0</v>
      </c>
      <c r="EB444" s="399">
        <v>0</v>
      </c>
      <c r="EC444" s="399">
        <v>-134.44982230366813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221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444</v>
      </c>
      <c r="B445" s="399" t="s">
        <v>956</v>
      </c>
      <c r="C445" s="399" t="s">
        <v>2335</v>
      </c>
      <c r="D445" s="399" t="s">
        <v>1821</v>
      </c>
      <c r="E445" s="399" t="s">
        <v>889</v>
      </c>
      <c r="F445" s="399" t="s">
        <v>889</v>
      </c>
      <c r="G445" s="399" t="s">
        <v>1239</v>
      </c>
      <c r="H445" s="399" t="s">
        <v>1239</v>
      </c>
      <c r="I445" s="399" t="s">
        <v>1239</v>
      </c>
      <c r="J445" s="399" t="s">
        <v>2326</v>
      </c>
      <c r="K445" s="786">
        <v>44774</v>
      </c>
      <c r="L445" s="399">
        <v>0</v>
      </c>
      <c r="M445" s="399">
        <v>0</v>
      </c>
      <c r="N445" s="399">
        <v>0</v>
      </c>
      <c r="O445" s="399">
        <v>0</v>
      </c>
      <c r="P445" s="399">
        <v>0</v>
      </c>
      <c r="Q445" s="399">
        <v>0</v>
      </c>
      <c r="R445" s="399"/>
      <c r="S445" s="399"/>
      <c r="T445" s="399"/>
      <c r="U445" s="399"/>
      <c r="V445" s="399"/>
      <c r="W445" s="399"/>
      <c r="X445" s="399"/>
      <c r="Y445" s="399"/>
      <c r="Z445" s="399"/>
      <c r="AA445" s="399">
        <v>0</v>
      </c>
      <c r="AB445" s="399"/>
      <c r="AC445" s="399"/>
      <c r="AD445" s="399"/>
      <c r="AE445" s="399"/>
      <c r="AF445" s="399"/>
      <c r="AG445" s="399"/>
      <c r="AH445" s="399"/>
      <c r="AI445" s="399"/>
      <c r="AJ445" s="399"/>
      <c r="AK445" s="399"/>
      <c r="AL445" s="399"/>
      <c r="AM445" s="399"/>
      <c r="AN445" s="399"/>
      <c r="AO445" s="399"/>
      <c r="AP445" s="399"/>
      <c r="AQ445" s="399"/>
      <c r="AR445" s="399"/>
      <c r="AS445" s="399"/>
      <c r="AT445" s="399"/>
      <c r="AU445" s="399"/>
      <c r="AV445" s="399"/>
      <c r="AW445" s="399"/>
      <c r="AX445" s="399"/>
      <c r="AY445" s="399"/>
      <c r="AZ445" s="399">
        <v>0</v>
      </c>
      <c r="BA445" s="399"/>
      <c r="BB445" s="399"/>
      <c r="BC445" s="399"/>
      <c r="BD445" s="399"/>
      <c r="BE445" s="399"/>
      <c r="BF445" s="399"/>
      <c r="BG445" s="399"/>
      <c r="BH445" s="399"/>
      <c r="BI445" s="399">
        <v>0.18</v>
      </c>
      <c r="BJ445" s="399">
        <v>0.82</v>
      </c>
      <c r="BK445" s="399">
        <v>74.97</v>
      </c>
      <c r="BL445" s="399">
        <v>2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/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/>
      <c r="CJ445" s="399">
        <v>-0.03</v>
      </c>
      <c r="CK445" s="399"/>
      <c r="CL445" s="399"/>
      <c r="CM445" s="399"/>
      <c r="CN445" s="399"/>
      <c r="CO445" s="399">
        <v>0</v>
      </c>
      <c r="CP445" s="399">
        <v>0</v>
      </c>
      <c r="CQ445" s="399">
        <v>31</v>
      </c>
      <c r="CR445" s="399"/>
      <c r="CS445" s="399"/>
      <c r="CT445" s="399"/>
      <c r="CU445" s="399"/>
      <c r="CV445" s="399"/>
      <c r="CW445" s="399"/>
      <c r="CX445" s="399"/>
      <c r="CY445" s="399"/>
      <c r="CZ445" s="399"/>
      <c r="DA445" s="399"/>
      <c r="DB445" s="399"/>
      <c r="DC445" s="399"/>
      <c r="DD445" s="399"/>
      <c r="DE445" s="399"/>
      <c r="DF445" s="399"/>
      <c r="DG445" s="399"/>
      <c r="DH445" s="399"/>
      <c r="DI445" s="399"/>
      <c r="DJ445" s="399"/>
      <c r="DK445" s="399">
        <v>0</v>
      </c>
      <c r="DL445" s="399"/>
      <c r="DM445" s="399"/>
      <c r="DN445" s="399"/>
      <c r="DO445" s="399"/>
      <c r="DP445" s="399"/>
      <c r="DQ445" s="399"/>
      <c r="DR445" s="399"/>
      <c r="DS445" s="399"/>
      <c r="DT445" s="399"/>
      <c r="DU445" s="399"/>
      <c r="DV445" s="399"/>
      <c r="DW445" s="399"/>
      <c r="DX445" s="399"/>
      <c r="DY445" s="399"/>
      <c r="DZ445" s="399"/>
      <c r="EA445" s="399"/>
      <c r="EB445" s="399"/>
      <c r="EC445" s="399"/>
      <c r="ED445" s="399"/>
      <c r="EE445" s="399"/>
      <c r="EF445" s="399"/>
      <c r="EG445" s="399"/>
      <c r="EH445" s="399"/>
      <c r="EI445" s="399"/>
      <c r="EJ445" s="399"/>
      <c r="EK445" s="399"/>
      <c r="EL445" s="399"/>
      <c r="EM445" s="399"/>
      <c r="EN445" s="399"/>
      <c r="EO445" s="399"/>
      <c r="EP445" s="399"/>
      <c r="EQ445" s="399"/>
      <c r="ER445" s="399"/>
      <c r="ES445" s="399"/>
      <c r="ET445" s="399"/>
      <c r="EU445" s="399"/>
      <c r="EV445" s="399">
        <v>221</v>
      </c>
      <c r="EW445" s="399"/>
      <c r="EX445" s="399"/>
      <c r="EY445" s="399"/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445</v>
      </c>
      <c r="B446" s="399" t="s">
        <v>956</v>
      </c>
      <c r="C446" s="399" t="s">
        <v>2335</v>
      </c>
      <c r="D446" s="399" t="s">
        <v>1821</v>
      </c>
      <c r="E446" s="399" t="s">
        <v>889</v>
      </c>
      <c r="F446" s="399" t="s">
        <v>889</v>
      </c>
      <c r="G446" s="399" t="s">
        <v>1239</v>
      </c>
      <c r="H446" s="399" t="s">
        <v>1239</v>
      </c>
      <c r="I446" s="399" t="s">
        <v>2336</v>
      </c>
      <c r="J446" s="399" t="s">
        <v>2326</v>
      </c>
      <c r="K446" s="786">
        <v>44774</v>
      </c>
      <c r="L446" s="399">
        <v>0</v>
      </c>
      <c r="M446" s="399">
        <v>0</v>
      </c>
      <c r="N446" s="399">
        <v>2.8000000000000001E-2</v>
      </c>
      <c r="O446" s="399">
        <v>2.8000000000000001E-2</v>
      </c>
      <c r="P446" s="399">
        <v>2.8000000000000001E-2</v>
      </c>
      <c r="Q446" s="399">
        <v>2.8000000000000001E-2</v>
      </c>
      <c r="R446" s="399"/>
      <c r="S446" s="399">
        <v>1270.6099999999999</v>
      </c>
      <c r="T446" s="399">
        <v>185.74</v>
      </c>
      <c r="U446" s="399"/>
      <c r="V446" s="399">
        <v>40.777799999999999</v>
      </c>
      <c r="W446" s="399">
        <v>40.777799999999999</v>
      </c>
      <c r="X446" s="399">
        <v>23.499000000000002</v>
      </c>
      <c r="Y446" s="399">
        <v>0</v>
      </c>
      <c r="Z446" s="399">
        <v>1.7456646504670856</v>
      </c>
      <c r="AA446" s="399">
        <v>0</v>
      </c>
      <c r="AB446" s="399">
        <v>0</v>
      </c>
      <c r="AC446" s="399">
        <v>0</v>
      </c>
      <c r="AD446" s="399">
        <v>5.9145511901327321</v>
      </c>
      <c r="AE446" s="399">
        <v>26.638562880239967</v>
      </c>
      <c r="AF446" s="399">
        <v>5.2008400622770763</v>
      </c>
      <c r="AG446" s="399">
        <v>0</v>
      </c>
      <c r="AH446" s="399">
        <v>0</v>
      </c>
      <c r="AI446" s="399">
        <v>0</v>
      </c>
      <c r="AJ446" s="399">
        <v>0</v>
      </c>
      <c r="AK446" s="399">
        <v>0</v>
      </c>
      <c r="AL446" s="399">
        <v>0.26978543806093153</v>
      </c>
      <c r="AM446" s="399"/>
      <c r="AN446" s="399">
        <v>6.6384285751480754E-2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0.94221397356079284</v>
      </c>
      <c r="BH446" s="399">
        <v>0</v>
      </c>
      <c r="BI446" s="399">
        <v>0</v>
      </c>
      <c r="BJ446" s="399">
        <v>0</v>
      </c>
      <c r="BK446" s="399">
        <v>0</v>
      </c>
      <c r="BL446" s="399">
        <v>0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6.1430540358378689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25.177500000000002</v>
      </c>
      <c r="CJ446" s="399">
        <v>-15.630299999999991</v>
      </c>
      <c r="CK446" s="399"/>
      <c r="CL446" s="399"/>
      <c r="CM446" s="399"/>
      <c r="CN446" s="399"/>
      <c r="CO446" s="399">
        <v>-17.278799999999997</v>
      </c>
      <c r="CP446" s="399">
        <v>0</v>
      </c>
      <c r="CQ446" s="399">
        <v>31</v>
      </c>
      <c r="CR446" s="399">
        <v>-0.67035214024582324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-0.5444735614573073</v>
      </c>
      <c r="DA446" s="399">
        <v>0</v>
      </c>
      <c r="DB446" s="399">
        <v>0</v>
      </c>
      <c r="DC446" s="399">
        <v>0</v>
      </c>
      <c r="DD446" s="399">
        <v>0</v>
      </c>
      <c r="DE446" s="399">
        <v>0</v>
      </c>
      <c r="DF446" s="399">
        <v>0</v>
      </c>
      <c r="DG446" s="399">
        <v>0</v>
      </c>
      <c r="DH446" s="399">
        <v>0</v>
      </c>
      <c r="DI446" s="399">
        <v>-0.10796706335155437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-1.4463843510343077E-2</v>
      </c>
      <c r="DP446" s="399">
        <v>-3.4476719266189199E-3</v>
      </c>
      <c r="DQ446" s="399">
        <v>0</v>
      </c>
      <c r="DR446" s="399">
        <v>0</v>
      </c>
      <c r="DS446" s="399"/>
      <c r="DT446" s="399"/>
      <c r="DU446" s="399"/>
      <c r="DV446" s="399">
        <v>26.638562880239967</v>
      </c>
      <c r="DW446" s="399">
        <v>0</v>
      </c>
      <c r="DX446" s="399">
        <v>0</v>
      </c>
      <c r="DY446" s="399">
        <v>-17.278799999999993</v>
      </c>
      <c r="DZ446" s="399">
        <v>0</v>
      </c>
      <c r="EA446" s="399">
        <v>0</v>
      </c>
      <c r="EB446" s="399">
        <v>0</v>
      </c>
      <c r="EC446" s="399">
        <v>-16.608529050553436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221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446</v>
      </c>
      <c r="B447" s="399" t="s">
        <v>956</v>
      </c>
      <c r="C447" s="399" t="s">
        <v>2328</v>
      </c>
      <c r="D447" s="399" t="s">
        <v>1824</v>
      </c>
      <c r="E447" s="399" t="s">
        <v>890</v>
      </c>
      <c r="F447" s="399" t="s">
        <v>1239</v>
      </c>
      <c r="G447" s="399" t="s">
        <v>1239</v>
      </c>
      <c r="H447" s="399" t="s">
        <v>1239</v>
      </c>
      <c r="I447" s="399" t="s">
        <v>1239</v>
      </c>
      <c r="J447" s="399" t="s">
        <v>2326</v>
      </c>
      <c r="K447" s="786">
        <v>44774</v>
      </c>
      <c r="L447" s="399">
        <v>0</v>
      </c>
      <c r="M447" s="399">
        <v>0</v>
      </c>
      <c r="N447" s="399">
        <v>39.868000000000002</v>
      </c>
      <c r="O447" s="399">
        <v>39.868000000000002</v>
      </c>
      <c r="P447" s="399">
        <v>39.868000000000002</v>
      </c>
      <c r="Q447" s="399">
        <v>39.868000000000002</v>
      </c>
      <c r="R447" s="399"/>
      <c r="S447" s="399">
        <v>825.6</v>
      </c>
      <c r="T447" s="399">
        <v>185.74</v>
      </c>
      <c r="U447" s="399"/>
      <c r="V447" s="399">
        <v>40320.103120000007</v>
      </c>
      <c r="W447" s="399">
        <v>40320.103120000007</v>
      </c>
      <c r="X447" s="399">
        <v>25065.011600000002</v>
      </c>
      <c r="Y447" s="399">
        <v>0</v>
      </c>
      <c r="Z447" s="399">
        <v>2485.5770816007775</v>
      </c>
      <c r="AA447" s="399">
        <v>0</v>
      </c>
      <c r="AB447" s="399">
        <v>0</v>
      </c>
      <c r="AC447" s="399">
        <v>0</v>
      </c>
      <c r="AD447" s="399">
        <v>5196.0644648214065</v>
      </c>
      <c r="AE447" s="399">
        <v>23413.271693652398</v>
      </c>
      <c r="AF447" s="399">
        <v>7405.2532715308034</v>
      </c>
      <c r="AG447" s="399">
        <v>0</v>
      </c>
      <c r="AH447" s="399">
        <v>0</v>
      </c>
      <c r="AI447" s="399">
        <v>0</v>
      </c>
      <c r="AJ447" s="399">
        <v>0</v>
      </c>
      <c r="AK447" s="399">
        <v>0</v>
      </c>
      <c r="AL447" s="399">
        <v>384.13592302190068</v>
      </c>
      <c r="AM447" s="399"/>
      <c r="AN447" s="399">
        <v>94.521739440715535</v>
      </c>
      <c r="AO447" s="399">
        <v>0</v>
      </c>
      <c r="AP447" s="399">
        <v>0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1341.5780963543461</v>
      </c>
      <c r="BH447" s="399">
        <v>0</v>
      </c>
      <c r="BI447" s="399">
        <v>10.1</v>
      </c>
      <c r="BJ447" s="399">
        <v>47.66</v>
      </c>
      <c r="BK447" s="399">
        <v>5145.66</v>
      </c>
      <c r="BL447" s="399">
        <v>44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>
        <v>8746.83136788515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25066.268999999997</v>
      </c>
      <c r="CJ447" s="399">
        <v>-15253.864120000017</v>
      </c>
      <c r="CK447" s="399"/>
      <c r="CL447" s="399"/>
      <c r="CM447" s="399"/>
      <c r="CN447" s="399"/>
      <c r="CO447" s="399">
        <v>-15255.091520000002</v>
      </c>
      <c r="CP447" s="399">
        <v>0</v>
      </c>
      <c r="CQ447" s="399">
        <v>31</v>
      </c>
      <c r="CR447" s="399">
        <v>-657.56521918602266</v>
      </c>
      <c r="CS447" s="399">
        <v>0</v>
      </c>
      <c r="CT447" s="399">
        <v>0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-478.33210564528508</v>
      </c>
      <c r="DA447" s="399">
        <v>0</v>
      </c>
      <c r="DB447" s="399">
        <v>0</v>
      </c>
      <c r="DC447" s="399">
        <v>0</v>
      </c>
      <c r="DD447" s="399">
        <v>0</v>
      </c>
      <c r="DE447" s="399">
        <v>0</v>
      </c>
      <c r="DF447" s="399">
        <v>0</v>
      </c>
      <c r="DG447" s="399">
        <v>0</v>
      </c>
      <c r="DH447" s="399">
        <v>0</v>
      </c>
      <c r="DI447" s="399">
        <v>-153.72967434642032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-20.594446895369913</v>
      </c>
      <c r="DP447" s="399">
        <v>-4.9089922989443977</v>
      </c>
      <c r="DQ447" s="399">
        <v>0</v>
      </c>
      <c r="DR447" s="399">
        <v>0</v>
      </c>
      <c r="DS447" s="399"/>
      <c r="DT447" s="399"/>
      <c r="DU447" s="399"/>
      <c r="DV447" s="399">
        <v>23413.271693652398</v>
      </c>
      <c r="DW447" s="399">
        <v>0</v>
      </c>
      <c r="DX447" s="399">
        <v>0</v>
      </c>
      <c r="DY447" s="399">
        <v>-15255.091520000005</v>
      </c>
      <c r="DZ447" s="399">
        <v>0</v>
      </c>
      <c r="EA447" s="399">
        <v>0</v>
      </c>
      <c r="EB447" s="399">
        <v>0</v>
      </c>
      <c r="EC447" s="399">
        <v>-14597.63444599996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0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221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447</v>
      </c>
      <c r="B448" s="399" t="s">
        <v>2330</v>
      </c>
      <c r="C448" s="399" t="s">
        <v>2328</v>
      </c>
      <c r="D448" s="399" t="s">
        <v>1824</v>
      </c>
      <c r="E448" s="399" t="s">
        <v>890</v>
      </c>
      <c r="F448" s="399" t="s">
        <v>1239</v>
      </c>
      <c r="G448" s="399" t="s">
        <v>1239</v>
      </c>
      <c r="H448" s="399" t="s">
        <v>1239</v>
      </c>
      <c r="I448" s="399" t="s">
        <v>1239</v>
      </c>
      <c r="J448" s="399" t="s">
        <v>2326</v>
      </c>
      <c r="K448" s="786">
        <v>44774</v>
      </c>
      <c r="L448" s="399">
        <v>0</v>
      </c>
      <c r="M448" s="399">
        <v>0</v>
      </c>
      <c r="N448" s="399">
        <v>7.0250000000000004</v>
      </c>
      <c r="O448" s="399">
        <v>7.0250000000000004</v>
      </c>
      <c r="P448" s="399">
        <v>7.0250000000000004</v>
      </c>
      <c r="Q448" s="399">
        <v>7.0250000000000004</v>
      </c>
      <c r="R448" s="399"/>
      <c r="S448" s="399">
        <v>825.6</v>
      </c>
      <c r="T448" s="399">
        <v>185.74</v>
      </c>
      <c r="U448" s="399"/>
      <c r="V448" s="399">
        <v>7104.6635000000006</v>
      </c>
      <c r="W448" s="399">
        <v>7104.6635000000006</v>
      </c>
      <c r="X448" s="399">
        <v>4416.6175000000003</v>
      </c>
      <c r="Y448" s="399">
        <v>0</v>
      </c>
      <c r="Z448" s="399">
        <v>437.97479176897417</v>
      </c>
      <c r="AA448" s="399">
        <v>0</v>
      </c>
      <c r="AB448" s="399">
        <v>0</v>
      </c>
      <c r="AC448" s="399">
        <v>0</v>
      </c>
      <c r="AD448" s="399">
        <v>915.58023641442719</v>
      </c>
      <c r="AE448" s="399">
        <v>4125.5702229333829</v>
      </c>
      <c r="AF448" s="399">
        <v>1304.8536227677307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67.687239370644434</v>
      </c>
      <c r="AM448" s="399"/>
      <c r="AN448" s="399">
        <v>16.65534312157687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236.39475586659177</v>
      </c>
      <c r="BH448" s="399">
        <v>0</v>
      </c>
      <c r="BI448" s="399">
        <v>1.78</v>
      </c>
      <c r="BJ448" s="399">
        <v>8.39</v>
      </c>
      <c r="BK448" s="399">
        <v>1434.91</v>
      </c>
      <c r="BL448" s="399">
        <v>3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>
        <v>1541.2483786343225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4419.7610000000004</v>
      </c>
      <c r="CJ448" s="399">
        <v>-2684.9325000000008</v>
      </c>
      <c r="CK448" s="399"/>
      <c r="CL448" s="399"/>
      <c r="CM448" s="399"/>
      <c r="CN448" s="399"/>
      <c r="CO448" s="399">
        <v>-2688.0460000000003</v>
      </c>
      <c r="CP448" s="399">
        <v>0</v>
      </c>
      <c r="CQ448" s="399">
        <v>31</v>
      </c>
      <c r="CR448" s="399">
        <v>-115.8672535562805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-84.285217270947328</v>
      </c>
      <c r="DA448" s="399">
        <v>0</v>
      </c>
      <c r="DB448" s="399">
        <v>0</v>
      </c>
      <c r="DC448" s="399">
        <v>0</v>
      </c>
      <c r="DD448" s="399">
        <v>0</v>
      </c>
      <c r="DE448" s="399">
        <v>0</v>
      </c>
      <c r="DF448" s="399">
        <v>0</v>
      </c>
      <c r="DG448" s="399">
        <v>0</v>
      </c>
      <c r="DH448" s="399">
        <v>0</v>
      </c>
      <c r="DI448" s="399">
        <v>-27.088165001595371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-3.6288750235771516</v>
      </c>
      <c r="DP448" s="399">
        <v>-0.86499626016063935</v>
      </c>
      <c r="DQ448" s="399">
        <v>0</v>
      </c>
      <c r="DR448" s="399">
        <v>0</v>
      </c>
      <c r="DS448" s="399"/>
      <c r="DT448" s="399"/>
      <c r="DU448" s="399"/>
      <c r="DV448" s="399">
        <v>4125.5702229333829</v>
      </c>
      <c r="DW448" s="399">
        <v>0</v>
      </c>
      <c r="DX448" s="399">
        <v>0</v>
      </c>
      <c r="DY448" s="399">
        <v>-2688.0460000000003</v>
      </c>
      <c r="DZ448" s="399">
        <v>0</v>
      </c>
      <c r="EA448" s="399">
        <v>0</v>
      </c>
      <c r="EB448" s="399">
        <v>0</v>
      </c>
      <c r="EC448" s="399">
        <v>-2572.1978023264205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221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448</v>
      </c>
      <c r="B449" s="399" t="s">
        <v>956</v>
      </c>
      <c r="C449" s="399" t="s">
        <v>2325</v>
      </c>
      <c r="D449" s="399" t="s">
        <v>533</v>
      </c>
      <c r="E449" s="399" t="s">
        <v>890</v>
      </c>
      <c r="F449" s="399" t="s">
        <v>1239</v>
      </c>
      <c r="G449" s="399" t="s">
        <v>1239</v>
      </c>
      <c r="H449" s="399" t="s">
        <v>1239</v>
      </c>
      <c r="I449" s="399" t="s">
        <v>893</v>
      </c>
      <c r="J449" s="399" t="s">
        <v>2326</v>
      </c>
      <c r="K449" s="786">
        <v>44774</v>
      </c>
      <c r="L449" s="399">
        <v>0</v>
      </c>
      <c r="M449" s="399">
        <v>0</v>
      </c>
      <c r="N449" s="399">
        <v>1.976</v>
      </c>
      <c r="O449" s="399">
        <v>1.976</v>
      </c>
      <c r="P449" s="399">
        <v>1.976</v>
      </c>
      <c r="Q449" s="399">
        <v>1.976</v>
      </c>
      <c r="R449" s="399"/>
      <c r="S449" s="399">
        <v>4433.21</v>
      </c>
      <c r="T449" s="399">
        <v>185.74</v>
      </c>
      <c r="U449" s="399"/>
      <c r="V449" s="399">
        <v>9127.0452000000005</v>
      </c>
      <c r="W449" s="399">
        <v>9127.0452000000005</v>
      </c>
      <c r="X449" s="399">
        <v>4763.3851200000008</v>
      </c>
      <c r="Y449" s="399">
        <v>0</v>
      </c>
      <c r="Z449" s="399">
        <v>107.17882192539186</v>
      </c>
      <c r="AA449" s="399">
        <v>0</v>
      </c>
      <c r="AB449" s="399">
        <v>0</v>
      </c>
      <c r="AC449" s="399">
        <v>0</v>
      </c>
      <c r="AD449" s="399">
        <v>1900.1669984574651</v>
      </c>
      <c r="AE449" s="399">
        <v>6705.9187075208365</v>
      </c>
      <c r="AF449" s="399">
        <v>367.03071296641082</v>
      </c>
      <c r="AG449" s="399">
        <v>0</v>
      </c>
      <c r="AH449" s="399">
        <v>0</v>
      </c>
      <c r="AI449" s="399">
        <v>0</v>
      </c>
      <c r="AJ449" s="399">
        <v>0</v>
      </c>
      <c r="AK449" s="399">
        <v>0</v>
      </c>
      <c r="AL449" s="399">
        <v>19.039143771728597</v>
      </c>
      <c r="AM449" s="399"/>
      <c r="AN449" s="399">
        <v>2.0469016929639658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25.672535423800916</v>
      </c>
      <c r="BH449" s="399">
        <v>0</v>
      </c>
      <c r="BI449" s="399">
        <v>0</v>
      </c>
      <c r="BJ449" s="399">
        <v>0</v>
      </c>
      <c r="BK449" s="399">
        <v>0</v>
      </c>
      <c r="BL449" s="399">
        <v>0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>
        <v>392.70324839021174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4773.0276000000003</v>
      </c>
      <c r="CJ449" s="399">
        <v>-4354.0476000000008</v>
      </c>
      <c r="CK449" s="399"/>
      <c r="CL449" s="399"/>
      <c r="CM449" s="399"/>
      <c r="CN449" s="399"/>
      <c r="CO449" s="399">
        <v>-4363.6600799999997</v>
      </c>
      <c r="CP449" s="399">
        <v>0</v>
      </c>
      <c r="CQ449" s="399">
        <v>31</v>
      </c>
      <c r="CR449" s="399">
        <v>-182.67885097589033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-174.92294170008768</v>
      </c>
      <c r="DA449" s="399">
        <v>0</v>
      </c>
      <c r="DB449" s="399">
        <v>0</v>
      </c>
      <c r="DC449" s="399">
        <v>0</v>
      </c>
      <c r="DD449" s="399">
        <v>0</v>
      </c>
      <c r="DE449" s="399">
        <v>0</v>
      </c>
      <c r="DF449" s="399">
        <v>0</v>
      </c>
      <c r="DG449" s="399">
        <v>0</v>
      </c>
      <c r="DH449" s="399">
        <v>0</v>
      </c>
      <c r="DI449" s="399">
        <v>-6.6288692124615238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-1.0207340991584957</v>
      </c>
      <c r="DP449" s="399">
        <v>-0.10630596418253924</v>
      </c>
      <c r="DQ449" s="399">
        <v>0</v>
      </c>
      <c r="DR449" s="399">
        <v>0</v>
      </c>
      <c r="DS449" s="399"/>
      <c r="DT449" s="399"/>
      <c r="DU449" s="399"/>
      <c r="DV449" s="399">
        <v>6705.9187075208365</v>
      </c>
      <c r="DW449" s="399">
        <v>0</v>
      </c>
      <c r="DX449" s="399">
        <v>0</v>
      </c>
      <c r="DY449" s="399">
        <v>-4363.6600799999997</v>
      </c>
      <c r="DZ449" s="399">
        <v>0</v>
      </c>
      <c r="EA449" s="399">
        <v>0</v>
      </c>
      <c r="EB449" s="399">
        <v>0</v>
      </c>
      <c r="EC449" s="399">
        <v>-4180.9855195726777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0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221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449</v>
      </c>
      <c r="B450" s="399" t="s">
        <v>956</v>
      </c>
      <c r="C450" s="399" t="s">
        <v>2325</v>
      </c>
      <c r="D450" s="399" t="s">
        <v>533</v>
      </c>
      <c r="E450" s="399" t="s">
        <v>890</v>
      </c>
      <c r="F450" s="399" t="s">
        <v>1239</v>
      </c>
      <c r="G450" s="399" t="s">
        <v>1239</v>
      </c>
      <c r="H450" s="399" t="s">
        <v>1239</v>
      </c>
      <c r="I450" s="399" t="s">
        <v>2323</v>
      </c>
      <c r="J450" s="399" t="s">
        <v>2326</v>
      </c>
      <c r="K450" s="786">
        <v>44774</v>
      </c>
      <c r="L450" s="399">
        <v>0</v>
      </c>
      <c r="M450" s="399">
        <v>0</v>
      </c>
      <c r="N450" s="399">
        <v>47.945</v>
      </c>
      <c r="O450" s="399">
        <v>47.945</v>
      </c>
      <c r="P450" s="399">
        <v>47.945</v>
      </c>
      <c r="Q450" s="399">
        <v>47.945</v>
      </c>
      <c r="R450" s="399"/>
      <c r="S450" s="399">
        <v>77.900000000000006</v>
      </c>
      <c r="T450" s="399">
        <v>185.74</v>
      </c>
      <c r="U450" s="399"/>
      <c r="V450" s="399">
        <v>12640.219800000001</v>
      </c>
      <c r="W450" s="399">
        <v>12640.219800000001</v>
      </c>
      <c r="X450" s="399">
        <v>12452.2754</v>
      </c>
      <c r="Y450" s="399">
        <v>0</v>
      </c>
      <c r="Z450" s="399">
        <v>2600.5509196421622</v>
      </c>
      <c r="AA450" s="399">
        <v>0</v>
      </c>
      <c r="AB450" s="399">
        <v>0</v>
      </c>
      <c r="AC450" s="399">
        <v>0</v>
      </c>
      <c r="AD450" s="399">
        <v>0</v>
      </c>
      <c r="AE450" s="399">
        <v>0</v>
      </c>
      <c r="AF450" s="399">
        <v>8905.5098852098017</v>
      </c>
      <c r="AG450" s="399">
        <v>0</v>
      </c>
      <c r="AH450" s="399">
        <v>0</v>
      </c>
      <c r="AI450" s="399">
        <v>0</v>
      </c>
      <c r="AJ450" s="399">
        <v>0</v>
      </c>
      <c r="AK450" s="399">
        <v>0</v>
      </c>
      <c r="AL450" s="399">
        <v>461.95938670826297</v>
      </c>
      <c r="AM450" s="399"/>
      <c r="AN450" s="399">
        <v>49.665334852812421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622.90977271970394</v>
      </c>
      <c r="BH450" s="399">
        <v>0</v>
      </c>
      <c r="BI450" s="399">
        <v>0</v>
      </c>
      <c r="BJ450" s="399">
        <v>0</v>
      </c>
      <c r="BK450" s="399">
        <v>0</v>
      </c>
      <c r="BL450" s="399">
        <v>0</v>
      </c>
      <c r="BM450" s="399"/>
      <c r="BN450" s="399"/>
      <c r="BO450" s="399"/>
      <c r="BP450" s="399"/>
      <c r="BQ450" s="399"/>
      <c r="BR450" s="399"/>
      <c r="BS450" s="399"/>
      <c r="BT450" s="399"/>
      <c r="BU450" s="399"/>
      <c r="BV450" s="399">
        <v>9528.4196579295058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12453.574000000001</v>
      </c>
      <c r="CJ450" s="399">
        <v>-186.67580000000089</v>
      </c>
      <c r="CK450" s="399"/>
      <c r="CL450" s="399"/>
      <c r="CM450" s="399"/>
      <c r="CN450" s="399"/>
      <c r="CO450" s="399">
        <v>-187.94440000000009</v>
      </c>
      <c r="CP450" s="399">
        <v>0</v>
      </c>
      <c r="CQ450" s="399">
        <v>31</v>
      </c>
      <c r="CR450" s="399">
        <v>-188.18677643135197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0</v>
      </c>
      <c r="DA450" s="399">
        <v>0</v>
      </c>
      <c r="DB450" s="399">
        <v>0</v>
      </c>
      <c r="DC450" s="399">
        <v>0</v>
      </c>
      <c r="DD450" s="399">
        <v>0</v>
      </c>
      <c r="DE450" s="399">
        <v>0</v>
      </c>
      <c r="DF450" s="399">
        <v>0</v>
      </c>
      <c r="DG450" s="399">
        <v>0</v>
      </c>
      <c r="DH450" s="399">
        <v>0</v>
      </c>
      <c r="DI450" s="399">
        <v>-160.84065505641047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-24.766749182264277</v>
      </c>
      <c r="DP450" s="399">
        <v>-2.5793721926780577</v>
      </c>
      <c r="DQ450" s="399">
        <v>0</v>
      </c>
      <c r="DR450" s="399">
        <v>0</v>
      </c>
      <c r="DS450" s="399"/>
      <c r="DT450" s="399"/>
      <c r="DU450" s="399"/>
      <c r="DV450" s="399">
        <v>0</v>
      </c>
      <c r="DW450" s="399">
        <v>0</v>
      </c>
      <c r="DX450" s="399">
        <v>0</v>
      </c>
      <c r="DY450" s="399">
        <v>-187.94440000000031</v>
      </c>
      <c r="DZ450" s="399">
        <v>0</v>
      </c>
      <c r="EA450" s="399">
        <v>0</v>
      </c>
      <c r="EB450" s="399">
        <v>0</v>
      </c>
      <c r="EC450" s="399">
        <v>0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0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221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450</v>
      </c>
      <c r="B451" s="399" t="s">
        <v>956</v>
      </c>
      <c r="C451" s="399" t="s">
        <v>2325</v>
      </c>
      <c r="D451" s="399" t="s">
        <v>533</v>
      </c>
      <c r="E451" s="399" t="s">
        <v>890</v>
      </c>
      <c r="F451" s="399" t="s">
        <v>1239</v>
      </c>
      <c r="G451" s="399" t="s">
        <v>1239</v>
      </c>
      <c r="H451" s="399" t="s">
        <v>1239</v>
      </c>
      <c r="I451" s="399" t="s">
        <v>1239</v>
      </c>
      <c r="J451" s="399" t="s">
        <v>2326</v>
      </c>
      <c r="K451" s="786">
        <v>44774</v>
      </c>
      <c r="L451" s="399">
        <v>305</v>
      </c>
      <c r="M451" s="399">
        <v>305</v>
      </c>
      <c r="N451" s="399">
        <v>0</v>
      </c>
      <c r="O451" s="399">
        <v>0</v>
      </c>
      <c r="P451" s="399">
        <v>0</v>
      </c>
      <c r="Q451" s="399">
        <v>0</v>
      </c>
      <c r="R451" s="399">
        <v>55.59</v>
      </c>
      <c r="S451" s="399"/>
      <c r="T451" s="399"/>
      <c r="U451" s="399">
        <v>16954.95</v>
      </c>
      <c r="V451" s="399"/>
      <c r="W451" s="399">
        <v>16954.95</v>
      </c>
      <c r="X451" s="399">
        <v>9000.5500000000011</v>
      </c>
      <c r="Y451" s="399">
        <v>0</v>
      </c>
      <c r="Z451" s="399">
        <v>0</v>
      </c>
      <c r="AA451" s="399">
        <v>0</v>
      </c>
      <c r="AB451" s="399">
        <v>0</v>
      </c>
      <c r="AC451" s="399">
        <v>0</v>
      </c>
      <c r="AD451" s="399">
        <v>4927.1746024716185</v>
      </c>
      <c r="AE451" s="399">
        <v>12026.370556651927</v>
      </c>
      <c r="AF451" s="399"/>
      <c r="AG451" s="399"/>
      <c r="AH451" s="399"/>
      <c r="AI451" s="399">
        <v>0</v>
      </c>
      <c r="AJ451" s="399">
        <v>0</v>
      </c>
      <c r="AK451" s="399">
        <v>0</v>
      </c>
      <c r="AL451" s="399">
        <v>0</v>
      </c>
      <c r="AM451" s="399"/>
      <c r="AN451" s="399">
        <v>0</v>
      </c>
      <c r="AO451" s="399">
        <v>0</v>
      </c>
      <c r="AP451" s="399">
        <v>0</v>
      </c>
      <c r="AQ451" s="399">
        <v>0</v>
      </c>
      <c r="AR451" s="399">
        <v>0</v>
      </c>
      <c r="AS451" s="399"/>
      <c r="AT451" s="399"/>
      <c r="AU451" s="399">
        <v>0</v>
      </c>
      <c r="AV451" s="399">
        <v>0</v>
      </c>
      <c r="AW451" s="399">
        <v>0</v>
      </c>
      <c r="AX451" s="399"/>
      <c r="AY451" s="399"/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/>
      <c r="BG451" s="399">
        <v>0</v>
      </c>
      <c r="BH451" s="399">
        <v>0</v>
      </c>
      <c r="BI451" s="399">
        <v>10.86</v>
      </c>
      <c r="BJ451" s="399">
        <v>51.62</v>
      </c>
      <c r="BK451" s="399">
        <v>5363.79</v>
      </c>
      <c r="BL451" s="399">
        <v>5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>
        <v>0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9000.5500000000011</v>
      </c>
      <c r="CJ451" s="399">
        <v>-7954.4299999999948</v>
      </c>
      <c r="CK451" s="399"/>
      <c r="CL451" s="399"/>
      <c r="CM451" s="399"/>
      <c r="CN451" s="399"/>
      <c r="CO451" s="399">
        <v>-7954.4000000000005</v>
      </c>
      <c r="CP451" s="399">
        <v>0</v>
      </c>
      <c r="CQ451" s="399">
        <v>31</v>
      </c>
      <c r="CR451" s="399">
        <v>-453.57901512550416</v>
      </c>
      <c r="CS451" s="399">
        <v>0</v>
      </c>
      <c r="CT451" s="399">
        <v>0</v>
      </c>
      <c r="CU451" s="399">
        <v>0</v>
      </c>
      <c r="CV451" s="399">
        <v>0</v>
      </c>
      <c r="CW451" s="399"/>
      <c r="CX451" s="399"/>
      <c r="CY451" s="399"/>
      <c r="CZ451" s="399">
        <v>-453.57901512550416</v>
      </c>
      <c r="DA451" s="399">
        <v>0</v>
      </c>
      <c r="DB451" s="399">
        <v>0</v>
      </c>
      <c r="DC451" s="399"/>
      <c r="DD451" s="399"/>
      <c r="DE451" s="399">
        <v>0</v>
      </c>
      <c r="DF451" s="399">
        <v>0</v>
      </c>
      <c r="DG451" s="399">
        <v>0</v>
      </c>
      <c r="DH451" s="399">
        <v>0</v>
      </c>
      <c r="DI451" s="399">
        <v>0</v>
      </c>
      <c r="DJ451" s="399"/>
      <c r="DK451" s="399">
        <v>0</v>
      </c>
      <c r="DL451" s="399">
        <v>0</v>
      </c>
      <c r="DM451" s="399"/>
      <c r="DN451" s="399">
        <v>0</v>
      </c>
      <c r="DO451" s="399">
        <v>0</v>
      </c>
      <c r="DP451" s="399">
        <v>0</v>
      </c>
      <c r="DQ451" s="399">
        <v>0</v>
      </c>
      <c r="DR451" s="399">
        <v>0</v>
      </c>
      <c r="DS451" s="399"/>
      <c r="DT451" s="399"/>
      <c r="DU451" s="399">
        <v>12026.370556651927</v>
      </c>
      <c r="DV451" s="399"/>
      <c r="DW451" s="399">
        <v>0</v>
      </c>
      <c r="DX451" s="399">
        <v>0</v>
      </c>
      <c r="DY451" s="399">
        <v>-7954.4</v>
      </c>
      <c r="DZ451" s="399"/>
      <c r="EA451" s="399">
        <v>0</v>
      </c>
      <c r="EB451" s="399"/>
      <c r="EC451" s="399">
        <v>-7498.1644340520315</v>
      </c>
      <c r="ED451" s="399"/>
      <c r="EE451" s="399">
        <v>0</v>
      </c>
      <c r="EF451" s="399">
        <v>0</v>
      </c>
      <c r="EG451" s="399"/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/>
      <c r="EN451" s="399"/>
      <c r="EO451" s="399">
        <v>0</v>
      </c>
      <c r="EP451" s="399">
        <v>0</v>
      </c>
      <c r="EQ451" s="399"/>
      <c r="ER451" s="399">
        <v>0</v>
      </c>
      <c r="ES451" s="399"/>
      <c r="ET451" s="399">
        <v>0</v>
      </c>
      <c r="EU451" s="399"/>
      <c r="EV451" s="399">
        <v>221</v>
      </c>
      <c r="EW451" s="399"/>
      <c r="EX451" s="399"/>
      <c r="EY451" s="399"/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451</v>
      </c>
      <c r="B452" s="399" t="s">
        <v>956</v>
      </c>
      <c r="C452" s="399" t="s">
        <v>2328</v>
      </c>
      <c r="D452" s="399" t="s">
        <v>1824</v>
      </c>
      <c r="E452" s="399" t="s">
        <v>918</v>
      </c>
      <c r="F452" s="399" t="s">
        <v>1239</v>
      </c>
      <c r="G452" s="399" t="s">
        <v>1239</v>
      </c>
      <c r="H452" s="399" t="s">
        <v>1239</v>
      </c>
      <c r="I452" s="399" t="s">
        <v>1239</v>
      </c>
      <c r="J452" s="399" t="s">
        <v>2326</v>
      </c>
      <c r="K452" s="786">
        <v>44774</v>
      </c>
      <c r="L452" s="399">
        <v>0</v>
      </c>
      <c r="M452" s="399">
        <v>0</v>
      </c>
      <c r="N452" s="399">
        <v>132.239</v>
      </c>
      <c r="O452" s="399">
        <v>132.239</v>
      </c>
      <c r="P452" s="399">
        <v>132.239</v>
      </c>
      <c r="Q452" s="399">
        <v>132.239</v>
      </c>
      <c r="R452" s="399"/>
      <c r="S452" s="399">
        <v>825.6</v>
      </c>
      <c r="T452" s="399">
        <v>185.74</v>
      </c>
      <c r="U452" s="399"/>
      <c r="V452" s="399">
        <v>133738.59026</v>
      </c>
      <c r="W452" s="399">
        <v>133738.59026</v>
      </c>
      <c r="X452" s="399">
        <v>83138.659299999999</v>
      </c>
      <c r="Y452" s="399">
        <v>0</v>
      </c>
      <c r="Z452" s="399">
        <v>8244.4624183256055</v>
      </c>
      <c r="AA452" s="399">
        <v>0</v>
      </c>
      <c r="AB452" s="399">
        <v>0</v>
      </c>
      <c r="AC452" s="399">
        <v>0</v>
      </c>
      <c r="AD452" s="399">
        <v>17234.934502947679</v>
      </c>
      <c r="AE452" s="399">
        <v>77659.968784411045</v>
      </c>
      <c r="AF452" s="399">
        <v>24562.63889269494</v>
      </c>
      <c r="AG452" s="399">
        <v>0</v>
      </c>
      <c r="AH452" s="399">
        <v>0</v>
      </c>
      <c r="AI452" s="399">
        <v>0</v>
      </c>
      <c r="AJ452" s="399">
        <v>0</v>
      </c>
      <c r="AK452" s="399">
        <v>0</v>
      </c>
      <c r="AL452" s="399">
        <v>1274.1484479906974</v>
      </c>
      <c r="AM452" s="399"/>
      <c r="AN452" s="399">
        <v>313.52112726750227</v>
      </c>
      <c r="AO452" s="399">
        <v>0</v>
      </c>
      <c r="AP452" s="399">
        <v>0</v>
      </c>
      <c r="AQ452" s="399">
        <v>0</v>
      </c>
      <c r="AR452" s="399">
        <v>0</v>
      </c>
      <c r="AS452" s="399">
        <v>0</v>
      </c>
      <c r="AT452" s="399">
        <v>0</v>
      </c>
      <c r="AU452" s="399">
        <v>0</v>
      </c>
      <c r="AV452" s="399">
        <v>0</v>
      </c>
      <c r="AW452" s="399">
        <v>0</v>
      </c>
      <c r="AX452" s="399">
        <v>0</v>
      </c>
      <c r="AY452" s="399">
        <v>0</v>
      </c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>
        <v>0</v>
      </c>
      <c r="BG452" s="399">
        <v>4449.9083446323457</v>
      </c>
      <c r="BH452" s="399">
        <v>0</v>
      </c>
      <c r="BI452" s="399">
        <v>33.76</v>
      </c>
      <c r="BJ452" s="399">
        <v>157.46</v>
      </c>
      <c r="BK452" s="399">
        <v>16663.7</v>
      </c>
      <c r="BL452" s="399">
        <v>352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>
        <v>29012.547237327286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83139.288</v>
      </c>
      <c r="CJ452" s="399">
        <v>-50599.332259999996</v>
      </c>
      <c r="CK452" s="399"/>
      <c r="CL452" s="399"/>
      <c r="CM452" s="399"/>
      <c r="CN452" s="399"/>
      <c r="CO452" s="399">
        <v>-50599.930960000005</v>
      </c>
      <c r="CP452" s="399">
        <v>0</v>
      </c>
      <c r="CQ452" s="399">
        <v>31</v>
      </c>
      <c r="CR452" s="399">
        <v>-2181.0917783671102</v>
      </c>
      <c r="CS452" s="399">
        <v>0</v>
      </c>
      <c r="CT452" s="399">
        <v>0</v>
      </c>
      <c r="CU452" s="399">
        <v>0</v>
      </c>
      <c r="CV452" s="399">
        <v>0</v>
      </c>
      <c r="CW452" s="399">
        <v>0</v>
      </c>
      <c r="CX452" s="399">
        <v>0</v>
      </c>
      <c r="CY452" s="399">
        <v>0</v>
      </c>
      <c r="CZ452" s="399">
        <v>-1586.5897290665926</v>
      </c>
      <c r="DA452" s="399">
        <v>0</v>
      </c>
      <c r="DB452" s="399">
        <v>0</v>
      </c>
      <c r="DC452" s="399">
        <v>0</v>
      </c>
      <c r="DD452" s="399">
        <v>0</v>
      </c>
      <c r="DE452" s="399">
        <v>0</v>
      </c>
      <c r="DF452" s="399">
        <v>0</v>
      </c>
      <c r="DG452" s="399">
        <v>0</v>
      </c>
      <c r="DH452" s="399">
        <v>0</v>
      </c>
      <c r="DI452" s="399">
        <v>-509.90916037665102</v>
      </c>
      <c r="DJ452" s="399"/>
      <c r="DK452" s="399">
        <v>0</v>
      </c>
      <c r="DL452" s="399">
        <v>0</v>
      </c>
      <c r="DM452" s="399">
        <v>0</v>
      </c>
      <c r="DN452" s="399">
        <v>0</v>
      </c>
      <c r="DO452" s="399">
        <v>-68.310150070152076</v>
      </c>
      <c r="DP452" s="399">
        <v>-16.282738853719934</v>
      </c>
      <c r="DQ452" s="399">
        <v>0</v>
      </c>
      <c r="DR452" s="399">
        <v>0</v>
      </c>
      <c r="DS452" s="399"/>
      <c r="DT452" s="399"/>
      <c r="DU452" s="399"/>
      <c r="DV452" s="399">
        <v>77659.968784411045</v>
      </c>
      <c r="DW452" s="399">
        <v>0</v>
      </c>
      <c r="DX452" s="399">
        <v>0</v>
      </c>
      <c r="DY452" s="399">
        <v>-50599.930960000005</v>
      </c>
      <c r="DZ452" s="399">
        <v>0</v>
      </c>
      <c r="EA452" s="399">
        <v>0</v>
      </c>
      <c r="EB452" s="399">
        <v>0</v>
      </c>
      <c r="EC452" s="399">
        <v>-48419.197890653879</v>
      </c>
      <c r="ED452" s="399">
        <v>0</v>
      </c>
      <c r="EE452" s="399">
        <v>0</v>
      </c>
      <c r="EF452" s="399">
        <v>0</v>
      </c>
      <c r="EG452" s="399">
        <v>0</v>
      </c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>
        <v>0</v>
      </c>
      <c r="EN452" s="399">
        <v>0</v>
      </c>
      <c r="EO452" s="399">
        <v>0</v>
      </c>
      <c r="EP452" s="399">
        <v>0</v>
      </c>
      <c r="EQ452" s="399">
        <v>0</v>
      </c>
      <c r="ER452" s="399">
        <v>0</v>
      </c>
      <c r="ES452" s="399">
        <v>0</v>
      </c>
      <c r="ET452" s="399">
        <v>0</v>
      </c>
      <c r="EU452" s="399">
        <v>0</v>
      </c>
      <c r="EV452" s="399">
        <v>221</v>
      </c>
      <c r="EW452" s="399">
        <v>0</v>
      </c>
      <c r="EX452" s="399">
        <v>0</v>
      </c>
      <c r="EY452" s="399">
        <v>0</v>
      </c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452</v>
      </c>
      <c r="B453" s="399" t="s">
        <v>2329</v>
      </c>
      <c r="C453" s="399" t="s">
        <v>2328</v>
      </c>
      <c r="D453" s="399" t="s">
        <v>1824</v>
      </c>
      <c r="E453" s="399" t="s">
        <v>918</v>
      </c>
      <c r="F453" s="399" t="s">
        <v>1239</v>
      </c>
      <c r="G453" s="399" t="s">
        <v>1239</v>
      </c>
      <c r="H453" s="399" t="s">
        <v>1239</v>
      </c>
      <c r="I453" s="399" t="s">
        <v>1239</v>
      </c>
      <c r="J453" s="399" t="s">
        <v>2326</v>
      </c>
      <c r="K453" s="786">
        <v>44774</v>
      </c>
      <c r="L453" s="399">
        <v>0</v>
      </c>
      <c r="M453" s="399">
        <v>0</v>
      </c>
      <c r="N453" s="399">
        <v>-0.224</v>
      </c>
      <c r="O453" s="399">
        <v>-0.224</v>
      </c>
      <c r="P453" s="399">
        <v>-0.224</v>
      </c>
      <c r="Q453" s="399">
        <v>-0.224</v>
      </c>
      <c r="R453" s="399"/>
      <c r="S453" s="399">
        <v>825.6</v>
      </c>
      <c r="T453" s="399">
        <v>185.74</v>
      </c>
      <c r="U453" s="399"/>
      <c r="V453" s="399">
        <v>-226.54016000000001</v>
      </c>
      <c r="W453" s="399">
        <v>-226.54016000000001</v>
      </c>
      <c r="X453" s="399">
        <v>-140.8288</v>
      </c>
      <c r="Y453" s="399">
        <v>0</v>
      </c>
      <c r="Z453" s="399">
        <v>-13.965317203736685</v>
      </c>
      <c r="AA453" s="399">
        <v>0</v>
      </c>
      <c r="AB453" s="399">
        <v>0</v>
      </c>
      <c r="AC453" s="399">
        <v>0</v>
      </c>
      <c r="AD453" s="399">
        <v>-29.19430220026074</v>
      </c>
      <c r="AE453" s="399">
        <v>-131.54843130776908</v>
      </c>
      <c r="AF453" s="399">
        <v>-41.60672049821661</v>
      </c>
      <c r="AG453" s="399">
        <v>0</v>
      </c>
      <c r="AH453" s="399">
        <v>0</v>
      </c>
      <c r="AI453" s="399">
        <v>0</v>
      </c>
      <c r="AJ453" s="399">
        <v>0</v>
      </c>
      <c r="AK453" s="399">
        <v>0</v>
      </c>
      <c r="AL453" s="399">
        <v>-2.1582835044874522</v>
      </c>
      <c r="AM453" s="399"/>
      <c r="AN453" s="399">
        <v>-0.53107428601184603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-7.5377117884863427</v>
      </c>
      <c r="BH453" s="399">
        <v>0</v>
      </c>
      <c r="BI453" s="399">
        <v>-7.0000000000000007E-2</v>
      </c>
      <c r="BJ453" s="399">
        <v>-0.35</v>
      </c>
      <c r="BK453" s="399">
        <v>-28.93</v>
      </c>
      <c r="BL453" s="399">
        <v>0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-49.144432286702951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-138.31399999999999</v>
      </c>
      <c r="CJ453" s="399">
        <v>88.196160000000049</v>
      </c>
      <c r="CK453" s="399"/>
      <c r="CL453" s="399"/>
      <c r="CM453" s="399"/>
      <c r="CN453" s="399"/>
      <c r="CO453" s="399">
        <v>85.711360000000013</v>
      </c>
      <c r="CP453" s="399">
        <v>0</v>
      </c>
      <c r="CQ453" s="399">
        <v>31</v>
      </c>
      <c r="CR453" s="399">
        <v>3.694557266420901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2.6875286361127699</v>
      </c>
      <c r="DA453" s="399">
        <v>0</v>
      </c>
      <c r="DB453" s="399">
        <v>0</v>
      </c>
      <c r="DC453" s="399">
        <v>0</v>
      </c>
      <c r="DD453" s="399">
        <v>0</v>
      </c>
      <c r="DE453" s="399">
        <v>0</v>
      </c>
      <c r="DF453" s="399">
        <v>0</v>
      </c>
      <c r="DG453" s="399">
        <v>0</v>
      </c>
      <c r="DH453" s="399">
        <v>0</v>
      </c>
      <c r="DI453" s="399">
        <v>0.86373650681243497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0.11571074808274462</v>
      </c>
      <c r="DP453" s="399">
        <v>2.7581375412951359E-2</v>
      </c>
      <c r="DQ453" s="399">
        <v>0</v>
      </c>
      <c r="DR453" s="399">
        <v>0</v>
      </c>
      <c r="DS453" s="399"/>
      <c r="DT453" s="399"/>
      <c r="DU453" s="399"/>
      <c r="DV453" s="399">
        <v>-131.54843130776908</v>
      </c>
      <c r="DW453" s="399">
        <v>0</v>
      </c>
      <c r="DX453" s="399">
        <v>0</v>
      </c>
      <c r="DY453" s="399">
        <v>85.711360000000013</v>
      </c>
      <c r="DZ453" s="399">
        <v>0</v>
      </c>
      <c r="EA453" s="399">
        <v>0</v>
      </c>
      <c r="EB453" s="399">
        <v>0</v>
      </c>
      <c r="EC453" s="399">
        <v>82.017410351760589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0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221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453</v>
      </c>
      <c r="B454" s="399" t="s">
        <v>2330</v>
      </c>
      <c r="C454" s="399" t="s">
        <v>2328</v>
      </c>
      <c r="D454" s="399" t="s">
        <v>1824</v>
      </c>
      <c r="E454" s="399" t="s">
        <v>918</v>
      </c>
      <c r="F454" s="399" t="s">
        <v>1239</v>
      </c>
      <c r="G454" s="399" t="s">
        <v>1239</v>
      </c>
      <c r="H454" s="399" t="s">
        <v>1239</v>
      </c>
      <c r="I454" s="399" t="s">
        <v>1239</v>
      </c>
      <c r="J454" s="399" t="s">
        <v>2326</v>
      </c>
      <c r="K454" s="786">
        <v>44774</v>
      </c>
      <c r="L454" s="399">
        <v>0</v>
      </c>
      <c r="M454" s="399">
        <v>0</v>
      </c>
      <c r="N454" s="399">
        <v>4.9050000000000002</v>
      </c>
      <c r="O454" s="399">
        <v>4.9050000000000002</v>
      </c>
      <c r="P454" s="399">
        <v>4.9050000000000002</v>
      </c>
      <c r="Q454" s="399">
        <v>4.9050000000000002</v>
      </c>
      <c r="R454" s="399"/>
      <c r="S454" s="399">
        <v>825.6</v>
      </c>
      <c r="T454" s="399">
        <v>185.74</v>
      </c>
      <c r="U454" s="399"/>
      <c r="V454" s="399">
        <v>4960.6226999999999</v>
      </c>
      <c r="W454" s="399">
        <v>4960.6226999999999</v>
      </c>
      <c r="X454" s="399">
        <v>3083.7735000000002</v>
      </c>
      <c r="Y454" s="399">
        <v>0</v>
      </c>
      <c r="Z454" s="399">
        <v>305.80303966218054</v>
      </c>
      <c r="AA454" s="399">
        <v>0</v>
      </c>
      <c r="AB454" s="399">
        <v>0</v>
      </c>
      <c r="AC454" s="399">
        <v>0</v>
      </c>
      <c r="AD454" s="399">
        <v>639.27701916195952</v>
      </c>
      <c r="AE454" s="399">
        <v>2880.5582837705683</v>
      </c>
      <c r="AF454" s="399">
        <v>911.07573233818073</v>
      </c>
      <c r="AG454" s="399">
        <v>0</v>
      </c>
      <c r="AH454" s="399">
        <v>0</v>
      </c>
      <c r="AI454" s="399">
        <v>0</v>
      </c>
      <c r="AJ454" s="399">
        <v>0</v>
      </c>
      <c r="AK454" s="399">
        <v>0</v>
      </c>
      <c r="AL454" s="399">
        <v>47.260627631745329</v>
      </c>
      <c r="AM454" s="399"/>
      <c r="AN454" s="399">
        <v>11.629104343250468</v>
      </c>
      <c r="AO454" s="399">
        <v>0</v>
      </c>
      <c r="AP454" s="399">
        <v>0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165.05569786841747</v>
      </c>
      <c r="BH454" s="399">
        <v>0</v>
      </c>
      <c r="BI454" s="399">
        <v>1.1599999999999999</v>
      </c>
      <c r="BJ454" s="399">
        <v>5.46</v>
      </c>
      <c r="BK454" s="399">
        <v>1638.19</v>
      </c>
      <c r="BL454" s="399">
        <v>13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>
        <v>1076.1314302065982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3086.9169999999999</v>
      </c>
      <c r="CJ454" s="399">
        <v>-1873.7357000000006</v>
      </c>
      <c r="CK454" s="399"/>
      <c r="CL454" s="399"/>
      <c r="CM454" s="399"/>
      <c r="CN454" s="399"/>
      <c r="CO454" s="399">
        <v>-1876.8492000000003</v>
      </c>
      <c r="CP454" s="399">
        <v>0</v>
      </c>
      <c r="CQ454" s="399">
        <v>31</v>
      </c>
      <c r="CR454" s="399">
        <v>-80.900907999083302</v>
      </c>
      <c r="CS454" s="399">
        <v>0</v>
      </c>
      <c r="CT454" s="399">
        <v>0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-58.849678393451541</v>
      </c>
      <c r="DA454" s="399">
        <v>0</v>
      </c>
      <c r="DB454" s="399">
        <v>0</v>
      </c>
      <c r="DC454" s="399">
        <v>0</v>
      </c>
      <c r="DD454" s="399">
        <v>0</v>
      </c>
      <c r="DE454" s="399">
        <v>0</v>
      </c>
      <c r="DF454" s="399">
        <v>0</v>
      </c>
      <c r="DG454" s="399">
        <v>0</v>
      </c>
      <c r="DH454" s="399">
        <v>0</v>
      </c>
      <c r="DI454" s="399">
        <v>-18.913515919263375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-2.5337554435083121</v>
      </c>
      <c r="DP454" s="399">
        <v>-0.60395824285949118</v>
      </c>
      <c r="DQ454" s="399">
        <v>0</v>
      </c>
      <c r="DR454" s="399">
        <v>0</v>
      </c>
      <c r="DS454" s="399"/>
      <c r="DT454" s="399"/>
      <c r="DU454" s="399"/>
      <c r="DV454" s="399">
        <v>2880.5582837705683</v>
      </c>
      <c r="DW454" s="399">
        <v>0</v>
      </c>
      <c r="DX454" s="399">
        <v>0</v>
      </c>
      <c r="DY454" s="399">
        <v>-1876.8492000000001</v>
      </c>
      <c r="DZ454" s="399">
        <v>0</v>
      </c>
      <c r="EA454" s="399">
        <v>0</v>
      </c>
      <c r="EB454" s="399">
        <v>0</v>
      </c>
      <c r="EC454" s="399">
        <v>-1795.9615972115432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0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221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454</v>
      </c>
      <c r="B455" s="399" t="s">
        <v>956</v>
      </c>
      <c r="C455" s="399" t="s">
        <v>2577</v>
      </c>
      <c r="D455" s="399" t="s">
        <v>533</v>
      </c>
      <c r="E455" s="399" t="s">
        <v>918</v>
      </c>
      <c r="F455" s="399" t="s">
        <v>1239</v>
      </c>
      <c r="G455" s="399" t="s">
        <v>1239</v>
      </c>
      <c r="H455" s="399" t="s">
        <v>1239</v>
      </c>
      <c r="I455" s="399" t="s">
        <v>893</v>
      </c>
      <c r="J455" s="399" t="s">
        <v>2326</v>
      </c>
      <c r="K455" s="786">
        <v>44774</v>
      </c>
      <c r="L455" s="399">
        <v>533</v>
      </c>
      <c r="M455" s="399">
        <v>533</v>
      </c>
      <c r="N455" s="399">
        <v>35.159999999999997</v>
      </c>
      <c r="O455" s="399">
        <v>35.159999999999997</v>
      </c>
      <c r="P455" s="399">
        <v>35.159999999999997</v>
      </c>
      <c r="Q455" s="399">
        <v>35.159999999999997</v>
      </c>
      <c r="R455" s="399">
        <v>181.08</v>
      </c>
      <c r="S455" s="399">
        <v>77.900000000000006</v>
      </c>
      <c r="T455" s="399">
        <v>185.74</v>
      </c>
      <c r="U455" s="399">
        <v>96515.64</v>
      </c>
      <c r="V455" s="399">
        <v>9269.5823999999993</v>
      </c>
      <c r="W455" s="399">
        <v>105785.2224</v>
      </c>
      <c r="X455" s="399">
        <v>56792.6152</v>
      </c>
      <c r="Y455" s="399">
        <v>0</v>
      </c>
      <c r="Z455" s="399">
        <v>1907.0887545024177</v>
      </c>
      <c r="AA455" s="399">
        <v>0</v>
      </c>
      <c r="AB455" s="399">
        <v>0</v>
      </c>
      <c r="AC455" s="399">
        <v>0</v>
      </c>
      <c r="AD455" s="399">
        <v>21303.166762598841</v>
      </c>
      <c r="AE455" s="399">
        <v>75211.310115191183</v>
      </c>
      <c r="AF455" s="399">
        <v>6530.7691639164996</v>
      </c>
      <c r="AG455" s="399">
        <v>0</v>
      </c>
      <c r="AH455" s="399">
        <v>0</v>
      </c>
      <c r="AI455" s="399">
        <v>0</v>
      </c>
      <c r="AJ455" s="399">
        <v>0</v>
      </c>
      <c r="AK455" s="399">
        <v>0</v>
      </c>
      <c r="AL455" s="399">
        <v>338.77342865079828</v>
      </c>
      <c r="AM455" s="399"/>
      <c r="AN455" s="399">
        <v>36.421590852536958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456.80483071904865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6987.5739946355479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56792.6152</v>
      </c>
      <c r="CJ455" s="399">
        <v>-48992.637199999983</v>
      </c>
      <c r="CK455" s="399"/>
      <c r="CL455" s="399"/>
      <c r="CM455" s="399"/>
      <c r="CN455" s="399"/>
      <c r="CO455" s="399">
        <v>-48992.607200000006</v>
      </c>
      <c r="CP455" s="399">
        <v>0</v>
      </c>
      <c r="CQ455" s="399">
        <v>31</v>
      </c>
      <c r="CR455" s="399">
        <v>-2099.1023640842395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-1961.0974196828174</v>
      </c>
      <c r="DA455" s="399">
        <v>0</v>
      </c>
      <c r="DB455" s="399">
        <v>0</v>
      </c>
      <c r="DC455" s="399">
        <v>0</v>
      </c>
      <c r="DD455" s="399">
        <v>0</v>
      </c>
      <c r="DE455" s="399">
        <v>0</v>
      </c>
      <c r="DF455" s="399">
        <v>0</v>
      </c>
      <c r="DG455" s="399">
        <v>0</v>
      </c>
      <c r="DH455" s="399">
        <v>0</v>
      </c>
      <c r="DI455" s="399">
        <v>-117.9509319383335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-18.162454922273639</v>
      </c>
      <c r="DP455" s="399">
        <v>-1.8915575408188658</v>
      </c>
      <c r="DQ455" s="399">
        <v>0</v>
      </c>
      <c r="DR455" s="399">
        <v>0</v>
      </c>
      <c r="DS455" s="399"/>
      <c r="DT455" s="399"/>
      <c r="DU455" s="399">
        <v>75211.310115191183</v>
      </c>
      <c r="DV455" s="399">
        <v>0</v>
      </c>
      <c r="DW455" s="399">
        <v>0</v>
      </c>
      <c r="DX455" s="399">
        <v>0</v>
      </c>
      <c r="DY455" s="399">
        <v>-48992.607199999991</v>
      </c>
      <c r="DZ455" s="399">
        <v>0</v>
      </c>
      <c r="EA455" s="399">
        <v>0</v>
      </c>
      <c r="EB455" s="399">
        <v>0</v>
      </c>
      <c r="EC455" s="399">
        <v>-46892.515733457098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221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455</v>
      </c>
      <c r="B456" s="399" t="s">
        <v>956</v>
      </c>
      <c r="C456" s="399" t="s">
        <v>2577</v>
      </c>
      <c r="D456" s="399" t="s">
        <v>533</v>
      </c>
      <c r="E456" s="399" t="s">
        <v>918</v>
      </c>
      <c r="F456" s="399" t="s">
        <v>1239</v>
      </c>
      <c r="G456" s="399" t="s">
        <v>1239</v>
      </c>
      <c r="H456" s="399" t="s">
        <v>1239</v>
      </c>
      <c r="I456" s="399" t="s">
        <v>2323</v>
      </c>
      <c r="J456" s="399" t="s">
        <v>2326</v>
      </c>
      <c r="K456" s="786">
        <v>44774</v>
      </c>
      <c r="L456" s="399">
        <v>530</v>
      </c>
      <c r="M456" s="399">
        <v>530</v>
      </c>
      <c r="N456" s="399">
        <v>312.01100000000002</v>
      </c>
      <c r="O456" s="399">
        <v>312.01100000000002</v>
      </c>
      <c r="P456" s="399">
        <v>312.01100000000002</v>
      </c>
      <c r="Q456" s="399">
        <v>312.01100000000002</v>
      </c>
      <c r="R456" s="399">
        <v>55.59</v>
      </c>
      <c r="S456" s="399">
        <v>77.900000000000006</v>
      </c>
      <c r="T456" s="399">
        <v>185.74</v>
      </c>
      <c r="U456" s="399">
        <v>29462.7</v>
      </c>
      <c r="V456" s="399">
        <v>82258.580040000015</v>
      </c>
      <c r="W456" s="399">
        <v>111721.28004000001</v>
      </c>
      <c r="X456" s="399">
        <v>96675.796920000008</v>
      </c>
      <c r="Y456" s="399">
        <v>0</v>
      </c>
      <c r="Z456" s="399">
        <v>16923.568526196075</v>
      </c>
      <c r="AA456" s="399">
        <v>0</v>
      </c>
      <c r="AB456" s="399">
        <v>0</v>
      </c>
      <c r="AC456" s="399">
        <v>0</v>
      </c>
      <c r="AD456" s="399">
        <v>8561.9755387211735</v>
      </c>
      <c r="AE456" s="399">
        <v>20898.283262378762</v>
      </c>
      <c r="AF456" s="399">
        <v>57954.261023969033</v>
      </c>
      <c r="AG456" s="399">
        <v>0</v>
      </c>
      <c r="AH456" s="399">
        <v>0</v>
      </c>
      <c r="AI456" s="399">
        <v>0</v>
      </c>
      <c r="AJ456" s="399">
        <v>0</v>
      </c>
      <c r="AK456" s="399">
        <v>0</v>
      </c>
      <c r="AL456" s="399">
        <v>3006.2865826724756</v>
      </c>
      <c r="AM456" s="399"/>
      <c r="AN456" s="399">
        <v>323.20639884786436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4053.7011387224438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>
        <v>62007.962162691474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96675.537199999992</v>
      </c>
      <c r="CJ456" s="399">
        <v>-15045.77284000002</v>
      </c>
      <c r="CK456" s="399"/>
      <c r="CL456" s="399"/>
      <c r="CM456" s="399"/>
      <c r="CN456" s="399"/>
      <c r="CO456" s="399">
        <v>-15045.483120000003</v>
      </c>
      <c r="CP456" s="399">
        <v>0</v>
      </c>
      <c r="CQ456" s="399">
        <v>31</v>
      </c>
      <c r="CR456" s="399">
        <v>-2012.8469149824377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-788.18648530005612</v>
      </c>
      <c r="DA456" s="399">
        <v>0</v>
      </c>
      <c r="DB456" s="399">
        <v>0</v>
      </c>
      <c r="DC456" s="399">
        <v>0</v>
      </c>
      <c r="DD456" s="399">
        <v>0</v>
      </c>
      <c r="DE456" s="399">
        <v>0</v>
      </c>
      <c r="DF456" s="399">
        <v>0</v>
      </c>
      <c r="DG456" s="399">
        <v>0</v>
      </c>
      <c r="DH456" s="399">
        <v>0</v>
      </c>
      <c r="DI456" s="399">
        <v>-1046.7004614622128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-161.17422419663035</v>
      </c>
      <c r="DP456" s="399">
        <v>-16.785744023561847</v>
      </c>
      <c r="DQ456" s="399">
        <v>0</v>
      </c>
      <c r="DR456" s="399">
        <v>0</v>
      </c>
      <c r="DS456" s="399"/>
      <c r="DT456" s="399"/>
      <c r="DU456" s="399">
        <v>20898.283262378762</v>
      </c>
      <c r="DV456" s="399">
        <v>0</v>
      </c>
      <c r="DW456" s="399">
        <v>0</v>
      </c>
      <c r="DX456" s="399">
        <v>0</v>
      </c>
      <c r="DY456" s="399">
        <v>-15045.483120000004</v>
      </c>
      <c r="DZ456" s="399">
        <v>0</v>
      </c>
      <c r="EA456" s="399">
        <v>0</v>
      </c>
      <c r="EB456" s="399">
        <v>0</v>
      </c>
      <c r="EC456" s="399">
        <v>-13029.597213270747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0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221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456</v>
      </c>
      <c r="B457" s="399" t="s">
        <v>956</v>
      </c>
      <c r="C457" s="399" t="s">
        <v>2577</v>
      </c>
      <c r="D457" s="399" t="s">
        <v>533</v>
      </c>
      <c r="E457" s="399" t="s">
        <v>918</v>
      </c>
      <c r="F457" s="399" t="s">
        <v>1239</v>
      </c>
      <c r="G457" s="399" t="s">
        <v>1239</v>
      </c>
      <c r="H457" s="399" t="s">
        <v>1239</v>
      </c>
      <c r="I457" s="399" t="s">
        <v>1239</v>
      </c>
      <c r="J457" s="399" t="s">
        <v>2326</v>
      </c>
      <c r="K457" s="786">
        <v>44774</v>
      </c>
      <c r="L457" s="399">
        <v>0</v>
      </c>
      <c r="M457" s="399">
        <v>0</v>
      </c>
      <c r="N457" s="399">
        <v>0</v>
      </c>
      <c r="O457" s="399">
        <v>0</v>
      </c>
      <c r="P457" s="399">
        <v>0</v>
      </c>
      <c r="Q457" s="399">
        <v>0</v>
      </c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>
        <v>0</v>
      </c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>
        <v>0</v>
      </c>
      <c r="BA457" s="399"/>
      <c r="BB457" s="399"/>
      <c r="BC457" s="399"/>
      <c r="BD457" s="399"/>
      <c r="BE457" s="399"/>
      <c r="BF457" s="399"/>
      <c r="BG457" s="399"/>
      <c r="BH457" s="399"/>
      <c r="BI457" s="399">
        <v>61.53</v>
      </c>
      <c r="BJ457" s="399">
        <v>292.26</v>
      </c>
      <c r="BK457" s="399">
        <v>31505.75</v>
      </c>
      <c r="BL457" s="399">
        <v>1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/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/>
      <c r="CJ457" s="399">
        <v>-0.03</v>
      </c>
      <c r="CK457" s="399"/>
      <c r="CL457" s="399"/>
      <c r="CM457" s="399"/>
      <c r="CN457" s="399"/>
      <c r="CO457" s="399">
        <v>0</v>
      </c>
      <c r="CP457" s="399">
        <v>0</v>
      </c>
      <c r="CQ457" s="399">
        <v>31</v>
      </c>
      <c r="CR457" s="399"/>
      <c r="CS457" s="399"/>
      <c r="CT457" s="399"/>
      <c r="CU457" s="399"/>
      <c r="CV457" s="399"/>
      <c r="CW457" s="399"/>
      <c r="CX457" s="399"/>
      <c r="CY457" s="399"/>
      <c r="CZ457" s="399"/>
      <c r="DA457" s="399"/>
      <c r="DB457" s="399"/>
      <c r="DC457" s="399"/>
      <c r="DD457" s="399"/>
      <c r="DE457" s="399"/>
      <c r="DF457" s="399"/>
      <c r="DG457" s="399"/>
      <c r="DH457" s="399"/>
      <c r="DI457" s="399"/>
      <c r="DJ457" s="399"/>
      <c r="DK457" s="399">
        <v>0</v>
      </c>
      <c r="DL457" s="399"/>
      <c r="DM457" s="399"/>
      <c r="DN457" s="399"/>
      <c r="DO457" s="399"/>
      <c r="DP457" s="399"/>
      <c r="DQ457" s="399"/>
      <c r="DR457" s="399"/>
      <c r="DS457" s="399"/>
      <c r="DT457" s="399"/>
      <c r="DU457" s="399"/>
      <c r="DV457" s="399"/>
      <c r="DW457" s="399"/>
      <c r="DX457" s="399"/>
      <c r="DY457" s="399"/>
      <c r="DZ457" s="399"/>
      <c r="EA457" s="399"/>
      <c r="EB457" s="399"/>
      <c r="EC457" s="399"/>
      <c r="ED457" s="399"/>
      <c r="EE457" s="399"/>
      <c r="EF457" s="399"/>
      <c r="EG457" s="399"/>
      <c r="EH457" s="399"/>
      <c r="EI457" s="399"/>
      <c r="EJ457" s="399"/>
      <c r="EK457" s="399"/>
      <c r="EL457" s="399"/>
      <c r="EM457" s="399"/>
      <c r="EN457" s="399"/>
      <c r="EO457" s="399"/>
      <c r="EP457" s="399"/>
      <c r="EQ457" s="399"/>
      <c r="ER457" s="399"/>
      <c r="ES457" s="399"/>
      <c r="ET457" s="399"/>
      <c r="EU457" s="399"/>
      <c r="EV457" s="399">
        <v>221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457</v>
      </c>
      <c r="B458" s="399" t="s">
        <v>956</v>
      </c>
      <c r="C458" s="399" t="s">
        <v>2325</v>
      </c>
      <c r="D458" s="399" t="s">
        <v>533</v>
      </c>
      <c r="E458" s="399" t="s">
        <v>918</v>
      </c>
      <c r="F458" s="399" t="s">
        <v>1239</v>
      </c>
      <c r="G458" s="399" t="s">
        <v>1239</v>
      </c>
      <c r="H458" s="399" t="s">
        <v>1239</v>
      </c>
      <c r="I458" s="399" t="s">
        <v>893</v>
      </c>
      <c r="J458" s="399" t="s">
        <v>2326</v>
      </c>
      <c r="K458" s="786">
        <v>44774</v>
      </c>
      <c r="L458" s="399">
        <v>0</v>
      </c>
      <c r="M458" s="399">
        <v>0</v>
      </c>
      <c r="N458" s="399">
        <v>8.0719999999999992</v>
      </c>
      <c r="O458" s="399">
        <v>8.0719999999999992</v>
      </c>
      <c r="P458" s="399">
        <v>8.0719999999999992</v>
      </c>
      <c r="Q458" s="399">
        <v>8.0719999999999992</v>
      </c>
      <c r="R458" s="399"/>
      <c r="S458" s="399">
        <v>4433.21</v>
      </c>
      <c r="T458" s="399">
        <v>185.74</v>
      </c>
      <c r="U458" s="399"/>
      <c r="V458" s="399">
        <v>37284.164399999994</v>
      </c>
      <c r="W458" s="399">
        <v>37284.164399999994</v>
      </c>
      <c r="X458" s="399">
        <v>19458.524639999996</v>
      </c>
      <c r="Y458" s="399">
        <v>0</v>
      </c>
      <c r="Z458" s="399">
        <v>437.82765717700556</v>
      </c>
      <c r="AA458" s="399">
        <v>0</v>
      </c>
      <c r="AB458" s="399">
        <v>0</v>
      </c>
      <c r="AC458" s="399">
        <v>0</v>
      </c>
      <c r="AD458" s="399">
        <v>7762.2206536177409</v>
      </c>
      <c r="AE458" s="399">
        <v>27393.813667564871</v>
      </c>
      <c r="AF458" s="399">
        <v>1499.3278922393056</v>
      </c>
      <c r="AG458" s="399">
        <v>0</v>
      </c>
      <c r="AH458" s="399">
        <v>0</v>
      </c>
      <c r="AI458" s="399">
        <v>0</v>
      </c>
      <c r="AJ458" s="399">
        <v>0</v>
      </c>
      <c r="AK458" s="399">
        <v>0</v>
      </c>
      <c r="AL458" s="399">
        <v>77.775287715279973</v>
      </c>
      <c r="AM458" s="399"/>
      <c r="AN458" s="399">
        <v>8.3616348510147418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104.87282689317864</v>
      </c>
      <c r="BH458" s="399">
        <v>0</v>
      </c>
      <c r="BI458" s="399">
        <v>0</v>
      </c>
      <c r="BJ458" s="399">
        <v>0</v>
      </c>
      <c r="BK458" s="399">
        <v>0</v>
      </c>
      <c r="BL458" s="399">
        <v>0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1604.2007191324842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19453.703400000002</v>
      </c>
      <c r="CJ458" s="399">
        <v>-17830.490999999998</v>
      </c>
      <c r="CK458" s="399"/>
      <c r="CL458" s="399"/>
      <c r="CM458" s="399"/>
      <c r="CN458" s="399"/>
      <c r="CO458" s="399">
        <v>-17825.639759999998</v>
      </c>
      <c r="CP458" s="399">
        <v>0</v>
      </c>
      <c r="CQ458" s="399">
        <v>31</v>
      </c>
      <c r="CR458" s="399">
        <v>-746.24680418895696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-714.56375779509381</v>
      </c>
      <c r="DA458" s="399">
        <v>0</v>
      </c>
      <c r="DB458" s="399">
        <v>0</v>
      </c>
      <c r="DC458" s="399">
        <v>0</v>
      </c>
      <c r="DD458" s="399">
        <v>0</v>
      </c>
      <c r="DE458" s="399">
        <v>0</v>
      </c>
      <c r="DF458" s="399">
        <v>0</v>
      </c>
      <c r="DG458" s="399">
        <v>0</v>
      </c>
      <c r="DH458" s="399">
        <v>0</v>
      </c>
      <c r="DI458" s="399">
        <v>-27.079064920541157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-4.169719457696047</v>
      </c>
      <c r="DP458" s="399">
        <v>-0.43426201562826705</v>
      </c>
      <c r="DQ458" s="399">
        <v>0</v>
      </c>
      <c r="DR458" s="399">
        <v>0</v>
      </c>
      <c r="DS458" s="399"/>
      <c r="DT458" s="399"/>
      <c r="DU458" s="399"/>
      <c r="DV458" s="399">
        <v>27393.813667564871</v>
      </c>
      <c r="DW458" s="399">
        <v>0</v>
      </c>
      <c r="DX458" s="399">
        <v>0</v>
      </c>
      <c r="DY458" s="399">
        <v>-17825.639759999998</v>
      </c>
      <c r="DZ458" s="399">
        <v>0</v>
      </c>
      <c r="EA458" s="399">
        <v>0</v>
      </c>
      <c r="EB458" s="399">
        <v>0</v>
      </c>
      <c r="EC458" s="399">
        <v>-17079.41048278879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221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458</v>
      </c>
      <c r="B459" s="399" t="s">
        <v>956</v>
      </c>
      <c r="C459" s="399" t="s">
        <v>2325</v>
      </c>
      <c r="D459" s="399" t="s">
        <v>533</v>
      </c>
      <c r="E459" s="399" t="s">
        <v>918</v>
      </c>
      <c r="F459" s="399" t="s">
        <v>1239</v>
      </c>
      <c r="G459" s="399" t="s">
        <v>1239</v>
      </c>
      <c r="H459" s="399" t="s">
        <v>1239</v>
      </c>
      <c r="I459" s="399" t="s">
        <v>2323</v>
      </c>
      <c r="J459" s="399" t="s">
        <v>2326</v>
      </c>
      <c r="K459" s="786">
        <v>44774</v>
      </c>
      <c r="L459" s="399">
        <v>0</v>
      </c>
      <c r="M459" s="399">
        <v>0</v>
      </c>
      <c r="N459" s="399">
        <v>411.89800000000002</v>
      </c>
      <c r="O459" s="399">
        <v>411.89800000000002</v>
      </c>
      <c r="P459" s="399">
        <v>411.89800000000002</v>
      </c>
      <c r="Q459" s="399">
        <v>411.89800000000002</v>
      </c>
      <c r="R459" s="399"/>
      <c r="S459" s="399">
        <v>77.900000000000006</v>
      </c>
      <c r="T459" s="399">
        <v>185.74</v>
      </c>
      <c r="U459" s="399"/>
      <c r="V459" s="399">
        <v>108592.78872000001</v>
      </c>
      <c r="W459" s="399">
        <v>108592.78872000001</v>
      </c>
      <c r="X459" s="399">
        <v>106978.14856000002</v>
      </c>
      <c r="Y459" s="399">
        <v>0</v>
      </c>
      <c r="Z459" s="399">
        <v>22341.468822583531</v>
      </c>
      <c r="AA459" s="399">
        <v>0</v>
      </c>
      <c r="AB459" s="399">
        <v>0</v>
      </c>
      <c r="AC459" s="399">
        <v>0</v>
      </c>
      <c r="AD459" s="399">
        <v>0</v>
      </c>
      <c r="AE459" s="399">
        <v>0</v>
      </c>
      <c r="AF459" s="399">
        <v>76507.700713278682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3968.7172273721994</v>
      </c>
      <c r="AM459" s="399"/>
      <c r="AN459" s="399">
        <v>426.67748660347752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5351.45040283034</v>
      </c>
      <c r="BH459" s="399">
        <v>0</v>
      </c>
      <c r="BI459" s="399">
        <v>0</v>
      </c>
      <c r="BJ459" s="399">
        <v>0</v>
      </c>
      <c r="BK459" s="399">
        <v>0</v>
      </c>
      <c r="BL459" s="399">
        <v>0</v>
      </c>
      <c r="BM459" s="399"/>
      <c r="BN459" s="399"/>
      <c r="BO459" s="399"/>
      <c r="BP459" s="399"/>
      <c r="BQ459" s="399"/>
      <c r="BR459" s="399"/>
      <c r="BS459" s="399"/>
      <c r="BT459" s="399"/>
      <c r="BU459" s="399"/>
      <c r="BV459" s="399">
        <v>81859.151116109017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106978.66800000001</v>
      </c>
      <c r="CJ459" s="399">
        <v>-1614.1507200000051</v>
      </c>
      <c r="CK459" s="399"/>
      <c r="CL459" s="399"/>
      <c r="CM459" s="399"/>
      <c r="CN459" s="399"/>
      <c r="CO459" s="399">
        <v>-1614.6401600000008</v>
      </c>
      <c r="CP459" s="399">
        <v>0</v>
      </c>
      <c r="CQ459" s="399">
        <v>31</v>
      </c>
      <c r="CR459" s="399">
        <v>-1616.7224285852717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0</v>
      </c>
      <c r="DA459" s="399">
        <v>0</v>
      </c>
      <c r="DB459" s="399">
        <v>0</v>
      </c>
      <c r="DC459" s="399">
        <v>0</v>
      </c>
      <c r="DD459" s="399">
        <v>0</v>
      </c>
      <c r="DE459" s="399">
        <v>0</v>
      </c>
      <c r="DF459" s="399">
        <v>0</v>
      </c>
      <c r="DG459" s="399">
        <v>0</v>
      </c>
      <c r="DH459" s="399">
        <v>0</v>
      </c>
      <c r="DI459" s="399">
        <v>-1381.7904710903204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-212.77243622226024</v>
      </c>
      <c r="DP459" s="399">
        <v>-22.159521272702136</v>
      </c>
      <c r="DQ459" s="399">
        <v>0</v>
      </c>
      <c r="DR459" s="399">
        <v>0</v>
      </c>
      <c r="DS459" s="399"/>
      <c r="DT459" s="399"/>
      <c r="DU459" s="399"/>
      <c r="DV459" s="399">
        <v>0</v>
      </c>
      <c r="DW459" s="399">
        <v>0</v>
      </c>
      <c r="DX459" s="399">
        <v>0</v>
      </c>
      <c r="DY459" s="399">
        <v>-1614.6401600000027</v>
      </c>
      <c r="DZ459" s="399">
        <v>0</v>
      </c>
      <c r="EA459" s="399">
        <v>0</v>
      </c>
      <c r="EB459" s="399">
        <v>0</v>
      </c>
      <c r="EC459" s="399">
        <v>0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221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459</v>
      </c>
      <c r="B460" s="399" t="s">
        <v>956</v>
      </c>
      <c r="C460" s="399" t="s">
        <v>2325</v>
      </c>
      <c r="D460" s="399" t="s">
        <v>533</v>
      </c>
      <c r="E460" s="399" t="s">
        <v>918</v>
      </c>
      <c r="F460" s="399" t="s">
        <v>1239</v>
      </c>
      <c r="G460" s="399" t="s">
        <v>1239</v>
      </c>
      <c r="H460" s="399" t="s">
        <v>1239</v>
      </c>
      <c r="I460" s="399" t="s">
        <v>1239</v>
      </c>
      <c r="J460" s="399" t="s">
        <v>2326</v>
      </c>
      <c r="K460" s="786">
        <v>44774</v>
      </c>
      <c r="L460" s="399">
        <v>1196</v>
      </c>
      <c r="M460" s="399">
        <v>1196</v>
      </c>
      <c r="N460" s="399">
        <v>0</v>
      </c>
      <c r="O460" s="399">
        <v>0</v>
      </c>
      <c r="P460" s="399">
        <v>0</v>
      </c>
      <c r="Q460" s="399">
        <v>0</v>
      </c>
      <c r="R460" s="399">
        <v>55.59</v>
      </c>
      <c r="S460" s="399"/>
      <c r="T460" s="399"/>
      <c r="U460" s="399">
        <v>66485.64</v>
      </c>
      <c r="V460" s="399"/>
      <c r="W460" s="399">
        <v>66485.64</v>
      </c>
      <c r="X460" s="399">
        <v>35293.96</v>
      </c>
      <c r="Y460" s="399">
        <v>0</v>
      </c>
      <c r="Z460" s="399">
        <v>0</v>
      </c>
      <c r="AA460" s="399">
        <v>0</v>
      </c>
      <c r="AB460" s="399">
        <v>0</v>
      </c>
      <c r="AC460" s="399">
        <v>0</v>
      </c>
      <c r="AD460" s="399">
        <v>19320.986310019856</v>
      </c>
      <c r="AE460" s="399">
        <v>47159.144871330187</v>
      </c>
      <c r="AF460" s="399"/>
      <c r="AG460" s="399"/>
      <c r="AH460" s="399"/>
      <c r="AI460" s="399">
        <v>0</v>
      </c>
      <c r="AJ460" s="399">
        <v>0</v>
      </c>
      <c r="AK460" s="399">
        <v>0</v>
      </c>
      <c r="AL460" s="399">
        <v>0</v>
      </c>
      <c r="AM460" s="399"/>
      <c r="AN460" s="399">
        <v>0</v>
      </c>
      <c r="AO460" s="399">
        <v>0</v>
      </c>
      <c r="AP460" s="399">
        <v>0</v>
      </c>
      <c r="AQ460" s="399">
        <v>0</v>
      </c>
      <c r="AR460" s="399">
        <v>0</v>
      </c>
      <c r="AS460" s="399"/>
      <c r="AT460" s="399"/>
      <c r="AU460" s="399">
        <v>0</v>
      </c>
      <c r="AV460" s="399">
        <v>0</v>
      </c>
      <c r="AW460" s="399">
        <v>0</v>
      </c>
      <c r="AX460" s="399"/>
      <c r="AY460" s="399"/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/>
      <c r="BG460" s="399">
        <v>0</v>
      </c>
      <c r="BH460" s="399">
        <v>0</v>
      </c>
      <c r="BI460" s="399">
        <v>64.83</v>
      </c>
      <c r="BJ460" s="399">
        <v>308</v>
      </c>
      <c r="BK460" s="399">
        <v>32450.7</v>
      </c>
      <c r="BL460" s="399">
        <v>6</v>
      </c>
      <c r="BM460" s="399"/>
      <c r="BN460" s="399"/>
      <c r="BO460" s="399"/>
      <c r="BP460" s="399"/>
      <c r="BQ460" s="399"/>
      <c r="BR460" s="399"/>
      <c r="BS460" s="399"/>
      <c r="BT460" s="399"/>
      <c r="BU460" s="399"/>
      <c r="BV460" s="399">
        <v>0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35293.96</v>
      </c>
      <c r="CJ460" s="399">
        <v>-31191.709999999985</v>
      </c>
      <c r="CK460" s="399"/>
      <c r="CL460" s="399"/>
      <c r="CM460" s="399"/>
      <c r="CN460" s="399"/>
      <c r="CO460" s="399">
        <v>-31191.680000000004</v>
      </c>
      <c r="CP460" s="399">
        <v>0</v>
      </c>
      <c r="CQ460" s="399">
        <v>31</v>
      </c>
      <c r="CR460" s="399">
        <v>-1778.6245970167329</v>
      </c>
      <c r="CS460" s="399">
        <v>0</v>
      </c>
      <c r="CT460" s="399">
        <v>0</v>
      </c>
      <c r="CU460" s="399">
        <v>0</v>
      </c>
      <c r="CV460" s="399">
        <v>0</v>
      </c>
      <c r="CW460" s="399"/>
      <c r="CX460" s="399"/>
      <c r="CY460" s="399"/>
      <c r="CZ460" s="399">
        <v>-1778.6245970167329</v>
      </c>
      <c r="DA460" s="399">
        <v>0</v>
      </c>
      <c r="DB460" s="399">
        <v>0</v>
      </c>
      <c r="DC460" s="399"/>
      <c r="DD460" s="399"/>
      <c r="DE460" s="399">
        <v>0</v>
      </c>
      <c r="DF460" s="399">
        <v>0</v>
      </c>
      <c r="DG460" s="399">
        <v>0</v>
      </c>
      <c r="DH460" s="399">
        <v>0</v>
      </c>
      <c r="DI460" s="399">
        <v>0</v>
      </c>
      <c r="DJ460" s="399"/>
      <c r="DK460" s="399">
        <v>0</v>
      </c>
      <c r="DL460" s="399">
        <v>0</v>
      </c>
      <c r="DM460" s="399"/>
      <c r="DN460" s="399">
        <v>0</v>
      </c>
      <c r="DO460" s="399">
        <v>0</v>
      </c>
      <c r="DP460" s="399">
        <v>0</v>
      </c>
      <c r="DQ460" s="399">
        <v>0</v>
      </c>
      <c r="DR460" s="399">
        <v>0</v>
      </c>
      <c r="DS460" s="399"/>
      <c r="DT460" s="399"/>
      <c r="DU460" s="399">
        <v>47159.144871330187</v>
      </c>
      <c r="DV460" s="399"/>
      <c r="DW460" s="399">
        <v>0</v>
      </c>
      <c r="DX460" s="399">
        <v>0</v>
      </c>
      <c r="DY460" s="399">
        <v>-31191.68</v>
      </c>
      <c r="DZ460" s="399"/>
      <c r="EA460" s="399">
        <v>0</v>
      </c>
      <c r="EB460" s="399"/>
      <c r="EC460" s="399">
        <v>-29402.638239758136</v>
      </c>
      <c r="ED460" s="399"/>
      <c r="EE460" s="399">
        <v>0</v>
      </c>
      <c r="EF460" s="399">
        <v>0</v>
      </c>
      <c r="EG460" s="399"/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/>
      <c r="EN460" s="399"/>
      <c r="EO460" s="399">
        <v>0</v>
      </c>
      <c r="EP460" s="399">
        <v>0</v>
      </c>
      <c r="EQ460" s="399"/>
      <c r="ER460" s="399">
        <v>0</v>
      </c>
      <c r="ES460" s="399"/>
      <c r="ET460" s="399">
        <v>0</v>
      </c>
      <c r="EU460" s="399"/>
      <c r="EV460" s="399">
        <v>221</v>
      </c>
      <c r="EW460" s="399"/>
      <c r="EX460" s="399"/>
      <c r="EY460" s="399"/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460</v>
      </c>
      <c r="B461" s="399" t="s">
        <v>956</v>
      </c>
      <c r="C461" s="399" t="s">
        <v>2328</v>
      </c>
      <c r="D461" s="399" t="s">
        <v>2337</v>
      </c>
      <c r="E461" s="399" t="s">
        <v>894</v>
      </c>
      <c r="F461" s="399" t="s">
        <v>1239</v>
      </c>
      <c r="G461" s="399" t="s">
        <v>1239</v>
      </c>
      <c r="H461" s="399" t="s">
        <v>1239</v>
      </c>
      <c r="I461" s="399" t="s">
        <v>1239</v>
      </c>
      <c r="J461" s="399" t="s">
        <v>2326</v>
      </c>
      <c r="K461" s="786">
        <v>44774</v>
      </c>
      <c r="L461" s="399">
        <v>0</v>
      </c>
      <c r="M461" s="399">
        <v>0</v>
      </c>
      <c r="N461" s="399">
        <v>1362.568</v>
      </c>
      <c r="O461" s="399">
        <v>1362.568</v>
      </c>
      <c r="P461" s="399">
        <v>1362.568</v>
      </c>
      <c r="Q461" s="399">
        <v>1362.568</v>
      </c>
      <c r="R461" s="399"/>
      <c r="S461" s="399">
        <v>825.6</v>
      </c>
      <c r="T461" s="399">
        <v>185.74</v>
      </c>
      <c r="U461" s="399"/>
      <c r="V461" s="399">
        <v>1378019.5211199999</v>
      </c>
      <c r="W461" s="399">
        <v>1378019.5211199999</v>
      </c>
      <c r="X461" s="399">
        <v>856646.50159999996</v>
      </c>
      <c r="Y461" s="399">
        <v>0</v>
      </c>
      <c r="Z461" s="399">
        <v>84949.528266344132</v>
      </c>
      <c r="AA461" s="399">
        <v>0</v>
      </c>
      <c r="AB461" s="399">
        <v>0</v>
      </c>
      <c r="AC461" s="399">
        <v>0</v>
      </c>
      <c r="AD461" s="399">
        <v>177585.81232323602</v>
      </c>
      <c r="AE461" s="399">
        <v>800195.01317037619</v>
      </c>
      <c r="AF461" s="399">
        <v>253089.22292774112</v>
      </c>
      <c r="AG461" s="399">
        <v>0</v>
      </c>
      <c r="AH461" s="399">
        <v>0</v>
      </c>
      <c r="AI461" s="399">
        <v>0</v>
      </c>
      <c r="AJ461" s="399">
        <v>0</v>
      </c>
      <c r="AK461" s="399">
        <v>0</v>
      </c>
      <c r="AL461" s="399">
        <v>13128.607313135977</v>
      </c>
      <c r="AM461" s="399"/>
      <c r="AN461" s="399">
        <v>3230.4679809937011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45851.093197385082</v>
      </c>
      <c r="BH461" s="399">
        <v>0</v>
      </c>
      <c r="BI461" s="399">
        <v>304.07</v>
      </c>
      <c r="BJ461" s="399">
        <v>1435.15</v>
      </c>
      <c r="BK461" s="399">
        <v>126082.84</v>
      </c>
      <c r="BL461" s="399">
        <v>5576</v>
      </c>
      <c r="BM461" s="399"/>
      <c r="BN461" s="399"/>
      <c r="BO461" s="399"/>
      <c r="BP461" s="399"/>
      <c r="BQ461" s="399"/>
      <c r="BR461" s="399">
        <v>102792.12991999999</v>
      </c>
      <c r="BS461" s="399"/>
      <c r="BT461" s="399"/>
      <c r="BU461" s="399"/>
      <c r="BV461" s="399">
        <v>298940.31612512621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753855.4781999999</v>
      </c>
      <c r="CJ461" s="399">
        <v>-458802.82044000004</v>
      </c>
      <c r="CK461" s="399"/>
      <c r="CL461" s="399"/>
      <c r="CM461" s="399"/>
      <c r="CN461" s="399"/>
      <c r="CO461" s="399">
        <v>-521373.01952000003</v>
      </c>
      <c r="CP461" s="399">
        <v>0</v>
      </c>
      <c r="CQ461" s="399">
        <v>31</v>
      </c>
      <c r="CR461" s="399">
        <v>-22473.596006216947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-16347.948743977235</v>
      </c>
      <c r="DA461" s="399">
        <v>0</v>
      </c>
      <c r="DB461" s="399">
        <v>0</v>
      </c>
      <c r="DC461" s="399">
        <v>0</v>
      </c>
      <c r="DD461" s="399">
        <v>0</v>
      </c>
      <c r="DE461" s="399">
        <v>0</v>
      </c>
      <c r="DF461" s="399">
        <v>0</v>
      </c>
      <c r="DG461" s="399">
        <v>0</v>
      </c>
      <c r="DH461" s="399">
        <v>0</v>
      </c>
      <c r="DI461" s="399">
        <v>-5254.0166277428798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-703.85608300718377</v>
      </c>
      <c r="DP461" s="399">
        <v>-167.77455148961735</v>
      </c>
      <c r="DQ461" s="399">
        <v>0</v>
      </c>
      <c r="DR461" s="399">
        <v>0</v>
      </c>
      <c r="DS461" s="399"/>
      <c r="DT461" s="399"/>
      <c r="DU461" s="399"/>
      <c r="DV461" s="399">
        <v>800195.01317037619</v>
      </c>
      <c r="DW461" s="399">
        <v>0</v>
      </c>
      <c r="DX461" s="399">
        <v>0</v>
      </c>
      <c r="DY461" s="399">
        <v>-521373.01951999997</v>
      </c>
      <c r="DZ461" s="399">
        <v>0</v>
      </c>
      <c r="EA461" s="399">
        <v>0</v>
      </c>
      <c r="EB461" s="399">
        <v>0</v>
      </c>
      <c r="EC461" s="399">
        <v>-498903.11959007906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221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461</v>
      </c>
      <c r="B462" s="399" t="s">
        <v>2330</v>
      </c>
      <c r="C462" s="399" t="s">
        <v>2328</v>
      </c>
      <c r="D462" s="399" t="s">
        <v>2337</v>
      </c>
      <c r="E462" s="399" t="s">
        <v>894</v>
      </c>
      <c r="F462" s="399" t="s">
        <v>1239</v>
      </c>
      <c r="G462" s="399" t="s">
        <v>1239</v>
      </c>
      <c r="H462" s="399" t="s">
        <v>1239</v>
      </c>
      <c r="I462" s="399" t="s">
        <v>1239</v>
      </c>
      <c r="J462" s="399" t="s">
        <v>2326</v>
      </c>
      <c r="K462" s="786">
        <v>44774</v>
      </c>
      <c r="L462" s="399">
        <v>0</v>
      </c>
      <c r="M462" s="399">
        <v>0</v>
      </c>
      <c r="N462" s="399">
        <v>39.896999999999998</v>
      </c>
      <c r="O462" s="399">
        <v>39.896999999999998</v>
      </c>
      <c r="P462" s="399">
        <v>39.896999999999998</v>
      </c>
      <c r="Q462" s="399">
        <v>39.896999999999998</v>
      </c>
      <c r="R462" s="399"/>
      <c r="S462" s="399">
        <v>825.6</v>
      </c>
      <c r="T462" s="399">
        <v>185.74</v>
      </c>
      <c r="U462" s="399"/>
      <c r="V462" s="399">
        <v>40349.431980000001</v>
      </c>
      <c r="W462" s="399">
        <v>40349.431980000001</v>
      </c>
      <c r="X462" s="399">
        <v>25083.243899999998</v>
      </c>
      <c r="Y462" s="399">
        <v>0</v>
      </c>
      <c r="Z462" s="399">
        <v>2487.3850914173327</v>
      </c>
      <c r="AA462" s="399">
        <v>0</v>
      </c>
      <c r="AB462" s="399">
        <v>0</v>
      </c>
      <c r="AC462" s="399">
        <v>0</v>
      </c>
      <c r="AD462" s="399">
        <v>5199.8440843026901</v>
      </c>
      <c r="AE462" s="399">
        <v>23430.302517348493</v>
      </c>
      <c r="AF462" s="399">
        <v>7410.6398558810179</v>
      </c>
      <c r="AG462" s="399">
        <v>0</v>
      </c>
      <c r="AH462" s="399">
        <v>0</v>
      </c>
      <c r="AI462" s="399">
        <v>0</v>
      </c>
      <c r="AJ462" s="399">
        <v>0</v>
      </c>
      <c r="AK462" s="399">
        <v>0</v>
      </c>
      <c r="AL462" s="399">
        <v>384.41534365417806</v>
      </c>
      <c r="AM462" s="399"/>
      <c r="AN462" s="399">
        <v>94.590494593815265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1342.5539608269626</v>
      </c>
      <c r="BH462" s="399">
        <v>0</v>
      </c>
      <c r="BI462" s="399">
        <v>7.56</v>
      </c>
      <c r="BJ462" s="399">
        <v>35.54</v>
      </c>
      <c r="BK462" s="399">
        <v>11938.02</v>
      </c>
      <c r="BL462" s="399">
        <v>189</v>
      </c>
      <c r="BM462" s="399"/>
      <c r="BN462" s="399"/>
      <c r="BO462" s="399"/>
      <c r="BP462" s="399"/>
      <c r="BQ462" s="399"/>
      <c r="BR462" s="399">
        <v>3009.8296799999998</v>
      </c>
      <c r="BS462" s="399"/>
      <c r="BT462" s="399"/>
      <c r="BU462" s="399"/>
      <c r="BV462" s="399">
        <v>8753.1938167079807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22075.074000000001</v>
      </c>
      <c r="CJ462" s="399">
        <v>-13432.488059999996</v>
      </c>
      <c r="CK462" s="399"/>
      <c r="CL462" s="399"/>
      <c r="CM462" s="399"/>
      <c r="CN462" s="399"/>
      <c r="CO462" s="399">
        <v>-15266.188080000002</v>
      </c>
      <c r="CP462" s="399">
        <v>0</v>
      </c>
      <c r="CQ462" s="399">
        <v>31</v>
      </c>
      <c r="CR462" s="399">
        <v>-658.04353240354794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-478.68004462049612</v>
      </c>
      <c r="DA462" s="399">
        <v>0</v>
      </c>
      <c r="DB462" s="399">
        <v>0</v>
      </c>
      <c r="DC462" s="399">
        <v>0</v>
      </c>
      <c r="DD462" s="399">
        <v>0</v>
      </c>
      <c r="DE462" s="399">
        <v>0</v>
      </c>
      <c r="DF462" s="399">
        <v>0</v>
      </c>
      <c r="DG462" s="399">
        <v>0</v>
      </c>
      <c r="DH462" s="399">
        <v>0</v>
      </c>
      <c r="DI462" s="399">
        <v>-153.84149737632015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-20.609427304719929</v>
      </c>
      <c r="DP462" s="399">
        <v>-4.9125631020112479</v>
      </c>
      <c r="DQ462" s="399">
        <v>0</v>
      </c>
      <c r="DR462" s="399">
        <v>0</v>
      </c>
      <c r="DS462" s="399"/>
      <c r="DT462" s="399"/>
      <c r="DU462" s="399"/>
      <c r="DV462" s="399">
        <v>23430.302517348493</v>
      </c>
      <c r="DW462" s="399">
        <v>0</v>
      </c>
      <c r="DX462" s="399">
        <v>0</v>
      </c>
      <c r="DY462" s="399">
        <v>-15266.18808</v>
      </c>
      <c r="DZ462" s="399">
        <v>0</v>
      </c>
      <c r="EA462" s="399">
        <v>0</v>
      </c>
      <c r="EB462" s="399">
        <v>0</v>
      </c>
      <c r="EC462" s="399">
        <v>-14608.252771447287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221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462</v>
      </c>
      <c r="B463" s="399" t="s">
        <v>956</v>
      </c>
      <c r="C463" s="399" t="s">
        <v>2328</v>
      </c>
      <c r="D463" s="399" t="s">
        <v>1824</v>
      </c>
      <c r="E463" s="399" t="s">
        <v>2338</v>
      </c>
      <c r="F463" s="399" t="s">
        <v>1239</v>
      </c>
      <c r="G463" s="399" t="s">
        <v>1239</v>
      </c>
      <c r="H463" s="399" t="s">
        <v>1239</v>
      </c>
      <c r="I463" s="399" t="s">
        <v>1239</v>
      </c>
      <c r="J463" s="399" t="s">
        <v>2326</v>
      </c>
      <c r="K463" s="786">
        <v>44774</v>
      </c>
      <c r="L463" s="399">
        <v>0</v>
      </c>
      <c r="M463" s="399">
        <v>0</v>
      </c>
      <c r="N463" s="399">
        <v>21.1</v>
      </c>
      <c r="O463" s="399">
        <v>21.1</v>
      </c>
      <c r="P463" s="399">
        <v>21.1</v>
      </c>
      <c r="Q463" s="399">
        <v>21.1</v>
      </c>
      <c r="R463" s="399"/>
      <c r="S463" s="399">
        <v>825.6</v>
      </c>
      <c r="T463" s="399">
        <v>185.74</v>
      </c>
      <c r="U463" s="399"/>
      <c r="V463" s="399">
        <v>21339.274000000001</v>
      </c>
      <c r="W463" s="399">
        <v>21339.274000000001</v>
      </c>
      <c r="X463" s="399">
        <v>13265.57</v>
      </c>
      <c r="Y463" s="399">
        <v>0</v>
      </c>
      <c r="Z463" s="399">
        <v>1315.4830044591251</v>
      </c>
      <c r="AA463" s="399">
        <v>0</v>
      </c>
      <c r="AB463" s="399">
        <v>0</v>
      </c>
      <c r="AC463" s="399">
        <v>0</v>
      </c>
      <c r="AD463" s="399">
        <v>2749.9990018995609</v>
      </c>
      <c r="AE463" s="399">
        <v>12391.392413365747</v>
      </c>
      <c r="AF463" s="399">
        <v>3919.2044755016541</v>
      </c>
      <c r="AG463" s="399">
        <v>0</v>
      </c>
      <c r="AH463" s="399">
        <v>0</v>
      </c>
      <c r="AI463" s="399">
        <v>0</v>
      </c>
      <c r="AJ463" s="399">
        <v>0</v>
      </c>
      <c r="AK463" s="399">
        <v>0</v>
      </c>
      <c r="AL463" s="399">
        <v>203.30259796734487</v>
      </c>
      <c r="AM463" s="399"/>
      <c r="AN463" s="399">
        <v>50.025301048437285</v>
      </c>
      <c r="AO463" s="399">
        <v>0</v>
      </c>
      <c r="AP463" s="399">
        <v>0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710.02553007616893</v>
      </c>
      <c r="BH463" s="399">
        <v>0</v>
      </c>
      <c r="BI463" s="399">
        <v>5.45</v>
      </c>
      <c r="BJ463" s="399">
        <v>24.99</v>
      </c>
      <c r="BK463" s="399">
        <v>2003.07</v>
      </c>
      <c r="BL463" s="399">
        <v>92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>
        <v>4629.2300055778232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13265.57</v>
      </c>
      <c r="CJ463" s="399">
        <v>-8073.7339999999967</v>
      </c>
      <c r="CK463" s="399"/>
      <c r="CL463" s="399"/>
      <c r="CM463" s="399"/>
      <c r="CN463" s="399"/>
      <c r="CO463" s="399">
        <v>-8073.7040000000015</v>
      </c>
      <c r="CP463" s="399">
        <v>0</v>
      </c>
      <c r="CQ463" s="399">
        <v>31</v>
      </c>
      <c r="CR463" s="399">
        <v>-348.01409964947015</v>
      </c>
      <c r="CS463" s="399">
        <v>0</v>
      </c>
      <c r="CT463" s="399">
        <v>0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-253.15559920526539</v>
      </c>
      <c r="DA463" s="399">
        <v>0</v>
      </c>
      <c r="DB463" s="399">
        <v>0</v>
      </c>
      <c r="DC463" s="399">
        <v>0</v>
      </c>
      <c r="DD463" s="399">
        <v>0</v>
      </c>
      <c r="DE463" s="399">
        <v>0</v>
      </c>
      <c r="DF463" s="399">
        <v>0</v>
      </c>
      <c r="DG463" s="399">
        <v>0</v>
      </c>
      <c r="DH463" s="399">
        <v>0</v>
      </c>
      <c r="DI463" s="399">
        <v>-81.360894168492678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-10.899539216722843</v>
      </c>
      <c r="DP463" s="399">
        <v>-2.598067058987823</v>
      </c>
      <c r="DQ463" s="399">
        <v>0</v>
      </c>
      <c r="DR463" s="399">
        <v>0</v>
      </c>
      <c r="DS463" s="399"/>
      <c r="DT463" s="399"/>
      <c r="DU463" s="399"/>
      <c r="DV463" s="399">
        <v>12391.392413365747</v>
      </c>
      <c r="DW463" s="399">
        <v>0</v>
      </c>
      <c r="DX463" s="399">
        <v>0</v>
      </c>
      <c r="DY463" s="399">
        <v>-8073.7039999999997</v>
      </c>
      <c r="DZ463" s="399">
        <v>0</v>
      </c>
      <c r="EA463" s="399">
        <v>0</v>
      </c>
      <c r="EB463" s="399">
        <v>0</v>
      </c>
      <c r="EC463" s="399">
        <v>-7725.7471358131625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0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221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463</v>
      </c>
      <c r="B464" s="399" t="s">
        <v>2329</v>
      </c>
      <c r="C464" s="399" t="s">
        <v>2328</v>
      </c>
      <c r="D464" s="399" t="s">
        <v>1824</v>
      </c>
      <c r="E464" s="399" t="s">
        <v>2338</v>
      </c>
      <c r="F464" s="399" t="s">
        <v>1239</v>
      </c>
      <c r="G464" s="399" t="s">
        <v>1239</v>
      </c>
      <c r="H464" s="399" t="s">
        <v>1239</v>
      </c>
      <c r="I464" s="399" t="s">
        <v>1239</v>
      </c>
      <c r="J464" s="399" t="s">
        <v>2326</v>
      </c>
      <c r="K464" s="786">
        <v>44774</v>
      </c>
      <c r="L464" s="399">
        <v>0</v>
      </c>
      <c r="M464" s="399">
        <v>0</v>
      </c>
      <c r="N464" s="399">
        <v>0</v>
      </c>
      <c r="O464" s="399">
        <v>0</v>
      </c>
      <c r="P464" s="399">
        <v>0</v>
      </c>
      <c r="Q464" s="399">
        <v>0</v>
      </c>
      <c r="R464" s="399"/>
      <c r="S464" s="399"/>
      <c r="T464" s="399"/>
      <c r="U464" s="399"/>
      <c r="V464" s="399"/>
      <c r="W464" s="399"/>
      <c r="X464" s="399"/>
      <c r="Y464" s="399"/>
      <c r="Z464" s="399"/>
      <c r="AA464" s="399">
        <v>0</v>
      </c>
      <c r="AB464" s="399"/>
      <c r="AC464" s="399"/>
      <c r="AD464" s="399"/>
      <c r="AE464" s="399"/>
      <c r="AF464" s="399"/>
      <c r="AG464" s="399"/>
      <c r="AH464" s="399"/>
      <c r="AI464" s="399"/>
      <c r="AJ464" s="399"/>
      <c r="AK464" s="399"/>
      <c r="AL464" s="399"/>
      <c r="AM464" s="399"/>
      <c r="AN464" s="399"/>
      <c r="AO464" s="399"/>
      <c r="AP464" s="399"/>
      <c r="AQ464" s="399"/>
      <c r="AR464" s="399"/>
      <c r="AS464" s="399"/>
      <c r="AT464" s="399"/>
      <c r="AU464" s="399"/>
      <c r="AV464" s="399"/>
      <c r="AW464" s="399"/>
      <c r="AX464" s="399"/>
      <c r="AY464" s="399"/>
      <c r="AZ464" s="399">
        <v>0</v>
      </c>
      <c r="BA464" s="399"/>
      <c r="BB464" s="399"/>
      <c r="BC464" s="399"/>
      <c r="BD464" s="399"/>
      <c r="BE464" s="399"/>
      <c r="BF464" s="399"/>
      <c r="BG464" s="399"/>
      <c r="BH464" s="399"/>
      <c r="BI464" s="399">
        <v>0</v>
      </c>
      <c r="BJ464" s="399">
        <v>0</v>
      </c>
      <c r="BK464" s="399">
        <v>-13.69</v>
      </c>
      <c r="BL464" s="399">
        <v>0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/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/>
      <c r="CJ464" s="399">
        <v>-0.03</v>
      </c>
      <c r="CK464" s="399"/>
      <c r="CL464" s="399"/>
      <c r="CM464" s="399"/>
      <c r="CN464" s="399"/>
      <c r="CO464" s="399">
        <v>0</v>
      </c>
      <c r="CP464" s="399">
        <v>0</v>
      </c>
      <c r="CQ464" s="399">
        <v>31</v>
      </c>
      <c r="CR464" s="399"/>
      <c r="CS464" s="399"/>
      <c r="CT464" s="399"/>
      <c r="CU464" s="399"/>
      <c r="CV464" s="399"/>
      <c r="CW464" s="399"/>
      <c r="CX464" s="399"/>
      <c r="CY464" s="399"/>
      <c r="CZ464" s="399"/>
      <c r="DA464" s="399"/>
      <c r="DB464" s="399"/>
      <c r="DC464" s="399"/>
      <c r="DD464" s="399"/>
      <c r="DE464" s="399"/>
      <c r="DF464" s="399"/>
      <c r="DG464" s="399"/>
      <c r="DH464" s="399"/>
      <c r="DI464" s="399"/>
      <c r="DJ464" s="399"/>
      <c r="DK464" s="399">
        <v>0</v>
      </c>
      <c r="DL464" s="399"/>
      <c r="DM464" s="399"/>
      <c r="DN464" s="399"/>
      <c r="DO464" s="399"/>
      <c r="DP464" s="399"/>
      <c r="DQ464" s="399"/>
      <c r="DR464" s="399"/>
      <c r="DS464" s="399"/>
      <c r="DT464" s="399"/>
      <c r="DU464" s="399"/>
      <c r="DV464" s="399"/>
      <c r="DW464" s="399"/>
      <c r="DX464" s="399"/>
      <c r="DY464" s="399"/>
      <c r="DZ464" s="399"/>
      <c r="EA464" s="399"/>
      <c r="EB464" s="399"/>
      <c r="EC464" s="399"/>
      <c r="ED464" s="399"/>
      <c r="EE464" s="399"/>
      <c r="EF464" s="399"/>
      <c r="EG464" s="399"/>
      <c r="EH464" s="399"/>
      <c r="EI464" s="399"/>
      <c r="EJ464" s="399"/>
      <c r="EK464" s="399"/>
      <c r="EL464" s="399"/>
      <c r="EM464" s="399"/>
      <c r="EN464" s="399"/>
      <c r="EO464" s="399"/>
      <c r="EP464" s="399"/>
      <c r="EQ464" s="399"/>
      <c r="ER464" s="399"/>
      <c r="ES464" s="399"/>
      <c r="ET464" s="399"/>
      <c r="EU464" s="399"/>
      <c r="EV464" s="399">
        <v>221</v>
      </c>
      <c r="EW464" s="399"/>
      <c r="EX464" s="399"/>
      <c r="EY464" s="399"/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464</v>
      </c>
      <c r="B465" s="399" t="s">
        <v>956</v>
      </c>
      <c r="C465" s="399" t="s">
        <v>2328</v>
      </c>
      <c r="D465" s="399" t="s">
        <v>2339</v>
      </c>
      <c r="E465" s="399" t="s">
        <v>2340</v>
      </c>
      <c r="F465" s="399" t="s">
        <v>2341</v>
      </c>
      <c r="G465" s="399" t="s">
        <v>1239</v>
      </c>
      <c r="H465" s="399" t="s">
        <v>1239</v>
      </c>
      <c r="I465" s="399" t="s">
        <v>1239</v>
      </c>
      <c r="J465" s="399" t="s">
        <v>2326</v>
      </c>
      <c r="K465" s="786">
        <v>44774</v>
      </c>
      <c r="L465" s="399">
        <v>0</v>
      </c>
      <c r="M465" s="399">
        <v>0</v>
      </c>
      <c r="N465" s="399">
        <v>276.28800000000001</v>
      </c>
      <c r="O465" s="399">
        <v>276.28800000000001</v>
      </c>
      <c r="P465" s="399">
        <v>276.28800000000001</v>
      </c>
      <c r="Q465" s="399">
        <v>276.28800000000001</v>
      </c>
      <c r="R465" s="399"/>
      <c r="S465" s="399">
        <v>454.08</v>
      </c>
      <c r="T465" s="399">
        <v>102.16</v>
      </c>
      <c r="U465" s="399"/>
      <c r="V465" s="399">
        <v>153682.43711999999</v>
      </c>
      <c r="W465" s="399">
        <v>153682.43711999999</v>
      </c>
      <c r="X465" s="399">
        <v>95537.627520000009</v>
      </c>
      <c r="Y465" s="399">
        <v>0</v>
      </c>
      <c r="Z465" s="399">
        <v>9473.8716864834823</v>
      </c>
      <c r="AA465" s="399">
        <v>0</v>
      </c>
      <c r="AB465" s="399">
        <v>0</v>
      </c>
      <c r="AC465" s="399">
        <v>0</v>
      </c>
      <c r="AD465" s="399">
        <v>19804.997551196935</v>
      </c>
      <c r="AE465" s="399">
        <v>89240.576535886154</v>
      </c>
      <c r="AF465" s="399">
        <v>28225.404804268786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1464.1486968227944</v>
      </c>
      <c r="AM465" s="399"/>
      <c r="AN465" s="399">
        <v>360.27320885492372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5113.4759957121487</v>
      </c>
      <c r="BH465" s="399">
        <v>0</v>
      </c>
      <c r="BI465" s="399">
        <v>38.299999999999997</v>
      </c>
      <c r="BJ465" s="399">
        <v>181.94</v>
      </c>
      <c r="BK465" s="399">
        <v>19613.07</v>
      </c>
      <c r="BL465" s="399">
        <v>9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33338.880799980936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95538.319100000008</v>
      </c>
      <c r="CJ465" s="399">
        <v>-58144.148019999979</v>
      </c>
      <c r="CK465" s="399"/>
      <c r="CL465" s="399"/>
      <c r="CM465" s="399"/>
      <c r="CN465" s="399"/>
      <c r="CO465" s="399">
        <v>-58144.809600000001</v>
      </c>
      <c r="CP465" s="399">
        <v>0</v>
      </c>
      <c r="CQ465" s="399">
        <v>31</v>
      </c>
      <c r="CR465" s="399">
        <v>-2506.3348701504437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-1823.1810334727015</v>
      </c>
      <c r="DA465" s="399">
        <v>0</v>
      </c>
      <c r="DB465" s="399">
        <v>0</v>
      </c>
      <c r="DC465" s="399">
        <v>0</v>
      </c>
      <c r="DD465" s="399">
        <v>0</v>
      </c>
      <c r="DE465" s="399">
        <v>0</v>
      </c>
      <c r="DF465" s="399">
        <v>0</v>
      </c>
      <c r="DG465" s="399">
        <v>0</v>
      </c>
      <c r="DH465" s="399">
        <v>0</v>
      </c>
      <c r="DI465" s="399">
        <v>-585.94650712860494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-78.496518488646871</v>
      </c>
      <c r="DP465" s="399">
        <v>-18.710811060498997</v>
      </c>
      <c r="DQ465" s="399">
        <v>0</v>
      </c>
      <c r="DR465" s="399">
        <v>0</v>
      </c>
      <c r="DS465" s="399"/>
      <c r="DT465" s="399"/>
      <c r="DU465" s="399"/>
      <c r="DV465" s="399">
        <v>89240.576535886154</v>
      </c>
      <c r="DW465" s="399">
        <v>0</v>
      </c>
      <c r="DX465" s="399">
        <v>0</v>
      </c>
      <c r="DY465" s="399">
        <v>-58144.809599999993</v>
      </c>
      <c r="DZ465" s="399">
        <v>0</v>
      </c>
      <c r="EA465" s="399">
        <v>0</v>
      </c>
      <c r="EB465" s="399">
        <v>0</v>
      </c>
      <c r="EC465" s="399">
        <v>-55639.439505343726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221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465</v>
      </c>
      <c r="B466" s="399" t="s">
        <v>956</v>
      </c>
      <c r="C466" s="399" t="s">
        <v>2328</v>
      </c>
      <c r="D466" s="399" t="s">
        <v>2339</v>
      </c>
      <c r="E466" s="399" t="s">
        <v>2340</v>
      </c>
      <c r="F466" s="399" t="s">
        <v>2578</v>
      </c>
      <c r="G466" s="399" t="s">
        <v>1239</v>
      </c>
      <c r="H466" s="399" t="s">
        <v>1239</v>
      </c>
      <c r="I466" s="399" t="s">
        <v>1239</v>
      </c>
      <c r="J466" s="399" t="s">
        <v>2326</v>
      </c>
      <c r="K466" s="786">
        <v>44774</v>
      </c>
      <c r="L466" s="399">
        <v>0</v>
      </c>
      <c r="M466" s="399">
        <v>0</v>
      </c>
      <c r="N466" s="399">
        <v>123.929</v>
      </c>
      <c r="O466" s="399">
        <v>123.929</v>
      </c>
      <c r="P466" s="399">
        <v>123.929</v>
      </c>
      <c r="Q466" s="399">
        <v>123.929</v>
      </c>
      <c r="R466" s="399"/>
      <c r="S466" s="399">
        <v>495.36</v>
      </c>
      <c r="T466" s="399">
        <v>111.45</v>
      </c>
      <c r="U466" s="399"/>
      <c r="V466" s="399">
        <v>75201.356490000006</v>
      </c>
      <c r="W466" s="399">
        <v>75201.356490000006</v>
      </c>
      <c r="X466" s="399">
        <v>46749.736669999998</v>
      </c>
      <c r="Y466" s="399">
        <v>0</v>
      </c>
      <c r="Z466" s="399">
        <v>4635.8244528800433</v>
      </c>
      <c r="AA466" s="399">
        <v>0</v>
      </c>
      <c r="AB466" s="399">
        <v>0</v>
      </c>
      <c r="AC466" s="399">
        <v>0</v>
      </c>
      <c r="AD466" s="399">
        <v>9691.1268144003279</v>
      </c>
      <c r="AE466" s="399">
        <v>43667.85413448359</v>
      </c>
      <c r="AF466" s="399">
        <v>13811.462315955741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716.44799043113915</v>
      </c>
      <c r="AM466" s="399"/>
      <c r="AN466" s="399">
        <v>176.29153176204102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2502.1636184874674</v>
      </c>
      <c r="BH466" s="399">
        <v>0</v>
      </c>
      <c r="BI466" s="399">
        <v>18.73</v>
      </c>
      <c r="BJ466" s="399">
        <v>89.04</v>
      </c>
      <c r="BK466" s="399">
        <v>9597.33</v>
      </c>
      <c r="BL466" s="399">
        <v>6</v>
      </c>
      <c r="BM466" s="399"/>
      <c r="BN466" s="399"/>
      <c r="BO466" s="399"/>
      <c r="BP466" s="399"/>
      <c r="BQ466" s="399"/>
      <c r="BR466" s="399"/>
      <c r="BS466" s="399"/>
      <c r="BT466" s="399"/>
      <c r="BU466" s="399"/>
      <c r="BV466" s="399">
        <v>16313.625934443209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46750.113899999997</v>
      </c>
      <c r="CJ466" s="399">
        <v>-28451.272590000008</v>
      </c>
      <c r="CK466" s="399"/>
      <c r="CL466" s="399"/>
      <c r="CM466" s="399"/>
      <c r="CN466" s="399"/>
      <c r="CO466" s="399">
        <v>-28451.619820000007</v>
      </c>
      <c r="CP466" s="399">
        <v>0</v>
      </c>
      <c r="CQ466" s="399">
        <v>31</v>
      </c>
      <c r="CR466" s="399">
        <v>-1226.4181807239693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-892.13232949506528</v>
      </c>
      <c r="DA466" s="399">
        <v>0</v>
      </c>
      <c r="DB466" s="399">
        <v>0</v>
      </c>
      <c r="DC466" s="399">
        <v>0</v>
      </c>
      <c r="DD466" s="399">
        <v>0</v>
      </c>
      <c r="DE466" s="399">
        <v>0</v>
      </c>
      <c r="DF466" s="399">
        <v>0</v>
      </c>
      <c r="DG466" s="399">
        <v>0</v>
      </c>
      <c r="DH466" s="399">
        <v>0</v>
      </c>
      <c r="DI466" s="399">
        <v>-286.71964701631987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-38.410492765570211</v>
      </c>
      <c r="DP466" s="399">
        <v>-9.1557114470128624</v>
      </c>
      <c r="DQ466" s="399">
        <v>0</v>
      </c>
      <c r="DR466" s="399">
        <v>0</v>
      </c>
      <c r="DS466" s="399"/>
      <c r="DT466" s="399"/>
      <c r="DU466" s="399"/>
      <c r="DV466" s="399">
        <v>43667.85413448359</v>
      </c>
      <c r="DW466" s="399">
        <v>0</v>
      </c>
      <c r="DX466" s="399">
        <v>0</v>
      </c>
      <c r="DY466" s="399">
        <v>-28451.619820000007</v>
      </c>
      <c r="DZ466" s="399">
        <v>0</v>
      </c>
      <c r="EA466" s="399">
        <v>0</v>
      </c>
      <c r="EB466" s="399">
        <v>0</v>
      </c>
      <c r="EC466" s="399">
        <v>-27225.899055759015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221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466</v>
      </c>
      <c r="B467" s="399" t="s">
        <v>956</v>
      </c>
      <c r="C467" s="399" t="s">
        <v>2328</v>
      </c>
      <c r="D467" s="399" t="s">
        <v>1824</v>
      </c>
      <c r="E467" s="399" t="s">
        <v>921</v>
      </c>
      <c r="F467" s="399" t="s">
        <v>2327</v>
      </c>
      <c r="G467" s="399" t="s">
        <v>1239</v>
      </c>
      <c r="H467" s="399" t="s">
        <v>1239</v>
      </c>
      <c r="I467" s="399" t="s">
        <v>1239</v>
      </c>
      <c r="J467" s="399" t="s">
        <v>2326</v>
      </c>
      <c r="K467" s="786">
        <v>44774</v>
      </c>
      <c r="L467" s="399">
        <v>0</v>
      </c>
      <c r="M467" s="399">
        <v>0</v>
      </c>
      <c r="N467" s="399">
        <v>3.62</v>
      </c>
      <c r="O467" s="399">
        <v>3.4028</v>
      </c>
      <c r="P467" s="399">
        <v>3.62</v>
      </c>
      <c r="Q467" s="399">
        <v>3.4028</v>
      </c>
      <c r="R467" s="399"/>
      <c r="S467" s="399">
        <v>825.6</v>
      </c>
      <c r="T467" s="399">
        <v>185.74</v>
      </c>
      <c r="U467" s="399"/>
      <c r="V467" s="399">
        <v>3661.0508</v>
      </c>
      <c r="W467" s="399">
        <v>3661.0508</v>
      </c>
      <c r="X467" s="399">
        <v>2275.8940000000002</v>
      </c>
      <c r="Y467" s="399">
        <v>0</v>
      </c>
      <c r="Z467" s="399">
        <v>225.68950123895891</v>
      </c>
      <c r="AA467" s="399">
        <v>0</v>
      </c>
      <c r="AB467" s="399">
        <v>0</v>
      </c>
      <c r="AC467" s="399">
        <v>0</v>
      </c>
      <c r="AD467" s="399">
        <v>471.80077662921371</v>
      </c>
      <c r="AE467" s="399">
        <v>2125.9166130987678</v>
      </c>
      <c r="AF467" s="399">
        <v>672.39432233725063</v>
      </c>
      <c r="AG467" s="399">
        <v>0</v>
      </c>
      <c r="AH467" s="399">
        <v>0</v>
      </c>
      <c r="AI467" s="399">
        <v>0</v>
      </c>
      <c r="AJ467" s="399">
        <v>0</v>
      </c>
      <c r="AK467" s="399">
        <v>0</v>
      </c>
      <c r="AL467" s="399">
        <v>34.879403063591866</v>
      </c>
      <c r="AM467" s="399"/>
      <c r="AN467" s="399">
        <v>8.5825398007271545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121.81480658178822</v>
      </c>
      <c r="BH467" s="399">
        <v>0</v>
      </c>
      <c r="BI467" s="399">
        <v>0.77</v>
      </c>
      <c r="BJ467" s="399">
        <v>3.68</v>
      </c>
      <c r="BK467" s="399">
        <v>0</v>
      </c>
      <c r="BL467" s="399">
        <v>5</v>
      </c>
      <c r="BM467" s="399"/>
      <c r="BN467" s="399"/>
      <c r="BO467" s="399"/>
      <c r="BP467" s="399"/>
      <c r="BQ467" s="399">
        <v>136.55364000000003</v>
      </c>
      <c r="BR467" s="399"/>
      <c r="BS467" s="399"/>
      <c r="BT467" s="399"/>
      <c r="BU467" s="399"/>
      <c r="BV467" s="399">
        <v>794.2091289190389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2137.58</v>
      </c>
      <c r="CJ467" s="399">
        <v>-1303.8377520000008</v>
      </c>
      <c r="CK467" s="399"/>
      <c r="CL467" s="399"/>
      <c r="CM467" s="399"/>
      <c r="CN467" s="399"/>
      <c r="CO467" s="399">
        <v>-1385.1568000000002</v>
      </c>
      <c r="CP467" s="399">
        <v>0</v>
      </c>
      <c r="CQ467" s="399">
        <v>31</v>
      </c>
      <c r="CR467" s="399">
        <v>-59.706684394837566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-43.432382422893852</v>
      </c>
      <c r="DA467" s="399">
        <v>0</v>
      </c>
      <c r="DB467" s="399">
        <v>0</v>
      </c>
      <c r="DC467" s="399">
        <v>0</v>
      </c>
      <c r="DD467" s="399">
        <v>0</v>
      </c>
      <c r="DE467" s="399">
        <v>0</v>
      </c>
      <c r="DF467" s="399">
        <v>0</v>
      </c>
      <c r="DG467" s="399">
        <v>0</v>
      </c>
      <c r="DH467" s="399">
        <v>0</v>
      </c>
      <c r="DI467" s="399">
        <v>-13.958598904736647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-1.8699683395514981</v>
      </c>
      <c r="DP467" s="399">
        <v>-0.44573472765573108</v>
      </c>
      <c r="DQ467" s="399">
        <v>0</v>
      </c>
      <c r="DR467" s="399">
        <v>0</v>
      </c>
      <c r="DS467" s="399"/>
      <c r="DT467" s="399"/>
      <c r="DU467" s="399"/>
      <c r="DV467" s="399">
        <v>2125.9166130987678</v>
      </c>
      <c r="DW467" s="399">
        <v>0</v>
      </c>
      <c r="DX467" s="399">
        <v>0</v>
      </c>
      <c r="DY467" s="399">
        <v>-1385.1568</v>
      </c>
      <c r="DZ467" s="399">
        <v>0</v>
      </c>
      <c r="EA467" s="399">
        <v>0</v>
      </c>
      <c r="EB467" s="399">
        <v>0</v>
      </c>
      <c r="EC467" s="399">
        <v>-1325.4599351489878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0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221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467</v>
      </c>
      <c r="B468" s="399" t="s">
        <v>956</v>
      </c>
      <c r="C468" s="399" t="s">
        <v>2328</v>
      </c>
      <c r="D468" s="399" t="s">
        <v>1824</v>
      </c>
      <c r="E468" s="399" t="s">
        <v>2579</v>
      </c>
      <c r="F468" s="399" t="s">
        <v>1239</v>
      </c>
      <c r="G468" s="399" t="s">
        <v>1239</v>
      </c>
      <c r="H468" s="399" t="s">
        <v>1239</v>
      </c>
      <c r="I468" s="399" t="s">
        <v>1239</v>
      </c>
      <c r="J468" s="399" t="s">
        <v>2326</v>
      </c>
      <c r="K468" s="786">
        <v>44774</v>
      </c>
      <c r="L468" s="399">
        <v>0</v>
      </c>
      <c r="M468" s="399">
        <v>0</v>
      </c>
      <c r="N468" s="399">
        <v>0.6</v>
      </c>
      <c r="O468" s="399">
        <v>0.6</v>
      </c>
      <c r="P468" s="399">
        <v>0.6</v>
      </c>
      <c r="Q468" s="399">
        <v>0.6</v>
      </c>
      <c r="R468" s="399"/>
      <c r="S468" s="399">
        <v>825.6</v>
      </c>
      <c r="T468" s="399">
        <v>185.74</v>
      </c>
      <c r="U468" s="399"/>
      <c r="V468" s="399">
        <v>606.80399999999997</v>
      </c>
      <c r="W468" s="399">
        <v>606.80399999999997</v>
      </c>
      <c r="X468" s="399">
        <v>377.21999999999997</v>
      </c>
      <c r="Y468" s="399">
        <v>0</v>
      </c>
      <c r="Z468" s="399">
        <v>37.407099652866115</v>
      </c>
      <c r="AA468" s="399">
        <v>0</v>
      </c>
      <c r="AB468" s="399">
        <v>0</v>
      </c>
      <c r="AC468" s="399">
        <v>0</v>
      </c>
      <c r="AD468" s="399">
        <v>78.199023750698402</v>
      </c>
      <c r="AE468" s="399">
        <v>352.36186957438139</v>
      </c>
      <c r="AF468" s="399">
        <v>111.4465727630802</v>
      </c>
      <c r="AG468" s="399">
        <v>0</v>
      </c>
      <c r="AH468" s="399">
        <v>0</v>
      </c>
      <c r="AI468" s="399">
        <v>0</v>
      </c>
      <c r="AJ468" s="399">
        <v>0</v>
      </c>
      <c r="AK468" s="399">
        <v>0</v>
      </c>
      <c r="AL468" s="399">
        <v>5.7811165298771039</v>
      </c>
      <c r="AM468" s="399"/>
      <c r="AN468" s="399">
        <v>1.4225204089603019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20.19029943344556</v>
      </c>
      <c r="BH468" s="399">
        <v>0</v>
      </c>
      <c r="BI468" s="399">
        <v>0.15</v>
      </c>
      <c r="BJ468" s="399">
        <v>0.72</v>
      </c>
      <c r="BK468" s="399">
        <v>77.45</v>
      </c>
      <c r="BL468" s="399">
        <v>4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>
        <v>131.63687219652576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377.21999999999997</v>
      </c>
      <c r="CJ468" s="399">
        <v>-229.61399999999998</v>
      </c>
      <c r="CK468" s="399"/>
      <c r="CL468" s="399"/>
      <c r="CM468" s="399"/>
      <c r="CN468" s="399"/>
      <c r="CO468" s="399">
        <v>-229.58400000000003</v>
      </c>
      <c r="CP468" s="399">
        <v>0</v>
      </c>
      <c r="CQ468" s="399">
        <v>31</v>
      </c>
      <c r="CR468" s="399">
        <v>-9.8961355350560041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-7.1987374181591974</v>
      </c>
      <c r="DA468" s="399">
        <v>0</v>
      </c>
      <c r="DB468" s="399">
        <v>0</v>
      </c>
      <c r="DC468" s="399">
        <v>0</v>
      </c>
      <c r="DD468" s="399">
        <v>0</v>
      </c>
      <c r="DE468" s="399">
        <v>0</v>
      </c>
      <c r="DF468" s="399">
        <v>0</v>
      </c>
      <c r="DG468" s="399">
        <v>0</v>
      </c>
      <c r="DH468" s="399">
        <v>0</v>
      </c>
      <c r="DI468" s="399">
        <v>-2.3135799289618788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-0.3099395037930659</v>
      </c>
      <c r="DP468" s="399">
        <v>-7.3878684141833961E-2</v>
      </c>
      <c r="DQ468" s="399">
        <v>0</v>
      </c>
      <c r="DR468" s="399">
        <v>0</v>
      </c>
      <c r="DS468" s="399"/>
      <c r="DT468" s="399"/>
      <c r="DU468" s="399"/>
      <c r="DV468" s="399">
        <v>352.36186957438139</v>
      </c>
      <c r="DW468" s="399">
        <v>0</v>
      </c>
      <c r="DX468" s="399">
        <v>0</v>
      </c>
      <c r="DY468" s="399">
        <v>-229.58400000000006</v>
      </c>
      <c r="DZ468" s="399">
        <v>0</v>
      </c>
      <c r="EA468" s="399">
        <v>0</v>
      </c>
      <c r="EB468" s="399">
        <v>0</v>
      </c>
      <c r="EC468" s="399">
        <v>-219.68949201364438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221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260">
        <v>468</v>
      </c>
      <c r="B469" s="260" t="s">
        <v>956</v>
      </c>
      <c r="C469" s="260" t="s">
        <v>2328</v>
      </c>
      <c r="D469" s="260" t="s">
        <v>1824</v>
      </c>
      <c r="E469" s="260" t="s">
        <v>921</v>
      </c>
      <c r="F469" s="260" t="s">
        <v>2580</v>
      </c>
      <c r="G469" s="260" t="s">
        <v>1239</v>
      </c>
      <c r="H469" s="260" t="s">
        <v>1239</v>
      </c>
      <c r="I469" s="260" t="s">
        <v>1239</v>
      </c>
      <c r="J469" s="260" t="s">
        <v>2326</v>
      </c>
      <c r="K469" s="1748">
        <v>44774</v>
      </c>
      <c r="L469" s="260">
        <v>0</v>
      </c>
      <c r="M469" s="260">
        <v>0</v>
      </c>
      <c r="N469" s="260">
        <v>7.4999999999999997E-2</v>
      </c>
      <c r="O469" s="260">
        <v>7.4999999999999997E-2</v>
      </c>
      <c r="P469" s="260">
        <v>7.4999999999999997E-2</v>
      </c>
      <c r="Q469" s="260">
        <v>7.4999999999999997E-2</v>
      </c>
      <c r="R469" s="260"/>
      <c r="S469" s="260">
        <v>825.6</v>
      </c>
      <c r="T469" s="260">
        <v>185.74</v>
      </c>
      <c r="U469" s="260"/>
      <c r="V469" s="260">
        <v>75.850499999999997</v>
      </c>
      <c r="W469" s="260">
        <v>75.850499999999997</v>
      </c>
      <c r="X469" s="260">
        <v>47.152499999999996</v>
      </c>
      <c r="Y469" s="260">
        <v>0</v>
      </c>
      <c r="Z469" s="260">
        <v>4.6758874566082644</v>
      </c>
      <c r="AA469" s="260">
        <v>0</v>
      </c>
      <c r="AB469" s="260">
        <v>0</v>
      </c>
      <c r="AC469" s="260">
        <v>0</v>
      </c>
      <c r="AD469" s="260">
        <v>9.7748779688373002</v>
      </c>
      <c r="AE469" s="260">
        <v>44.045233696797673</v>
      </c>
      <c r="AF469" s="260">
        <v>13.930821595385025</v>
      </c>
      <c r="AG469" s="260">
        <v>0</v>
      </c>
      <c r="AH469" s="260">
        <v>0</v>
      </c>
      <c r="AI469" s="260">
        <v>0</v>
      </c>
      <c r="AJ469" s="260">
        <v>0</v>
      </c>
      <c r="AK469" s="260">
        <v>0</v>
      </c>
      <c r="AL469" s="260">
        <v>0.72263956623463799</v>
      </c>
      <c r="AM469" s="260"/>
      <c r="AN469" s="260">
        <v>0.17781505112003773</v>
      </c>
      <c r="AO469" s="260">
        <v>0</v>
      </c>
      <c r="AP469" s="260">
        <v>0</v>
      </c>
      <c r="AQ469" s="260">
        <v>0</v>
      </c>
      <c r="AR469" s="260">
        <v>0</v>
      </c>
      <c r="AS469" s="260">
        <v>0</v>
      </c>
      <c r="AT469" s="260">
        <v>0</v>
      </c>
      <c r="AU469" s="260">
        <v>0</v>
      </c>
      <c r="AV469" s="260">
        <v>0</v>
      </c>
      <c r="AW469" s="260">
        <v>0</v>
      </c>
      <c r="AX469" s="260">
        <v>0</v>
      </c>
      <c r="AY469" s="260">
        <v>0</v>
      </c>
      <c r="AZ469" s="260">
        <v>0</v>
      </c>
      <c r="BA469" s="260"/>
      <c r="BB469" s="260">
        <v>0</v>
      </c>
      <c r="BC469" s="260">
        <v>0</v>
      </c>
      <c r="BD469" s="260">
        <v>0</v>
      </c>
      <c r="BE469" s="260">
        <v>0</v>
      </c>
      <c r="BF469" s="260">
        <v>0</v>
      </c>
      <c r="BG469" s="260">
        <v>2.523787429180695</v>
      </c>
      <c r="BH469" s="260">
        <v>0</v>
      </c>
      <c r="BI469" s="260">
        <v>0.02</v>
      </c>
      <c r="BJ469" s="260">
        <v>0.09</v>
      </c>
      <c r="BK469" s="260">
        <v>0</v>
      </c>
      <c r="BL469" s="260">
        <v>1</v>
      </c>
      <c r="BM469" s="260"/>
      <c r="BN469" s="260"/>
      <c r="BO469" s="260"/>
      <c r="BP469" s="260"/>
      <c r="BQ469" s="260"/>
      <c r="BR469" s="260"/>
      <c r="BS469" s="260"/>
      <c r="BT469" s="260"/>
      <c r="BU469" s="260"/>
      <c r="BV469" s="260">
        <v>16.45460902456572</v>
      </c>
      <c r="BW469" s="260"/>
      <c r="BX469" s="260"/>
      <c r="BY469" s="260"/>
      <c r="BZ469" s="260"/>
      <c r="CA469" s="260"/>
      <c r="CB469" s="260"/>
      <c r="CC469" s="260"/>
      <c r="CD469" s="260"/>
      <c r="CE469" s="260"/>
      <c r="CF469" s="260"/>
      <c r="CG469" s="260"/>
      <c r="CH469" s="260"/>
      <c r="CI469" s="260">
        <v>50.295999999999999</v>
      </c>
      <c r="CJ469" s="260">
        <v>-25.584499999999998</v>
      </c>
      <c r="CK469" s="260"/>
      <c r="CL469" s="260"/>
      <c r="CM469" s="260"/>
      <c r="CN469" s="260"/>
      <c r="CO469" s="260">
        <v>-28.698000000000004</v>
      </c>
      <c r="CP469" s="260">
        <v>0</v>
      </c>
      <c r="CQ469" s="260">
        <v>31</v>
      </c>
      <c r="CR469" s="260">
        <v>-1.2370169418820005</v>
      </c>
      <c r="CS469" s="260">
        <v>0</v>
      </c>
      <c r="CT469" s="260">
        <v>0</v>
      </c>
      <c r="CU469" s="260">
        <v>0</v>
      </c>
      <c r="CV469" s="260">
        <v>0</v>
      </c>
      <c r="CW469" s="260">
        <v>0</v>
      </c>
      <c r="CX469" s="260">
        <v>0</v>
      </c>
      <c r="CY469" s="260">
        <v>0</v>
      </c>
      <c r="CZ469" s="260">
        <v>-0.89984217726989968</v>
      </c>
      <c r="DA469" s="260">
        <v>0</v>
      </c>
      <c r="DB469" s="260">
        <v>0</v>
      </c>
      <c r="DC469" s="260">
        <v>0</v>
      </c>
      <c r="DD469" s="260">
        <v>0</v>
      </c>
      <c r="DE469" s="260">
        <v>0</v>
      </c>
      <c r="DF469" s="260">
        <v>0</v>
      </c>
      <c r="DG469" s="260">
        <v>0</v>
      </c>
      <c r="DH469" s="260">
        <v>0</v>
      </c>
      <c r="DI469" s="260">
        <v>-0.28919749112023485</v>
      </c>
      <c r="DJ469" s="260"/>
      <c r="DK469" s="260">
        <v>0</v>
      </c>
      <c r="DL469" s="260">
        <v>0</v>
      </c>
      <c r="DM469" s="260">
        <v>0</v>
      </c>
      <c r="DN469" s="260">
        <v>0</v>
      </c>
      <c r="DO469" s="260">
        <v>-3.8742437974133237E-2</v>
      </c>
      <c r="DP469" s="260">
        <v>-9.2348355177292452E-3</v>
      </c>
      <c r="DQ469" s="260">
        <v>0</v>
      </c>
      <c r="DR469" s="260">
        <v>0</v>
      </c>
      <c r="DS469" s="260"/>
      <c r="DT469" s="260"/>
      <c r="DU469" s="260"/>
      <c r="DV469" s="260">
        <v>44.045233696797673</v>
      </c>
      <c r="DW469" s="260">
        <v>0</v>
      </c>
      <c r="DX469" s="260">
        <v>0</v>
      </c>
      <c r="DY469" s="260">
        <v>-28.698000000000008</v>
      </c>
      <c r="DZ469" s="260">
        <v>0</v>
      </c>
      <c r="EA469" s="260">
        <v>0</v>
      </c>
      <c r="EB469" s="260">
        <v>0</v>
      </c>
      <c r="EC469" s="260">
        <v>-27.461186501705548</v>
      </c>
      <c r="ED469" s="260">
        <v>0</v>
      </c>
      <c r="EE469" s="260">
        <v>0</v>
      </c>
      <c r="EF469" s="260">
        <v>0</v>
      </c>
      <c r="EG469" s="260">
        <v>0</v>
      </c>
      <c r="EH469" s="260">
        <v>0</v>
      </c>
      <c r="EI469" s="260">
        <v>0</v>
      </c>
      <c r="EJ469" s="260">
        <v>0</v>
      </c>
      <c r="EK469" s="260">
        <v>0</v>
      </c>
      <c r="EL469" s="260">
        <v>0</v>
      </c>
      <c r="EM469" s="260">
        <v>0</v>
      </c>
      <c r="EN469" s="260">
        <v>0</v>
      </c>
      <c r="EO469" s="260">
        <v>0</v>
      </c>
      <c r="EP469" s="260">
        <v>0</v>
      </c>
      <c r="EQ469" s="260">
        <v>0</v>
      </c>
      <c r="ER469" s="260">
        <v>0</v>
      </c>
      <c r="ES469" s="260">
        <v>0</v>
      </c>
      <c r="ET469" s="260">
        <v>0</v>
      </c>
      <c r="EU469" s="260">
        <v>0</v>
      </c>
      <c r="EV469" s="260">
        <v>221</v>
      </c>
      <c r="EW469" s="260">
        <v>0</v>
      </c>
      <c r="EX469" s="260">
        <v>0</v>
      </c>
      <c r="EY469" s="260">
        <v>0</v>
      </c>
      <c r="EZ469" s="260"/>
      <c r="FA469" s="260">
        <v>0</v>
      </c>
      <c r="FB469" s="260"/>
      <c r="FC469" s="260"/>
      <c r="FD469" s="260"/>
      <c r="FE469" s="260"/>
      <c r="FF469" s="260">
        <v>0</v>
      </c>
      <c r="FG469" s="260">
        <v>0</v>
      </c>
      <c r="FH469" s="260">
        <v>0</v>
      </c>
      <c r="FI469" s="260">
        <v>0</v>
      </c>
    </row>
    <row r="470" spans="1:165">
      <c r="K470" s="261"/>
      <c r="L470" s="261"/>
      <c r="M470" s="261"/>
      <c r="N470" s="261"/>
      <c r="O470" s="261"/>
      <c r="P470" s="261"/>
      <c r="Q470" s="261"/>
      <c r="BR470" s="261"/>
      <c r="BS470" s="261"/>
      <c r="BT470" s="261"/>
      <c r="BU470" s="261"/>
      <c r="BV470" s="261"/>
      <c r="CJ470" s="261"/>
      <c r="CO470" s="261"/>
      <c r="CP470" s="261"/>
      <c r="CQ470" s="261"/>
      <c r="CR470" s="261"/>
      <c r="CS470" s="261"/>
      <c r="CT470" s="261"/>
      <c r="CU470" s="261"/>
      <c r="CV470" s="261"/>
      <c r="CW470" s="261"/>
      <c r="CX470" s="261"/>
      <c r="CY470" s="261"/>
      <c r="CZ470" s="261"/>
      <c r="DA470" s="261"/>
      <c r="DB470" s="261"/>
      <c r="DC470" s="261"/>
      <c r="DD470" s="261"/>
      <c r="DE470" s="261"/>
      <c r="DF470" s="261"/>
      <c r="DG470" s="261"/>
      <c r="DH470" s="261"/>
      <c r="DI470" s="261"/>
      <c r="DJ470" s="261"/>
      <c r="DK470" s="261"/>
      <c r="DL470" s="261"/>
      <c r="DM470" s="261"/>
      <c r="DN470" s="261"/>
      <c r="DO470" s="261"/>
      <c r="DP470" s="261"/>
      <c r="DQ470" s="261"/>
      <c r="DR470" s="261"/>
      <c r="DS470" s="261"/>
      <c r="DY470" s="261"/>
      <c r="EC470" s="261"/>
      <c r="EP470" s="261"/>
    </row>
    <row r="471" spans="1:165">
      <c r="K471" s="261"/>
      <c r="L471" s="261"/>
      <c r="M471" s="261"/>
      <c r="N471" s="261"/>
      <c r="O471" s="261"/>
      <c r="P471" s="261"/>
      <c r="Q471" s="261"/>
      <c r="BR471" s="261"/>
      <c r="BS471" s="261"/>
      <c r="BT471" s="261"/>
      <c r="BU471" s="261"/>
      <c r="BV471" s="261"/>
      <c r="CJ471" s="261"/>
      <c r="CO471" s="261"/>
      <c r="CP471" s="261"/>
      <c r="CQ471" s="261"/>
      <c r="CR471" s="261"/>
      <c r="CS471" s="261"/>
      <c r="CT471" s="261"/>
      <c r="CU471" s="261"/>
      <c r="CV471" s="261"/>
      <c r="CW471" s="261"/>
      <c r="CX471" s="261"/>
      <c r="CY471" s="261"/>
      <c r="CZ471" s="261"/>
      <c r="DA471" s="261"/>
      <c r="DB471" s="261"/>
      <c r="DC471" s="261"/>
      <c r="DD471" s="261"/>
      <c r="DE471" s="261"/>
      <c r="DF471" s="261"/>
      <c r="DG471" s="261"/>
      <c r="DH471" s="261"/>
      <c r="DI471" s="261"/>
      <c r="DJ471" s="261"/>
      <c r="DK471" s="261"/>
      <c r="DL471" s="261"/>
      <c r="DM471" s="261"/>
      <c r="DN471" s="261"/>
      <c r="DO471" s="261"/>
      <c r="DP471" s="261"/>
      <c r="DQ471" s="261"/>
      <c r="DR471" s="261"/>
      <c r="DS471" s="261"/>
      <c r="DY471" s="261"/>
      <c r="EC471" s="261"/>
      <c r="EP471" s="261"/>
    </row>
    <row r="472" spans="1:165">
      <c r="K472" s="261"/>
      <c r="L472" s="261"/>
      <c r="M472" s="261"/>
      <c r="N472" s="261"/>
      <c r="O472" s="261"/>
      <c r="P472" s="261"/>
      <c r="Q472" s="261"/>
      <c r="BR472" s="261"/>
      <c r="BS472" s="261"/>
      <c r="BT472" s="261"/>
      <c r="BU472" s="261"/>
      <c r="BV472" s="261"/>
      <c r="CJ472" s="261"/>
      <c r="CO472" s="261"/>
      <c r="CP472" s="261"/>
      <c r="CQ472" s="261"/>
      <c r="CR472" s="261"/>
      <c r="CS472" s="261"/>
      <c r="CT472" s="261"/>
      <c r="CU472" s="261"/>
      <c r="CV472" s="261"/>
      <c r="CW472" s="261"/>
      <c r="CX472" s="261"/>
      <c r="CY472" s="261"/>
      <c r="CZ472" s="261"/>
      <c r="DA472" s="261"/>
      <c r="DB472" s="261"/>
      <c r="DC472" s="261"/>
      <c r="DD472" s="261"/>
      <c r="DE472" s="261"/>
      <c r="DF472" s="261"/>
      <c r="DG472" s="261"/>
      <c r="DH472" s="261"/>
      <c r="DI472" s="261"/>
      <c r="DJ472" s="261"/>
      <c r="DK472" s="261"/>
      <c r="DL472" s="261"/>
      <c r="DM472" s="261"/>
      <c r="DN472" s="261"/>
      <c r="DO472" s="261"/>
      <c r="DP472" s="261"/>
      <c r="DQ472" s="261"/>
      <c r="DR472" s="261"/>
      <c r="DS472" s="261"/>
      <c r="DY472" s="261"/>
      <c r="EC472" s="261"/>
      <c r="EP472" s="261"/>
    </row>
    <row r="473" spans="1:165">
      <c r="K473" s="261"/>
      <c r="L473" s="261"/>
      <c r="M473" s="261"/>
      <c r="N473" s="261"/>
      <c r="O473" s="261"/>
      <c r="P473" s="261"/>
      <c r="Q473" s="261"/>
      <c r="BR473" s="261"/>
      <c r="BS473" s="261"/>
      <c r="BT473" s="261"/>
      <c r="BU473" s="261"/>
      <c r="BV473" s="261"/>
      <c r="CJ473" s="261"/>
      <c r="CO473" s="261"/>
      <c r="CP473" s="261"/>
      <c r="CQ473" s="261"/>
      <c r="CR473" s="261"/>
      <c r="CS473" s="261"/>
      <c r="CT473" s="261"/>
      <c r="CU473" s="261"/>
      <c r="CV473" s="261"/>
      <c r="CW473" s="261"/>
      <c r="CX473" s="261"/>
      <c r="CY473" s="261"/>
      <c r="CZ473" s="261"/>
      <c r="DA473" s="261"/>
      <c r="DB473" s="261"/>
      <c r="DC473" s="261"/>
      <c r="DD473" s="261"/>
      <c r="DE473" s="261"/>
      <c r="DF473" s="261"/>
      <c r="DG473" s="261"/>
      <c r="DH473" s="261"/>
      <c r="DI473" s="261"/>
      <c r="DJ473" s="261"/>
      <c r="DK473" s="261"/>
      <c r="DL473" s="261"/>
      <c r="DM473" s="261"/>
      <c r="DN473" s="261"/>
      <c r="DO473" s="261"/>
      <c r="DP473" s="261"/>
      <c r="DQ473" s="261"/>
      <c r="DR473" s="261"/>
      <c r="DS473" s="261"/>
      <c r="DY473" s="261"/>
      <c r="EC473" s="261"/>
      <c r="EP473" s="261"/>
    </row>
    <row r="474" spans="1:165">
      <c r="K474" s="261"/>
      <c r="L474" s="261"/>
      <c r="M474" s="261"/>
      <c r="N474" s="261"/>
      <c r="O474" s="261"/>
      <c r="P474" s="261"/>
      <c r="Q474" s="261"/>
      <c r="BR474" s="261"/>
      <c r="BS474" s="261"/>
      <c r="BT474" s="261"/>
      <c r="BU474" s="261"/>
      <c r="BV474" s="261"/>
      <c r="CJ474" s="261"/>
      <c r="CO474" s="261"/>
      <c r="CP474" s="261"/>
      <c r="CQ474" s="261"/>
      <c r="CR474" s="261"/>
      <c r="CS474" s="261"/>
      <c r="CT474" s="261"/>
      <c r="CU474" s="261"/>
      <c r="CV474" s="261"/>
      <c r="CW474" s="261"/>
      <c r="CX474" s="261"/>
      <c r="CY474" s="261"/>
      <c r="CZ474" s="261"/>
      <c r="DA474" s="261"/>
      <c r="DB474" s="261"/>
      <c r="DC474" s="261"/>
      <c r="DD474" s="261"/>
      <c r="DE474" s="261"/>
      <c r="DF474" s="261"/>
      <c r="DG474" s="261"/>
      <c r="DH474" s="261"/>
      <c r="DI474" s="261"/>
      <c r="DJ474" s="261"/>
      <c r="DK474" s="261"/>
      <c r="DL474" s="261"/>
      <c r="DM474" s="261"/>
      <c r="DN474" s="261"/>
      <c r="DO474" s="261"/>
      <c r="DP474" s="261"/>
      <c r="DQ474" s="261"/>
      <c r="DR474" s="261"/>
      <c r="DS474" s="261"/>
      <c r="DY474" s="261"/>
      <c r="EC474" s="261"/>
      <c r="EP474" s="261"/>
    </row>
    <row r="475" spans="1:165">
      <c r="K475" s="261"/>
      <c r="L475" s="261"/>
      <c r="M475" s="261"/>
      <c r="N475" s="261"/>
      <c r="O475" s="261"/>
      <c r="P475" s="261"/>
      <c r="Q475" s="261"/>
      <c r="BR475" s="261"/>
      <c r="BS475" s="261"/>
      <c r="BT475" s="261"/>
      <c r="BU475" s="261"/>
      <c r="BV475" s="261"/>
      <c r="CJ475" s="261"/>
      <c r="CO475" s="261"/>
      <c r="CP475" s="261"/>
      <c r="CQ475" s="261"/>
      <c r="CR475" s="261"/>
      <c r="CS475" s="261"/>
      <c r="CT475" s="261"/>
      <c r="CU475" s="261"/>
      <c r="CV475" s="261"/>
      <c r="CW475" s="261"/>
      <c r="CX475" s="261"/>
      <c r="CY475" s="261"/>
      <c r="CZ475" s="261"/>
      <c r="DA475" s="261"/>
      <c r="DB475" s="261"/>
      <c r="DC475" s="261"/>
      <c r="DD475" s="261"/>
      <c r="DE475" s="261"/>
      <c r="DF475" s="261"/>
      <c r="DG475" s="261"/>
      <c r="DH475" s="261"/>
      <c r="DI475" s="261"/>
      <c r="DJ475" s="261"/>
      <c r="DK475" s="261"/>
      <c r="DL475" s="261"/>
      <c r="DM475" s="261"/>
      <c r="DN475" s="261"/>
      <c r="DO475" s="261"/>
      <c r="DP475" s="261"/>
      <c r="DQ475" s="261"/>
      <c r="DR475" s="261"/>
      <c r="DS475" s="261"/>
      <c r="DY475" s="261"/>
      <c r="EC475" s="261"/>
      <c r="EP475" s="261"/>
    </row>
    <row r="476" spans="1:165">
      <c r="K476" s="261"/>
      <c r="L476" s="261"/>
      <c r="M476" s="261"/>
      <c r="N476" s="261"/>
      <c r="O476" s="261"/>
      <c r="P476" s="261"/>
      <c r="Q476" s="261"/>
      <c r="BR476" s="261"/>
      <c r="BS476" s="261"/>
      <c r="BT476" s="261"/>
      <c r="BU476" s="261"/>
      <c r="BV476" s="261"/>
      <c r="CJ476" s="261"/>
      <c r="CO476" s="261"/>
      <c r="CP476" s="261"/>
      <c r="CQ476" s="261"/>
      <c r="CR476" s="261"/>
      <c r="CS476" s="261"/>
      <c r="CT476" s="261"/>
      <c r="CU476" s="261"/>
      <c r="CV476" s="261"/>
      <c r="CW476" s="261"/>
      <c r="CX476" s="261"/>
      <c r="CY476" s="261"/>
      <c r="CZ476" s="261"/>
      <c r="DA476" s="261"/>
      <c r="DB476" s="261"/>
      <c r="DC476" s="261"/>
      <c r="DD476" s="261"/>
      <c r="DE476" s="261"/>
      <c r="DF476" s="261"/>
      <c r="DG476" s="261"/>
      <c r="DH476" s="261"/>
      <c r="DI476" s="261"/>
      <c r="DJ476" s="261"/>
      <c r="DK476" s="261"/>
      <c r="DL476" s="261"/>
      <c r="DM476" s="261"/>
      <c r="DN476" s="261"/>
      <c r="DO476" s="261"/>
      <c r="DP476" s="261"/>
      <c r="DQ476" s="261"/>
      <c r="DR476" s="261"/>
      <c r="DS476" s="261"/>
      <c r="DY476" s="261"/>
      <c r="EC476" s="261"/>
      <c r="EP476" s="261"/>
    </row>
    <row r="477" spans="1:165">
      <c r="K477" s="261"/>
      <c r="L477" s="261"/>
      <c r="M477" s="261"/>
      <c r="N477" s="261"/>
      <c r="O477" s="261"/>
      <c r="P477" s="261"/>
      <c r="Q477" s="261"/>
      <c r="BR477" s="261"/>
      <c r="BS477" s="261"/>
      <c r="BT477" s="261"/>
      <c r="BU477" s="261"/>
      <c r="BV477" s="261"/>
      <c r="CJ477" s="261"/>
      <c r="CO477" s="261"/>
      <c r="CP477" s="261"/>
      <c r="CQ477" s="261"/>
      <c r="CR477" s="261"/>
      <c r="CS477" s="261"/>
      <c r="CT477" s="261"/>
      <c r="CU477" s="261"/>
      <c r="CV477" s="261"/>
      <c r="CW477" s="261"/>
      <c r="CX477" s="261"/>
      <c r="CY477" s="261"/>
      <c r="CZ477" s="261"/>
      <c r="DA477" s="261"/>
      <c r="DB477" s="261"/>
      <c r="DC477" s="261"/>
      <c r="DD477" s="261"/>
      <c r="DE477" s="261"/>
      <c r="DF477" s="261"/>
      <c r="DG477" s="261"/>
      <c r="DH477" s="261"/>
      <c r="DI477" s="261"/>
      <c r="DJ477" s="261"/>
      <c r="DK477" s="261"/>
      <c r="DL477" s="261"/>
      <c r="DM477" s="261"/>
      <c r="DN477" s="261"/>
      <c r="DO477" s="261"/>
      <c r="DP477" s="261"/>
      <c r="DQ477" s="261"/>
      <c r="DR477" s="261"/>
      <c r="DS477" s="261"/>
      <c r="DY477" s="261"/>
      <c r="EC477" s="261"/>
      <c r="EP477" s="261"/>
    </row>
    <row r="478" spans="1:165">
      <c r="K478" s="261"/>
      <c r="L478" s="261"/>
      <c r="M478" s="261"/>
      <c r="N478" s="261"/>
      <c r="O478" s="261"/>
      <c r="P478" s="261"/>
      <c r="Q478" s="261"/>
      <c r="BR478" s="261"/>
      <c r="BS478" s="261"/>
      <c r="BT478" s="261"/>
      <c r="BU478" s="261"/>
      <c r="BV478" s="261"/>
      <c r="CJ478" s="261"/>
      <c r="CO478" s="261"/>
      <c r="CP478" s="261"/>
      <c r="CQ478" s="261"/>
      <c r="CR478" s="261"/>
      <c r="CS478" s="261"/>
      <c r="CT478" s="261"/>
      <c r="CU478" s="261"/>
      <c r="CV478" s="261"/>
      <c r="CW478" s="261"/>
      <c r="CX478" s="261"/>
      <c r="CY478" s="261"/>
      <c r="CZ478" s="261"/>
      <c r="DA478" s="261"/>
      <c r="DB478" s="261"/>
      <c r="DC478" s="261"/>
      <c r="DD478" s="261"/>
      <c r="DE478" s="261"/>
      <c r="DF478" s="261"/>
      <c r="DG478" s="261"/>
      <c r="DH478" s="261"/>
      <c r="DI478" s="261"/>
      <c r="DJ478" s="261"/>
      <c r="DK478" s="261"/>
      <c r="DL478" s="261"/>
      <c r="DM478" s="261"/>
      <c r="DN478" s="261"/>
      <c r="DO478" s="261"/>
      <c r="DP478" s="261"/>
      <c r="DQ478" s="261"/>
      <c r="DR478" s="261"/>
      <c r="DS478" s="261"/>
      <c r="DY478" s="261"/>
      <c r="EC478" s="261"/>
      <c r="EP478" s="261"/>
    </row>
    <row r="479" spans="1:165">
      <c r="K479" s="261"/>
      <c r="L479" s="261"/>
      <c r="M479" s="261"/>
      <c r="N479" s="261"/>
      <c r="O479" s="261"/>
      <c r="P479" s="261"/>
      <c r="Q479" s="261"/>
      <c r="BR479" s="261"/>
      <c r="BS479" s="261"/>
      <c r="BT479" s="261"/>
      <c r="BU479" s="261"/>
      <c r="BV479" s="261"/>
      <c r="CJ479" s="261"/>
      <c r="CO479" s="261"/>
      <c r="CP479" s="261"/>
      <c r="CQ479" s="261"/>
      <c r="CR479" s="261"/>
      <c r="CS479" s="261"/>
      <c r="CT479" s="261"/>
      <c r="CU479" s="261"/>
      <c r="CV479" s="261"/>
      <c r="CW479" s="261"/>
      <c r="CX479" s="261"/>
      <c r="CY479" s="261"/>
      <c r="CZ479" s="261"/>
      <c r="DA479" s="261"/>
      <c r="DB479" s="261"/>
      <c r="DC479" s="261"/>
      <c r="DD479" s="261"/>
      <c r="DE479" s="261"/>
      <c r="DF479" s="261"/>
      <c r="DG479" s="261"/>
      <c r="DH479" s="261"/>
      <c r="DI479" s="261"/>
      <c r="DJ479" s="261"/>
      <c r="DK479" s="261"/>
      <c r="DL479" s="261"/>
      <c r="DM479" s="261"/>
      <c r="DN479" s="261"/>
      <c r="DO479" s="261"/>
      <c r="DP479" s="261"/>
      <c r="DQ479" s="261"/>
      <c r="DR479" s="261"/>
      <c r="DS479" s="261"/>
      <c r="DY479" s="261"/>
      <c r="EC479" s="261"/>
      <c r="EP479" s="261"/>
    </row>
    <row r="480" spans="1:165">
      <c r="K480" s="261"/>
      <c r="L480" s="261"/>
      <c r="M480" s="261"/>
      <c r="N480" s="261"/>
      <c r="O480" s="261"/>
      <c r="P480" s="261"/>
      <c r="Q480" s="261"/>
      <c r="BR480" s="261"/>
      <c r="BS480" s="261"/>
      <c r="BT480" s="261"/>
      <c r="BU480" s="261"/>
      <c r="BV480" s="261"/>
      <c r="CJ480" s="261"/>
      <c r="CO480" s="261"/>
      <c r="CP480" s="261"/>
      <c r="CQ480" s="261"/>
      <c r="CR480" s="261"/>
      <c r="CS480" s="261"/>
      <c r="CT480" s="261"/>
      <c r="CU480" s="261"/>
      <c r="CV480" s="261"/>
      <c r="CW480" s="261"/>
      <c r="CX480" s="261"/>
      <c r="CY480" s="261"/>
      <c r="CZ480" s="261"/>
      <c r="DA480" s="261"/>
      <c r="DB480" s="261"/>
      <c r="DC480" s="261"/>
      <c r="DD480" s="261"/>
      <c r="DE480" s="261"/>
      <c r="DF480" s="261"/>
      <c r="DG480" s="261"/>
      <c r="DH480" s="261"/>
      <c r="DI480" s="261"/>
      <c r="DJ480" s="261"/>
      <c r="DK480" s="261"/>
      <c r="DL480" s="261"/>
      <c r="DM480" s="261"/>
      <c r="DN480" s="261"/>
      <c r="DO480" s="261"/>
      <c r="DP480" s="261"/>
      <c r="DQ480" s="261"/>
      <c r="DR480" s="261"/>
      <c r="DS480" s="261"/>
      <c r="DY480" s="261"/>
      <c r="EC480" s="261"/>
      <c r="EP480" s="261"/>
    </row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C15" zoomScale="95" zoomScaleNormal="95" workbookViewId="0">
      <selection activeCell="A28" sqref="A28:C34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29" t="s">
        <v>1080</v>
      </c>
      <c r="C1" s="1018"/>
      <c r="D1" s="930"/>
      <c r="E1" s="930"/>
      <c r="F1" s="1128" t="s">
        <v>873</v>
      </c>
      <c r="G1" s="1129">
        <f ca="1">LnkTXTIRTEco</f>
        <v>0.1018</v>
      </c>
    </row>
    <row r="2" spans="2:19" ht="23.25" customHeight="1">
      <c r="B2" s="136" t="str">
        <f>CAPA!C9</f>
        <v>Cerej</v>
      </c>
      <c r="C2" s="70"/>
      <c r="D2" s="70"/>
      <c r="E2" s="70"/>
      <c r="F2" s="120" t="s">
        <v>877</v>
      </c>
      <c r="G2" s="121">
        <f ca="1">LnkTXTIRTTotal</f>
        <v>-0.31169999999999998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6" t="s">
        <v>778</v>
      </c>
      <c r="C4" s="1176" t="s">
        <v>695</v>
      </c>
      <c r="D4" s="1176" t="s">
        <v>696</v>
      </c>
      <c r="G4" s="68"/>
      <c r="H4" s="124"/>
      <c r="K4" s="1176" t="s">
        <v>895</v>
      </c>
      <c r="L4" s="1176" t="s">
        <v>695</v>
      </c>
      <c r="M4" s="1176" t="s">
        <v>898</v>
      </c>
      <c r="P4" s="68" t="s">
        <v>1083</v>
      </c>
    </row>
    <row r="5" spans="2:19">
      <c r="B5" s="1177" t="s">
        <v>1084</v>
      </c>
      <c r="C5" s="1178">
        <f ca="1">C6+C9</f>
        <v>60049.301435017645</v>
      </c>
      <c r="D5" s="1178">
        <f ca="1">SUM(D6,D9)</f>
        <v>59969.45249970998</v>
      </c>
      <c r="G5" s="68"/>
      <c r="K5" s="68" t="s">
        <v>781</v>
      </c>
      <c r="L5" s="92">
        <f ca="1">M5</f>
        <v>51699.664999999972</v>
      </c>
      <c r="M5" s="139">
        <f ca="1">FornecimentoE</f>
        <v>51699.664999999972</v>
      </c>
      <c r="P5" s="68" t="s">
        <v>1085</v>
      </c>
    </row>
    <row r="6" spans="2:19">
      <c r="B6" s="1179" t="s">
        <v>1086</v>
      </c>
      <c r="C6" s="1180">
        <f ca="1">LnkTXTEV</f>
        <v>51699.664999999972</v>
      </c>
      <c r="D6" s="1180">
        <f ca="1">SUM(D7:D8)</f>
        <v>51699.664999999972</v>
      </c>
      <c r="F6" s="1444">
        <f ca="1">C24/LnkTXTEV-1</f>
        <v>0.15995824150330584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51699.664999999972</v>
      </c>
      <c r="D7" s="144">
        <f ca="1">M5</f>
        <v>51699.664999999972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79" t="s">
        <v>1091</v>
      </c>
      <c r="C9" s="1180">
        <f ca="1">SUM(C10:C13)</f>
        <v>8349.6364350176718</v>
      </c>
      <c r="D9" s="1180">
        <f ca="1">SUM(D10:D13)</f>
        <v>8269.7874997100062</v>
      </c>
      <c r="G9" s="68"/>
      <c r="K9" s="782" t="s">
        <v>1092</v>
      </c>
      <c r="L9" s="1549">
        <f t="shared" ca="1" si="0"/>
        <v>42661.357999999971</v>
      </c>
      <c r="M9" s="1181">
        <f ca="1">FornecimentoE_BT</f>
        <v>42661.357999999971</v>
      </c>
      <c r="P9" s="68" t="s">
        <v>1093</v>
      </c>
    </row>
    <row r="10" spans="2:19">
      <c r="B10" s="1188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8349.6364350176718</v>
      </c>
      <c r="D11" s="144">
        <f ca="1">N17</f>
        <v>8269.7874997100062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0.14410826885339317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2" t="s">
        <v>1098</v>
      </c>
      <c r="N12" s="1183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IFERROR(VLOOKUP("PERDAS NÃO TÉCNICAS",DRA_CM_Perdas[#All],3,FALSE),0)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0.14280620164004487</v>
      </c>
      <c r="R13" s="69">
        <f ca="1">($M$5+$M$6-$M$8)*Q13/(1-Q13)</f>
        <v>8613.026364444675</v>
      </c>
    </row>
    <row r="14" spans="2:19">
      <c r="B14" s="1184" t="s">
        <v>1100</v>
      </c>
      <c r="C14" s="1185">
        <f>VLOOKUP("custo Médio",DRA_CM_Perdas[#All],3,FALSE)</f>
        <v>179.71759157293499</v>
      </c>
      <c r="D14" s="1185">
        <f ca="1">IFERROR(E24,0)</f>
        <v>163.72360537950539</v>
      </c>
      <c r="E14" s="127"/>
      <c r="F14" s="127"/>
      <c r="G14" s="127"/>
      <c r="K14" s="68" t="s">
        <v>1104</v>
      </c>
      <c r="L14" s="393">
        <f>IFERROR(VLOOKUP("PERDAS TÉCNICAS",DRA_CM_Perdas[#All],3,FALSE),0)</f>
        <v>0.13904635417038499</v>
      </c>
      <c r="M14" s="393">
        <f>IF(CAPA!H29=0,CAPA!K34,CAPA!H29)</f>
        <v>0.13789999999999999</v>
      </c>
      <c r="N14" s="393">
        <f ca="1">IFERROR(N17/((M5+M6-M8+N16)+N17),0)</f>
        <v>0.13789999999999999</v>
      </c>
      <c r="P14" s="68" t="s">
        <v>1105</v>
      </c>
      <c r="Q14" s="492">
        <f ca="1">(M17+M16)/(M16+M17+M5+M6)</f>
        <v>0.13789999999999999</v>
      </c>
      <c r="R14" s="69">
        <f ca="1">IF(CAPA!H33="",(M5+M6-M8)/(1-M14)*M14,CAPA!H33)+IF(CAPA!H34="",M13*M9,CAPA!H34)</f>
        <v>8269.7874997100062</v>
      </c>
    </row>
    <row r="15" spans="2:19">
      <c r="B15" s="1186" t="s">
        <v>1103</v>
      </c>
      <c r="C15" s="1187">
        <f ca="1">C14*C5</f>
        <v>10791915.82953856</v>
      </c>
      <c r="D15" s="1187">
        <f ca="1">D14*D5</f>
        <v>9818414.9758875091</v>
      </c>
      <c r="E15" s="79"/>
      <c r="F15" s="72"/>
      <c r="G15" s="126"/>
      <c r="K15" s="782" t="s">
        <v>1106</v>
      </c>
      <c r="L15" s="1717">
        <f>IFERROR(VLOOKUP("PERDAS NA RB (sobre as perdas na D)",DRA_CM_Perdas[#All],3,FALSE),0)</f>
        <v>0</v>
      </c>
      <c r="M15" s="1445">
        <f>IF(CAPA!H31=0,0,CAPA!H31)</f>
        <v>0</v>
      </c>
      <c r="N15" s="1550">
        <f ca="1">IFERROR(M22/(M5+M6+M23+N17+N16),0)</f>
        <v>0</v>
      </c>
      <c r="P15" s="68" t="s">
        <v>1107</v>
      </c>
      <c r="Q15" s="79">
        <f ca="1">IF(Q14&lt;Q13,Q14,Q13)</f>
        <v>0.13789999999999999</v>
      </c>
      <c r="R15" s="69">
        <f ca="1">IF(R14&lt;R13,R14,R13)</f>
        <v>8269.7874997100062</v>
      </c>
      <c r="S15" s="79">
        <f ca="1">R15/(M5+R15)</f>
        <v>0.13789999999999999</v>
      </c>
    </row>
    <row r="16" spans="2:19">
      <c r="K16" s="1188" t="s">
        <v>1109</v>
      </c>
      <c r="L16" s="1188">
        <f ca="1">L13*L9</f>
        <v>0</v>
      </c>
      <c r="M16" s="1188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0.13789999999999999</v>
      </c>
      <c r="R16" s="69">
        <f ca="1">($M$5+$M$6-$M$8+R15)*Q16</f>
        <v>8269.7874997100062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8349.6364350176718</v>
      </c>
      <c r="M17" s="139">
        <f ca="1">IF(CAPA!H33="",(M5+M6-M8+M16)/(1-M14)*M14,CAPA!H33)</f>
        <v>8269.7874997100062</v>
      </c>
      <c r="N17" s="465">
        <f ca="1">IF($M$21&lt;$M$20,M17,($M$20/$M$21)*M17)+M23</f>
        <v>8269.7874997100062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6" t="s">
        <v>1111</v>
      </c>
      <c r="C18" s="1176" t="s">
        <v>1112</v>
      </c>
      <c r="D18" s="1176"/>
      <c r="E18" s="1176" t="s">
        <v>1113</v>
      </c>
      <c r="F18" s="1176" t="s">
        <v>1114</v>
      </c>
      <c r="G18" s="759"/>
      <c r="H18" s="761"/>
      <c r="I18" s="132"/>
      <c r="K18" s="139" t="s">
        <v>1094</v>
      </c>
      <c r="L18" s="465">
        <f ca="1">SUM(L16:L17)*L15</f>
        <v>0</v>
      </c>
      <c r="M18" s="465"/>
      <c r="N18" s="1471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58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0"/>
      <c r="H19" s="761"/>
      <c r="K19" s="1181" t="s">
        <v>1097</v>
      </c>
      <c r="L19" s="1446">
        <f ca="1">(L5+L6)*L15</f>
        <v>0</v>
      </c>
      <c r="M19" s="1446"/>
      <c r="N19" s="1472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875.47703243856063</v>
      </c>
      <c r="D20" s="88"/>
      <c r="E20" s="88">
        <v>0</v>
      </c>
      <c r="F20" s="77">
        <v>0</v>
      </c>
      <c r="G20" s="760"/>
      <c r="H20" s="761"/>
      <c r="J20" s="132"/>
      <c r="K20" s="139" t="s">
        <v>1118</v>
      </c>
      <c r="L20" s="139"/>
      <c r="M20" s="139">
        <f>'Perdas de Energia'!I18</f>
        <v>8704.779999999997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0"/>
      <c r="H21" s="761"/>
      <c r="K21" s="1181" t="s">
        <v>1119</v>
      </c>
      <c r="L21" s="1181"/>
      <c r="M21" s="1181">
        <f ca="1">M16+M17</f>
        <v>8269.7874997100062</v>
      </c>
      <c r="N21" s="1446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0"/>
      <c r="H22" s="761"/>
      <c r="K22" s="68" t="s">
        <v>2051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59093.975467271419</v>
      </c>
      <c r="D23" s="88"/>
      <c r="E23" s="88">
        <f ca="1">IF(K60=0,H35,(N48+N60)/(M48+M60))</f>
        <v>166.14917</v>
      </c>
      <c r="F23" s="77">
        <f ca="1">E23*C23</f>
        <v>9818414.9758875091</v>
      </c>
      <c r="G23" s="760"/>
      <c r="H23" s="761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89" t="s">
        <v>1121</v>
      </c>
      <c r="C24" s="1190">
        <f ca="1">SUM(C19:C23)</f>
        <v>59969.45249970998</v>
      </c>
      <c r="D24" s="1191"/>
      <c r="E24" s="1191">
        <f ca="1">IF(SUM(C19:C23)=0,0,SUM(F19:F23)/SUM(C19:C23))</f>
        <v>163.72360537950539</v>
      </c>
      <c r="F24" s="1192">
        <f ca="1">SUM(F19:F23)</f>
        <v>9818414.9758875091</v>
      </c>
      <c r="G24" s="760"/>
      <c r="H24" s="805"/>
      <c r="J24" s="72"/>
      <c r="K24" s="1571"/>
      <c r="L24" s="1571"/>
      <c r="M24" s="1193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2"/>
    </row>
    <row r="26" spans="1:22">
      <c r="A26" s="74"/>
      <c r="B26" s="836" t="s">
        <v>2050</v>
      </c>
      <c r="F26" s="90"/>
      <c r="G26" s="90"/>
      <c r="H26" s="72"/>
      <c r="I26" s="72"/>
      <c r="K26" s="100"/>
      <c r="L26" s="100"/>
      <c r="M26" s="287"/>
    </row>
    <row r="27" spans="1:22" ht="24" customHeight="1">
      <c r="B27" s="1194" t="s">
        <v>27</v>
      </c>
      <c r="C27" s="1194" t="s">
        <v>875</v>
      </c>
      <c r="D27" s="1194" t="s">
        <v>1122</v>
      </c>
      <c r="E27" s="1194" t="s">
        <v>898</v>
      </c>
      <c r="F27" s="1194" t="s">
        <v>1123</v>
      </c>
      <c r="G27" s="1195" t="s">
        <v>1124</v>
      </c>
      <c r="H27" s="1195" t="s">
        <v>1125</v>
      </c>
      <c r="I27" s="1195" t="s">
        <v>1126</v>
      </c>
      <c r="K27" s="128"/>
      <c r="L27" s="1573"/>
      <c r="M27" s="100"/>
      <c r="N27" s="100"/>
    </row>
    <row r="28" spans="1:22">
      <c r="A28" s="74">
        <v>5697</v>
      </c>
      <c r="B28" s="512" t="s">
        <v>2344</v>
      </c>
      <c r="C28" s="512" t="s">
        <v>2036</v>
      </c>
      <c r="D28" s="512">
        <f>IF(B28="","",SUMIFS(Faturas!V:V,Faturas!U:U,"Consumo*",Faturas!S:S,Energia!C28,Faturas!R:R,Energia!B28))</f>
        <v>59492172</v>
      </c>
      <c r="E28" s="512">
        <f t="shared" ref="E28:E34" si="1">IF(B28="","",D28/1000)</f>
        <v>59492.171999999999</v>
      </c>
      <c r="F28" s="600">
        <f>I28</f>
        <v>0.41699999999999998</v>
      </c>
      <c r="G28" s="513">
        <f>IFERROR(VLOOKUP(CONCATENATE(A28,A78),BD!$H$43:$S$59,12,FALSE),"")</f>
        <v>284.99</v>
      </c>
      <c r="H28" s="513">
        <f t="shared" ref="H28:H34" si="2">IF(B28="","",IFERROR(G28*(1-F28),0))</f>
        <v>166.14917</v>
      </c>
      <c r="I28" s="511">
        <v>0.41699999999999998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6" t="s">
        <v>22</v>
      </c>
      <c r="L29" s="1197" t="s">
        <v>1128</v>
      </c>
      <c r="M29" s="1197" t="s">
        <v>1129</v>
      </c>
      <c r="N29" s="1198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59492.171999999999</v>
      </c>
      <c r="M30" s="92">
        <f ca="1">LnkTXTER-LnkTXTProinfa</f>
        <v>59093.975467271419</v>
      </c>
      <c r="N30" s="210">
        <f ca="1">M30/L30</f>
        <v>0.9933067407132391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0"/>
      <c r="L31" s="792"/>
      <c r="M31" s="791"/>
      <c r="N31" s="793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0"/>
      <c r="L32" s="1800"/>
      <c r="M32" s="794"/>
      <c r="N32" s="794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5"/>
      <c r="L33" s="796"/>
      <c r="M33" s="794"/>
      <c r="N33" s="792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1" t="s">
        <v>2161</v>
      </c>
      <c r="L34" s="1552"/>
      <c r="M34" s="744"/>
      <c r="N34" s="100"/>
      <c r="O34" s="128"/>
      <c r="V34" s="140" t="e">
        <f ca="1">V32+V33</f>
        <v>#VALUE!</v>
      </c>
    </row>
    <row r="35" spans="1:22" ht="14.25" customHeight="1">
      <c r="A35" s="74"/>
      <c r="B35" s="728"/>
      <c r="C35" s="729"/>
      <c r="D35" s="730">
        <f>SUM(D28:D34)</f>
        <v>59492172</v>
      </c>
      <c r="E35" s="730">
        <f>SUM(E28:E34)</f>
        <v>59492.171999999999</v>
      </c>
      <c r="F35" s="727"/>
      <c r="G35" s="724">
        <f>IFERROR(SUMPRODUCT(G28:G34,E28:E34)/SUM(E28:E34),0)</f>
        <v>284.99</v>
      </c>
      <c r="H35" s="725">
        <f>IFERROR(SUMPRODUCT(H28:H34,E28:E34)/SUM(E28:E34),0)</f>
        <v>166.14917</v>
      </c>
      <c r="I35" s="724"/>
      <c r="K35" s="1553" t="s">
        <v>2162</v>
      </c>
      <c r="L35" s="1554">
        <f ca="1">IFERROR(((L16+L17+L18+L19)/LnkTXTEV),0)</f>
        <v>0.16150271834484181</v>
      </c>
      <c r="M35" s="744"/>
      <c r="N35" s="745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6" t="s">
        <v>2047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>
      <c r="A39" s="74"/>
      <c r="B39" s="836" t="s">
        <v>2048</v>
      </c>
      <c r="C39" s="69"/>
      <c r="G39" s="135"/>
      <c r="O39" s="128"/>
    </row>
    <row r="40" spans="1:22" ht="15.75">
      <c r="A40" s="74"/>
      <c r="B40" s="1199" t="s">
        <v>778</v>
      </c>
      <c r="C40" s="1200" t="s">
        <v>1132</v>
      </c>
      <c r="D40" s="1201"/>
      <c r="E40" s="1200" t="s">
        <v>62</v>
      </c>
      <c r="F40" s="1200" t="s">
        <v>61</v>
      </c>
      <c r="G40" s="1200" t="s">
        <v>1133</v>
      </c>
      <c r="H40" s="1200" t="s">
        <v>1134</v>
      </c>
      <c r="I40" s="1200" t="s">
        <v>1135</v>
      </c>
      <c r="J40" s="1200" t="s">
        <v>898</v>
      </c>
      <c r="K40" s="1200" t="s">
        <v>1136</v>
      </c>
      <c r="L40" s="1200" t="s">
        <v>1137</v>
      </c>
      <c r="M40" s="1200" t="s">
        <v>1138</v>
      </c>
      <c r="N40" s="1200" t="s">
        <v>1139</v>
      </c>
      <c r="O40" s="128"/>
    </row>
    <row r="41" spans="1:22">
      <c r="A41" s="74"/>
      <c r="B41" s="787"/>
      <c r="C41" s="787"/>
      <c r="D41" s="787"/>
      <c r="E41" s="1723"/>
      <c r="F41" s="1724"/>
      <c r="G41" s="1725"/>
      <c r="H41" s="1726"/>
      <c r="I41" s="1723"/>
      <c r="J41" s="1719"/>
      <c r="K41" s="1721">
        <f>H7</f>
        <v>0</v>
      </c>
      <c r="L41" s="788">
        <f>IFERROR(J41*K41,0)</f>
        <v>0</v>
      </c>
      <c r="M41" s="797">
        <f t="shared" ref="M41:M47" ca="1" si="7">IFERROR(J41*$N$30,0)</f>
        <v>0</v>
      </c>
      <c r="N41" s="788">
        <f ca="1">IFERROR(K41*M41,0)</f>
        <v>0</v>
      </c>
      <c r="O41" s="128"/>
    </row>
    <row r="42" spans="1:22">
      <c r="A42" s="74"/>
      <c r="B42" s="787"/>
      <c r="C42" s="787"/>
      <c r="D42" s="787"/>
      <c r="E42" s="1723"/>
      <c r="F42" s="1724"/>
      <c r="G42" s="1725"/>
      <c r="H42" s="1726"/>
      <c r="I42" s="1727"/>
      <c r="J42" s="1719"/>
      <c r="K42" s="1721">
        <f>H8</f>
        <v>0</v>
      </c>
      <c r="L42" s="788">
        <f>IFERROR(J42*K42,0)</f>
        <v>0</v>
      </c>
      <c r="M42" s="797">
        <f t="shared" ca="1" si="7"/>
        <v>0</v>
      </c>
      <c r="N42" s="788">
        <f ca="1">IFERROR(K42*M42,0)</f>
        <v>0</v>
      </c>
      <c r="O42" s="128"/>
    </row>
    <row r="43" spans="1:22">
      <c r="A43" s="74"/>
      <c r="B43" s="787"/>
      <c r="C43" s="787"/>
      <c r="D43" s="787" t="s">
        <v>114</v>
      </c>
      <c r="E43" s="1723" t="str">
        <f>IF(B43="","",D43/1000)</f>
        <v/>
      </c>
      <c r="F43" s="1724" t="str">
        <f>IF(B43="","",I43)</f>
        <v/>
      </c>
      <c r="G43" s="1725" t="s">
        <v>114</v>
      </c>
      <c r="H43" s="1726">
        <v>0</v>
      </c>
      <c r="I43" s="1723">
        <v>0</v>
      </c>
      <c r="J43" s="1719"/>
      <c r="K43" s="1721">
        <f>IFERROR(E43*(VLOOKUP(EDATE(G43,-1),Índices!#REF!,3,FALSE)/VLOOKUP(EDATE(F43,-1),Índices!#REF!,3,FALSE)),0)</f>
        <v>0</v>
      </c>
      <c r="L43" s="788">
        <f t="shared" ref="L43:L47" si="8">J43*K43</f>
        <v>0</v>
      </c>
      <c r="M43" s="797">
        <f t="shared" ca="1" si="7"/>
        <v>0</v>
      </c>
      <c r="N43" s="788">
        <f t="shared" ref="N43:N47" ca="1" si="9">K43*M43</f>
        <v>0</v>
      </c>
      <c r="O43" s="128"/>
    </row>
    <row r="44" spans="1:22">
      <c r="A44" s="74"/>
      <c r="B44" s="787"/>
      <c r="C44" s="787"/>
      <c r="D44" s="787" t="s">
        <v>114</v>
      </c>
      <c r="E44" s="1723" t="str">
        <f>IF(B44="","",D44/1000)</f>
        <v/>
      </c>
      <c r="F44" s="1724" t="str">
        <f>IF(B44="","",I44)</f>
        <v/>
      </c>
      <c r="G44" s="1725" t="s">
        <v>114</v>
      </c>
      <c r="H44" s="1726">
        <v>0</v>
      </c>
      <c r="I44" s="1723">
        <v>0</v>
      </c>
      <c r="J44" s="1719"/>
      <c r="K44" s="1721">
        <f>IFERROR(E44*(VLOOKUP(EDATE(G44,-1),Índices!#REF!,3,FALSE)/VLOOKUP(EDATE(F44,-1),Índices!#REF!,3,FALSE)),0)</f>
        <v>0</v>
      </c>
      <c r="L44" s="788">
        <f t="shared" si="8"/>
        <v>0</v>
      </c>
      <c r="M44" s="797">
        <f t="shared" ca="1" si="7"/>
        <v>0</v>
      </c>
      <c r="N44" s="788">
        <f ca="1">K44*M44</f>
        <v>0</v>
      </c>
      <c r="O44" s="128"/>
    </row>
    <row r="45" spans="1:22">
      <c r="A45" s="74"/>
      <c r="B45" s="787"/>
      <c r="C45" s="787"/>
      <c r="D45" s="787" t="s">
        <v>114</v>
      </c>
      <c r="E45" s="1723" t="str">
        <f>IF(B45="","",D45/1000)</f>
        <v/>
      </c>
      <c r="F45" s="1724" t="str">
        <f>IF(B45="","",I45)</f>
        <v/>
      </c>
      <c r="G45" s="1725" t="s">
        <v>114</v>
      </c>
      <c r="H45" s="1726">
        <v>0</v>
      </c>
      <c r="I45" s="1723">
        <v>0</v>
      </c>
      <c r="J45" s="1719"/>
      <c r="K45" s="1721">
        <f>IFERROR(E45*(VLOOKUP(EDATE(G45,-1),Índices!#REF!,3,FALSE)/VLOOKUP(EDATE(F45,-1),Índices!#REF!,3,FALSE)),0)</f>
        <v>0</v>
      </c>
      <c r="L45" s="788">
        <f t="shared" si="8"/>
        <v>0</v>
      </c>
      <c r="M45" s="797">
        <f t="shared" ca="1" si="7"/>
        <v>0</v>
      </c>
      <c r="N45" s="788">
        <f t="shared" ca="1" si="9"/>
        <v>0</v>
      </c>
      <c r="O45" s="128"/>
    </row>
    <row r="46" spans="1:22">
      <c r="A46" s="74"/>
      <c r="B46" s="787"/>
      <c r="C46" s="787"/>
      <c r="D46" s="787" t="s">
        <v>114</v>
      </c>
      <c r="E46" s="1723" t="str">
        <f>IF(B46="","",D46/1000)</f>
        <v/>
      </c>
      <c r="F46" s="1724" t="str">
        <f>IF(B46="","",I46)</f>
        <v/>
      </c>
      <c r="G46" s="1725" t="s">
        <v>114</v>
      </c>
      <c r="H46" s="1726">
        <v>0</v>
      </c>
      <c r="I46" s="1723">
        <v>0</v>
      </c>
      <c r="J46" s="1719"/>
      <c r="K46" s="1721">
        <f>IFERROR(E46*(VLOOKUP(EDATE(G46,-1),Índices!#REF!,3,FALSE)/VLOOKUP(EDATE(F46,-1),Índices!#REF!,3,FALSE)),0)</f>
        <v>0</v>
      </c>
      <c r="L46" s="788">
        <f t="shared" si="8"/>
        <v>0</v>
      </c>
      <c r="M46" s="797">
        <f t="shared" ca="1" si="7"/>
        <v>0</v>
      </c>
      <c r="N46" s="788">
        <f t="shared" ca="1" si="9"/>
        <v>0</v>
      </c>
      <c r="O46" s="128"/>
    </row>
    <row r="47" spans="1:22">
      <c r="A47" s="74"/>
      <c r="B47" s="787"/>
      <c r="C47" s="787"/>
      <c r="D47" s="787" t="s">
        <v>114</v>
      </c>
      <c r="E47" s="1723" t="str">
        <f>IF(B47="","",D47/1000)</f>
        <v/>
      </c>
      <c r="F47" s="1724" t="str">
        <f>IF(B47="","",I47)</f>
        <v/>
      </c>
      <c r="G47" s="1725" t="s">
        <v>114</v>
      </c>
      <c r="H47" s="1726">
        <v>0</v>
      </c>
      <c r="I47" s="1723">
        <v>0</v>
      </c>
      <c r="J47" s="1719"/>
      <c r="K47" s="1721">
        <f>IFERROR(E47*(VLOOKUP(EDATE(G47,-1),Índices!#REF!,3,FALSE)/VLOOKUP(EDATE(F47,-1),Índices!#REF!,3,FALSE)),0)</f>
        <v>0</v>
      </c>
      <c r="L47" s="788">
        <f t="shared" si="8"/>
        <v>0</v>
      </c>
      <c r="M47" s="797">
        <f t="shared" ca="1" si="7"/>
        <v>0</v>
      </c>
      <c r="N47" s="788">
        <f t="shared" ca="1" si="9"/>
        <v>0</v>
      </c>
      <c r="O47" s="128"/>
    </row>
    <row r="48" spans="1:22">
      <c r="A48" s="74"/>
      <c r="B48" s="1202" t="s">
        <v>769</v>
      </c>
      <c r="C48" s="1203"/>
      <c r="D48" s="1203"/>
      <c r="E48" s="1202"/>
      <c r="F48" s="1202"/>
      <c r="G48" s="1204"/>
      <c r="H48" s="1202"/>
      <c r="I48" s="1202"/>
      <c r="J48" s="1205">
        <f>SUM(J41:J47)</f>
        <v>0</v>
      </c>
      <c r="K48" s="1206">
        <f ca="1">IFERROR(SUMPRODUCT(K41:K47,M41:M47)/SUM(M41:M47),0)</f>
        <v>0</v>
      </c>
      <c r="L48" s="1202"/>
      <c r="M48" s="1207">
        <f ca="1">SUM(M41:M47)</f>
        <v>0</v>
      </c>
      <c r="N48" s="1207">
        <f ca="1">SUM(N41:N47)</f>
        <v>0</v>
      </c>
      <c r="O48" s="128"/>
    </row>
    <row r="49" spans="1:22">
      <c r="A49" s="74"/>
      <c r="C49" s="68"/>
      <c r="J49" s="74"/>
      <c r="O49" s="128"/>
    </row>
    <row r="50" spans="1:22">
      <c r="A50" s="74"/>
      <c r="C50" s="68"/>
      <c r="J50" s="74"/>
      <c r="O50" s="128"/>
    </row>
    <row r="51" spans="1:22" ht="18" customHeight="1">
      <c r="A51" s="74"/>
      <c r="B51" s="836" t="s">
        <v>2049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199" t="s">
        <v>778</v>
      </c>
      <c r="C52" s="1200" t="s">
        <v>1132</v>
      </c>
      <c r="D52" s="1201"/>
      <c r="E52" s="1200" t="s">
        <v>62</v>
      </c>
      <c r="F52" s="1200" t="s">
        <v>61</v>
      </c>
      <c r="G52" s="1200" t="s">
        <v>1133</v>
      </c>
      <c r="H52" s="1200" t="s">
        <v>1134</v>
      </c>
      <c r="I52" s="1200" t="s">
        <v>1135</v>
      </c>
      <c r="J52" s="1200" t="s">
        <v>898</v>
      </c>
      <c r="K52" s="1200" t="s">
        <v>1136</v>
      </c>
      <c r="L52" s="1200" t="s">
        <v>1137</v>
      </c>
      <c r="M52" s="1200" t="s">
        <v>1138</v>
      </c>
      <c r="N52" s="1200" t="s">
        <v>1139</v>
      </c>
      <c r="O52" s="128"/>
      <c r="V52" s="140" t="e">
        <f ca="1">V34-V51</f>
        <v>#VALUE!</v>
      </c>
    </row>
    <row r="53" spans="1:22" ht="18" customHeight="1">
      <c r="A53" s="74"/>
      <c r="B53" s="787"/>
      <c r="C53" s="787"/>
      <c r="D53" s="787"/>
      <c r="E53" s="1723"/>
      <c r="F53" s="1724"/>
      <c r="G53" s="1725"/>
      <c r="H53" s="1726"/>
      <c r="I53" s="1720"/>
      <c r="J53" s="1719"/>
      <c r="K53" s="1721">
        <f>H28</f>
        <v>166.14917</v>
      </c>
      <c r="L53" s="788">
        <f>IFERROR(J53*K53,0)</f>
        <v>0</v>
      </c>
      <c r="M53" s="797">
        <f t="shared" ref="M53:M59" ca="1" si="10">IFERROR(J53*$N$30,0)</f>
        <v>0</v>
      </c>
      <c r="N53" s="788">
        <f ca="1">IFERROR(K53*M53,0)</f>
        <v>0</v>
      </c>
      <c r="O53" s="134"/>
    </row>
    <row r="54" spans="1:22">
      <c r="B54" s="787"/>
      <c r="C54" s="787"/>
      <c r="D54" s="787"/>
      <c r="E54" s="1723"/>
      <c r="F54" s="1724"/>
      <c r="G54" s="1725"/>
      <c r="H54" s="1726"/>
      <c r="I54" s="1722"/>
      <c r="J54" s="1719"/>
      <c r="K54" s="1721" t="str">
        <f>H29</f>
        <v/>
      </c>
      <c r="L54" s="788">
        <f>IFERROR(J54*K54,0)</f>
        <v>0</v>
      </c>
      <c r="M54" s="797">
        <f t="shared" ca="1" si="10"/>
        <v>0</v>
      </c>
      <c r="N54" s="788">
        <f ca="1">IFERROR(K54*M54,0)</f>
        <v>0</v>
      </c>
      <c r="V54" s="68">
        <v>7728827.6146981604</v>
      </c>
    </row>
    <row r="55" spans="1:22">
      <c r="B55" s="787"/>
      <c r="C55" s="787"/>
      <c r="D55" s="787" t="s">
        <v>114</v>
      </c>
      <c r="E55" s="1723" t="str">
        <f>IF(B55="","",D55/1000)</f>
        <v/>
      </c>
      <c r="F55" s="1724" t="str">
        <f>IF(B55="","",I55)</f>
        <v/>
      </c>
      <c r="G55" s="1725" t="s">
        <v>114</v>
      </c>
      <c r="H55" s="1726">
        <v>0</v>
      </c>
      <c r="I55" s="1720">
        <v>0</v>
      </c>
      <c r="J55" s="1719"/>
      <c r="K55" s="1721">
        <f>IFERROR(E55*(VLOOKUP(EDATE(G55,-1),Índices!B7:D501,3,FALSE)/VLOOKUP(EDATE(F55,-1),Índices!B7:D501,3,FALSE)),0)</f>
        <v>0</v>
      </c>
      <c r="L55" s="788">
        <f t="shared" ref="L55:L59" si="11">J55*K55</f>
        <v>0</v>
      </c>
      <c r="M55" s="797">
        <f t="shared" ca="1" si="10"/>
        <v>0</v>
      </c>
      <c r="N55" s="788">
        <f t="shared" ref="N55:N59" ca="1" si="12">K55*M55</f>
        <v>0</v>
      </c>
    </row>
    <row r="56" spans="1:22">
      <c r="B56" s="787"/>
      <c r="C56" s="787"/>
      <c r="D56" s="787" t="s">
        <v>114</v>
      </c>
      <c r="E56" s="1723" t="str">
        <f>IF(B56="","",D56/1000)</f>
        <v/>
      </c>
      <c r="F56" s="1724" t="str">
        <f>IF(B56="","",I56)</f>
        <v/>
      </c>
      <c r="G56" s="1725" t="s">
        <v>114</v>
      </c>
      <c r="H56" s="1726">
        <v>0</v>
      </c>
      <c r="I56" s="1720">
        <v>0</v>
      </c>
      <c r="J56" s="1719"/>
      <c r="K56" s="1721">
        <f>IFERROR(E56*(VLOOKUP(EDATE(G56,-1),Índices!B8:D502,3,FALSE)/VLOOKUP(EDATE(F56,-1),Índices!B8:D502,3,FALSE)),0)</f>
        <v>0</v>
      </c>
      <c r="L56" s="788">
        <f t="shared" si="11"/>
        <v>0</v>
      </c>
      <c r="M56" s="797">
        <f t="shared" ca="1" si="10"/>
        <v>0</v>
      </c>
      <c r="N56" s="788">
        <f t="shared" ca="1" si="12"/>
        <v>0</v>
      </c>
      <c r="V56" s="140" t="e">
        <f ca="1">V52+V54</f>
        <v>#VALUE!</v>
      </c>
    </row>
    <row r="57" spans="1:22">
      <c r="B57" s="787"/>
      <c r="C57" s="787"/>
      <c r="D57" s="787" t="s">
        <v>114</v>
      </c>
      <c r="E57" s="1723" t="str">
        <f>IF(B57="","",D57/1000)</f>
        <v/>
      </c>
      <c r="F57" s="1724" t="str">
        <f>IF(B57="","",I57)</f>
        <v/>
      </c>
      <c r="G57" s="1725" t="s">
        <v>114</v>
      </c>
      <c r="H57" s="1726">
        <v>0</v>
      </c>
      <c r="I57" s="1720">
        <v>0</v>
      </c>
      <c r="J57" s="1719"/>
      <c r="K57" s="1721">
        <f>IFERROR(E57*(VLOOKUP(EDATE(G57,-1),Índices!B9:D503,3,FALSE)/VLOOKUP(EDATE(F57,-1),Índices!B9:D503,3,FALSE)),0)</f>
        <v>0</v>
      </c>
      <c r="L57" s="788">
        <f t="shared" si="11"/>
        <v>0</v>
      </c>
      <c r="M57" s="797">
        <f t="shared" ca="1" si="10"/>
        <v>0</v>
      </c>
      <c r="N57" s="788">
        <f t="shared" ca="1" si="12"/>
        <v>0</v>
      </c>
    </row>
    <row r="58" spans="1:22">
      <c r="B58" s="787"/>
      <c r="C58" s="787"/>
      <c r="D58" s="787" t="s">
        <v>114</v>
      </c>
      <c r="E58" s="1723" t="str">
        <f>IF(B58="","",D58/1000)</f>
        <v/>
      </c>
      <c r="F58" s="1724" t="str">
        <f>IF(B58="","",I58)</f>
        <v/>
      </c>
      <c r="G58" s="1725" t="s">
        <v>114</v>
      </c>
      <c r="H58" s="1726">
        <v>0</v>
      </c>
      <c r="I58" s="1720">
        <v>0</v>
      </c>
      <c r="J58" s="1719"/>
      <c r="K58" s="1721">
        <f>IFERROR(E58*(VLOOKUP(EDATE(G58,-1),Índices!B10:D504,3,FALSE)/VLOOKUP(EDATE(F58,-1),Índices!B10:D504,3,FALSE)),0)</f>
        <v>0</v>
      </c>
      <c r="L58" s="788">
        <f t="shared" si="11"/>
        <v>0</v>
      </c>
      <c r="M58" s="797">
        <f t="shared" ca="1" si="10"/>
        <v>0</v>
      </c>
      <c r="N58" s="788">
        <f t="shared" ca="1" si="12"/>
        <v>0</v>
      </c>
    </row>
    <row r="59" spans="1:22">
      <c r="B59" s="787"/>
      <c r="C59" s="787"/>
      <c r="D59" s="787" t="s">
        <v>114</v>
      </c>
      <c r="E59" s="1723" t="str">
        <f>IF(B59="","",D59/1000)</f>
        <v/>
      </c>
      <c r="F59" s="1724" t="str">
        <f>IF(B59="","",I59)</f>
        <v/>
      </c>
      <c r="G59" s="1725" t="s">
        <v>114</v>
      </c>
      <c r="H59" s="1726">
        <v>0</v>
      </c>
      <c r="I59" s="1720">
        <v>0</v>
      </c>
      <c r="J59" s="1719"/>
      <c r="K59" s="1721">
        <f>IFERROR(E59*(VLOOKUP(EDATE(G59,-1),Índices!B11:D505,3,FALSE)/VLOOKUP(EDATE(F59,-1),Índices!B11:D505,3,FALSE)),0)</f>
        <v>0</v>
      </c>
      <c r="L59" s="788">
        <f t="shared" si="11"/>
        <v>0</v>
      </c>
      <c r="M59" s="797">
        <f t="shared" ca="1" si="10"/>
        <v>0</v>
      </c>
      <c r="N59" s="788">
        <f t="shared" ca="1" si="12"/>
        <v>0</v>
      </c>
    </row>
    <row r="60" spans="1:22">
      <c r="B60" s="1202" t="s">
        <v>769</v>
      </c>
      <c r="C60" s="1203"/>
      <c r="D60" s="1203"/>
      <c r="E60" s="1202"/>
      <c r="F60" s="1202"/>
      <c r="G60" s="1204"/>
      <c r="H60" s="1202"/>
      <c r="I60" s="1202"/>
      <c r="J60" s="1205">
        <f>SUM(J53:J59)</f>
        <v>0</v>
      </c>
      <c r="K60" s="1206">
        <f ca="1">IFERROR(SUMPRODUCT(K53:K59,M53:M59)/SUM(M53:M59),0)</f>
        <v>0</v>
      </c>
      <c r="L60" s="1202"/>
      <c r="M60" s="1207">
        <f ca="1">SUM(M53:M59)</f>
        <v>0</v>
      </c>
      <c r="N60" s="1207">
        <f ca="1">SUM(N53:N59)</f>
        <v>0</v>
      </c>
    </row>
    <row r="61" spans="1:22">
      <c r="C61" s="412"/>
      <c r="D61" s="412"/>
      <c r="E61" s="412"/>
      <c r="K61" s="68" t="s">
        <v>2052</v>
      </c>
    </row>
    <row r="62" spans="1:22" ht="15.75">
      <c r="B62" s="1208" t="s">
        <v>1140</v>
      </c>
      <c r="C62" s="1209" t="s">
        <v>1141</v>
      </c>
      <c r="D62" s="1210"/>
      <c r="E62" s="1211" t="s">
        <v>1142</v>
      </c>
      <c r="F62" s="1211" t="s">
        <v>1143</v>
      </c>
      <c r="H62" s="1212" t="s">
        <v>1144</v>
      </c>
      <c r="I62" s="1213" t="s">
        <v>42</v>
      </c>
      <c r="J62" s="1214" t="s">
        <v>43</v>
      </c>
      <c r="K62" s="1215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0</v>
      </c>
      <c r="D63" s="1718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6" t="s">
        <v>1146</v>
      </c>
      <c r="I63" s="1217" cm="1">
        <f t="array" ref="I63">GSFRH[GSF previsto]</f>
        <v>0.87029999999999996</v>
      </c>
      <c r="J63" s="1218" cm="1">
        <f t="array" ref="J63">GSFRH[PLD]</f>
        <v>195.04</v>
      </c>
      <c r="K63" s="1219">
        <f>(J63*(1-I63)*(C64+C65))</f>
        <v>0</v>
      </c>
    </row>
    <row r="64" spans="1:22" ht="15.75">
      <c r="B64" s="78" t="s">
        <v>1146</v>
      </c>
      <c r="C64" s="251">
        <f>BD!AE22</f>
        <v>0</v>
      </c>
      <c r="D64" s="1718">
        <f t="shared" si="13"/>
        <v>0</v>
      </c>
      <c r="E64" s="217">
        <f>BD!AG22</f>
        <v>0</v>
      </c>
      <c r="F64" s="107">
        <f>C64*E64</f>
        <v>0</v>
      </c>
      <c r="H64" s="798" t="s">
        <v>1147</v>
      </c>
      <c r="I64" s="799">
        <f>I63</f>
        <v>0.87029999999999996</v>
      </c>
      <c r="J64" s="800">
        <f>J63</f>
        <v>195.04</v>
      </c>
      <c r="K64" s="801"/>
    </row>
    <row r="65" spans="1:11" ht="15.75">
      <c r="B65" s="78" t="s">
        <v>1146</v>
      </c>
      <c r="C65" s="251">
        <f>BD!AE23</f>
        <v>0</v>
      </c>
      <c r="D65" s="1718">
        <f t="shared" si="13"/>
        <v>0</v>
      </c>
      <c r="E65" s="217">
        <f>BD!AG23</f>
        <v>0</v>
      </c>
      <c r="F65" s="107">
        <f>C65*E65</f>
        <v>0</v>
      </c>
      <c r="H65" s="802" t="s">
        <v>1148</v>
      </c>
      <c r="I65" s="799">
        <f>I64</f>
        <v>0.87029999999999996</v>
      </c>
      <c r="J65" s="800">
        <f>J64</f>
        <v>195.04</v>
      </c>
      <c r="K65" s="801">
        <f>(J65*(1-I65)*I68*K68*365*24)</f>
        <v>0</v>
      </c>
    </row>
    <row r="66" spans="1:11" ht="15.75">
      <c r="B66" s="789"/>
      <c r="C66" s="789">
        <f>SUM(C63:C65)</f>
        <v>0</v>
      </c>
      <c r="D66" s="789"/>
      <c r="E66" s="789"/>
      <c r="F66" s="789">
        <f>SUM(F63:F65)</f>
        <v>0</v>
      </c>
      <c r="H66" s="783" t="s">
        <v>1149</v>
      </c>
      <c r="I66" s="1220"/>
      <c r="J66" s="1221"/>
      <c r="K66" s="1222">
        <f>SUM(K63:K65)</f>
        <v>0</v>
      </c>
    </row>
    <row r="67" spans="1:11" ht="15.75">
      <c r="H67" s="1801" t="s">
        <v>45</v>
      </c>
      <c r="I67" s="1801"/>
      <c r="J67" s="1223"/>
      <c r="K67" s="1223" t="s">
        <v>44</v>
      </c>
    </row>
    <row r="68" spans="1:11" ht="15.75">
      <c r="H68" s="784" t="str">
        <f>CAPA!C9</f>
        <v>Cerej</v>
      </c>
      <c r="I68" s="804" cm="1">
        <f t="array" ref="I68">GSFRH[Fator de rateio]</f>
        <v>0</v>
      </c>
      <c r="J68" s="897">
        <f>J63</f>
        <v>195.04</v>
      </c>
      <c r="K68" s="785" cm="1">
        <f t="array" ref="K68">GSFRH[MWm repactuado]</f>
        <v>14739.74</v>
      </c>
    </row>
    <row r="69" spans="1:11" ht="15">
      <c r="B69" s="1208" t="s">
        <v>1150</v>
      </c>
      <c r="C69" s="1209" t="s">
        <v>1141</v>
      </c>
      <c r="D69" s="1210"/>
      <c r="E69" s="1211" t="s">
        <v>1142</v>
      </c>
      <c r="F69" s="1211" t="s">
        <v>1143</v>
      </c>
    </row>
    <row r="70" spans="1:11">
      <c r="B70" s="78" t="s">
        <v>1151</v>
      </c>
      <c r="C70" s="251">
        <f>D89</f>
        <v>0</v>
      </c>
      <c r="D70" s="803">
        <f t="shared" ref="D70" si="14">E70</f>
        <v>0</v>
      </c>
      <c r="E70" s="787">
        <v>0</v>
      </c>
      <c r="F70" s="107">
        <f>C70*E70</f>
        <v>0</v>
      </c>
    </row>
    <row r="71" spans="1:11">
      <c r="B71" s="78"/>
      <c r="C71" s="251"/>
      <c r="D71" s="803"/>
      <c r="E71" s="787"/>
      <c r="F71" s="107"/>
      <c r="J71" s="140"/>
    </row>
    <row r="72" spans="1:11">
      <c r="B72" s="789"/>
      <c r="C72" s="789">
        <f>SUM(C70:C71)</f>
        <v>0</v>
      </c>
      <c r="D72" s="789"/>
      <c r="E72" s="789"/>
      <c r="F72" s="789">
        <f>SUM(F70:F71)</f>
        <v>0</v>
      </c>
      <c r="J72" s="140"/>
    </row>
    <row r="75" spans="1:11">
      <c r="C75" s="123" t="s">
        <v>1150</v>
      </c>
    </row>
    <row r="76" spans="1:11">
      <c r="C76" s="1696" t="s">
        <v>2199</v>
      </c>
      <c r="D76" s="1696" t="s">
        <v>2305</v>
      </c>
    </row>
    <row r="77" spans="1:11">
      <c r="A77" s="68" t="s">
        <v>1152</v>
      </c>
      <c r="C77" s="1714">
        <f>SAS_RA0_DataInicio</f>
        <v>44440</v>
      </c>
      <c r="D77" s="848">
        <f>IFERROR(VLOOKUP(C77,GeracaoPropria[],2,FALSE)/1000,0)</f>
        <v>0</v>
      </c>
    </row>
    <row r="78" spans="1:11">
      <c r="A78" s="68" t="str">
        <f>TRIM(LEFT(C28,3))</f>
        <v>A4</v>
      </c>
      <c r="C78" s="1714">
        <f>EDATE(C77,1)</f>
        <v>44470</v>
      </c>
      <c r="D78" s="848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14">
        <f t="shared" ref="C79:C87" si="16">EDATE(C78,1)</f>
        <v>44501</v>
      </c>
      <c r="D79" s="848">
        <f>IFERROR(VLOOKUP(C79,GeracaoPropria[],2,FALSE)/1000,0)</f>
        <v>0</v>
      </c>
    </row>
    <row r="80" spans="1:11">
      <c r="A80" s="68" t="str">
        <f t="shared" si="15"/>
        <v/>
      </c>
      <c r="C80" s="1714">
        <f t="shared" si="16"/>
        <v>44531</v>
      </c>
      <c r="D80" s="848">
        <f>IFERROR(VLOOKUP(C80,GeracaoPropria[],2,FALSE)/1000,0)</f>
        <v>0</v>
      </c>
    </row>
    <row r="81" spans="1:4">
      <c r="A81" s="68" t="str">
        <f t="shared" si="15"/>
        <v/>
      </c>
      <c r="C81" s="1714">
        <f t="shared" si="16"/>
        <v>44562</v>
      </c>
      <c r="D81" s="848">
        <f>IFERROR(VLOOKUP(C81,GeracaoPropria[],2,FALSE)/1000,0)</f>
        <v>0</v>
      </c>
    </row>
    <row r="82" spans="1:4">
      <c r="A82" s="68" t="str">
        <f t="shared" si="15"/>
        <v/>
      </c>
      <c r="C82" s="1714">
        <f t="shared" si="16"/>
        <v>44593</v>
      </c>
      <c r="D82" s="848">
        <f>IFERROR(VLOOKUP(C82,GeracaoPropria[],2,FALSE)/1000,0)</f>
        <v>0</v>
      </c>
    </row>
    <row r="83" spans="1:4">
      <c r="A83" s="68" t="str">
        <f t="shared" si="15"/>
        <v/>
      </c>
      <c r="C83" s="1714">
        <f t="shared" si="16"/>
        <v>44621</v>
      </c>
      <c r="D83" s="848">
        <f>IFERROR(VLOOKUP(C83,GeracaoPropria[],2,FALSE)/1000,0)</f>
        <v>0</v>
      </c>
    </row>
    <row r="84" spans="1:4">
      <c r="A84" s="68" t="str">
        <f t="shared" si="15"/>
        <v/>
      </c>
      <c r="C84" s="1714">
        <f t="shared" si="16"/>
        <v>44652</v>
      </c>
      <c r="D84" s="848">
        <f>IFERROR(VLOOKUP(C84,GeracaoPropria[],2,FALSE)/1000,0)</f>
        <v>0</v>
      </c>
    </row>
    <row r="85" spans="1:4">
      <c r="C85" s="1714">
        <f t="shared" si="16"/>
        <v>44682</v>
      </c>
      <c r="D85" s="848">
        <f>IFERROR(VLOOKUP(C85,GeracaoPropria[],2,FALSE)/1000,0)</f>
        <v>0</v>
      </c>
    </row>
    <row r="86" spans="1:4">
      <c r="C86" s="1714">
        <f>EDATE(C85,1)</f>
        <v>44713</v>
      </c>
      <c r="D86" s="848">
        <f>IFERROR(VLOOKUP(C86,GeracaoPropria[],2,FALSE)/1000,D85)</f>
        <v>0</v>
      </c>
    </row>
    <row r="87" spans="1:4">
      <c r="C87" s="1714">
        <f t="shared" si="16"/>
        <v>44743</v>
      </c>
      <c r="D87" s="848">
        <f>IFERROR(VLOOKUP(C87,GeracaoPropria[],2,FALSE)/1000,D86)</f>
        <v>0</v>
      </c>
    </row>
    <row r="88" spans="1:4">
      <c r="C88" s="1714">
        <f>EDATE(C87,1)</f>
        <v>44774</v>
      </c>
      <c r="D88" s="848">
        <f>IFERROR(VLOOKUP(C88,GeracaoPropria[],2,FALSE)/1000,D87)</f>
        <v>0</v>
      </c>
    </row>
    <row r="89" spans="1:4">
      <c r="C89" s="1697" t="s">
        <v>769</v>
      </c>
      <c r="D89" s="1114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699" t="s">
        <v>2281</v>
      </c>
      <c r="C1" s="1700"/>
      <c r="D1" s="1701"/>
      <c r="E1" s="1701"/>
      <c r="F1" s="1702" t="s">
        <v>873</v>
      </c>
      <c r="G1" s="1703">
        <f ca="1">LnkTXTIRTEco</f>
        <v>0.1018</v>
      </c>
    </row>
    <row r="2" spans="2:10">
      <c r="B2" s="1704" t="str">
        <f>CAPA!C9</f>
        <v>Cerej</v>
      </c>
      <c r="C2" s="1705"/>
      <c r="D2" s="1705"/>
      <c r="E2" s="1705"/>
      <c r="F2" s="1706" t="s">
        <v>877</v>
      </c>
      <c r="G2" s="1707">
        <f ca="1">LnkTXTIRTTotal</f>
        <v>-0.31169999999999998</v>
      </c>
    </row>
    <row r="4" spans="2:10">
      <c r="B4" s="9"/>
    </row>
    <row r="5" spans="2:10" ht="25.5">
      <c r="B5" s="1696" t="s">
        <v>2199</v>
      </c>
      <c r="C5" s="1696" t="s">
        <v>2180</v>
      </c>
      <c r="D5" s="1696" t="s">
        <v>2181</v>
      </c>
      <c r="E5" s="1696" t="s">
        <v>2182</v>
      </c>
      <c r="F5" s="1696" t="s">
        <v>790</v>
      </c>
      <c r="G5" s="1696" t="s">
        <v>109</v>
      </c>
      <c r="H5" s="1696" t="s">
        <v>2200</v>
      </c>
      <c r="I5" s="1696" t="s">
        <v>742</v>
      </c>
      <c r="J5" s="1696" t="s">
        <v>1282</v>
      </c>
    </row>
    <row r="6" spans="2:10">
      <c r="B6" s="1714">
        <f>SAS_RA0_DataInicio</f>
        <v>44440</v>
      </c>
      <c r="C6" s="848">
        <f>IFERROR(VLOOKUP(B6,PerdasDitFinal[#All],2,FALSE),0)</f>
        <v>0</v>
      </c>
      <c r="D6" s="848">
        <f>IFERROR(VLOOKUP(B6,PerdasDitFinal[#All],3,FALSE),0)</f>
        <v>0</v>
      </c>
      <c r="E6" s="848">
        <f>IFERROR(VLOOKUP(B6,PerdasDitFinal[#All],4,FALSE),0)</f>
        <v>0</v>
      </c>
      <c r="F6" s="848">
        <f>IF(C6=0,(SUMIF(FaturasT!I:I,'Perdas de Energia'!B6,FaturasT!N:N)+SUMIF(FaturasT!I:I,'Perdas de Energia'!B6,FaturasT!O:ON))/1000,0)</f>
        <v>4667.9790000000003</v>
      </c>
      <c r="G6" s="848">
        <f>IF(C6=0,(SUMIF(FaturasT!I:I,'Perdas de Energia'!B6,FaturasT!P:P)/1000),0)</f>
        <v>85.143000000000001</v>
      </c>
      <c r="H6" s="848">
        <f>SUMIF(dados_MercadoBase[AnoMes],'Perdas de Energia'!B6,dados_MercadoBase[TE_E])</f>
        <v>3975.6689999999999</v>
      </c>
      <c r="I6" s="1715">
        <f>C6-D6-E6+F6-H6+G6</f>
        <v>777.45300000000043</v>
      </c>
      <c r="J6" s="1716">
        <f>I6/(C6-D6-E6+F6+G6)</f>
        <v>0.1635668093518324</v>
      </c>
    </row>
    <row r="7" spans="2:10">
      <c r="B7" s="1714">
        <f>EDATE(B6,1)</f>
        <v>44470</v>
      </c>
      <c r="C7" s="848">
        <f>IFERROR(VLOOKUP(B7,PerdasDitFinal[#All],2,FALSE),0)</f>
        <v>0</v>
      </c>
      <c r="D7" s="848">
        <f>IFERROR(VLOOKUP(B7,PerdasDitFinal[#All],3,FALSE),0)</f>
        <v>0</v>
      </c>
      <c r="E7" s="848">
        <f>IFERROR(VLOOKUP(B7,PerdasDitFinal[#All],4,FALSE),0)</f>
        <v>0</v>
      </c>
      <c r="F7" s="848">
        <f>IF(C7=0,(SUMIF(FaturasT!I:I,'Perdas de Energia'!B7,FaturasT!N:N)+SUMIF(FaturasT!I:I,'Perdas de Energia'!B7,FaturasT!O:ON))/1000,0)</f>
        <v>4536.0649999999996</v>
      </c>
      <c r="G7" s="848">
        <f>IF(C7=0,(SUMIF(FaturasT!I:I,'Perdas de Energia'!B7,FaturasT!P:P)/1000),0)</f>
        <v>85.123999999999995</v>
      </c>
      <c r="H7" s="848">
        <f>SUMIF(dados_MercadoBase[AnoMes],'Perdas de Energia'!B7,dados_MercadoBase[TE_E])</f>
        <v>4024.0090000000005</v>
      </c>
      <c r="I7" s="1715">
        <f t="shared" ref="I7:I16" si="0">C7-D7-E7+F7-H7+G7</f>
        <v>597.17999999999915</v>
      </c>
      <c r="J7" s="1716">
        <f t="shared" ref="J7:J17" si="1">I7/(C7-D7-E7+F7+G7)</f>
        <v>0.1292264826216801</v>
      </c>
    </row>
    <row r="8" spans="2:10">
      <c r="B8" s="1714">
        <f t="shared" ref="B8:B16" si="2">EDATE(B7,1)</f>
        <v>44501</v>
      </c>
      <c r="C8" s="848">
        <f>IFERROR(VLOOKUP(B8,PerdasDitFinal[#All],2,FALSE),0)</f>
        <v>0</v>
      </c>
      <c r="D8" s="848">
        <f>IFERROR(VLOOKUP(B8,PerdasDitFinal[#All],3,FALSE),0)</f>
        <v>0</v>
      </c>
      <c r="E8" s="848">
        <f>IFERROR(VLOOKUP(B8,PerdasDitFinal[#All],4,FALSE),0)</f>
        <v>0</v>
      </c>
      <c r="F8" s="848">
        <f>IF(C8=0,(SUMIF(FaturasT!I:I,'Perdas de Energia'!B8,FaturasT!N:N)+SUMIF(FaturasT!I:I,'Perdas de Energia'!B8,FaturasT!O:ON))/1000,0)</f>
        <v>4726.8310000000001</v>
      </c>
      <c r="G8" s="848">
        <f>IF(C8=0,(SUMIF(FaturasT!I:I,'Perdas de Energia'!B8,FaturasT!P:P)/1000),0)</f>
        <v>90.637</v>
      </c>
      <c r="H8" s="848">
        <f>SUMIF(dados_MercadoBase[AnoMes],'Perdas de Energia'!B8,dados_MercadoBase[TE_E])</f>
        <v>4167.7719999999999</v>
      </c>
      <c r="I8" s="1715">
        <f t="shared" si="0"/>
        <v>649.69600000000014</v>
      </c>
      <c r="J8" s="1716">
        <f t="shared" si="1"/>
        <v>0.13486254605116219</v>
      </c>
    </row>
    <row r="9" spans="2:10">
      <c r="B9" s="1714">
        <f t="shared" si="2"/>
        <v>44531</v>
      </c>
      <c r="C9" s="848">
        <f>IFERROR(VLOOKUP(B9,PerdasDitFinal[#All],2,FALSE),0)</f>
        <v>0</v>
      </c>
      <c r="D9" s="848">
        <f>IFERROR(VLOOKUP(B9,PerdasDitFinal[#All],3,FALSE),0)</f>
        <v>0</v>
      </c>
      <c r="E9" s="848">
        <f>IFERROR(VLOOKUP(B9,PerdasDitFinal[#All],4,FALSE),0)</f>
        <v>0</v>
      </c>
      <c r="F9" s="848">
        <f>IF(C9=0,(SUMIF(FaturasT!I:I,'Perdas de Energia'!B9,FaturasT!N:N)+SUMIF(FaturasT!I:I,'Perdas de Energia'!B9,FaturasT!O:ON))/1000,0)</f>
        <v>5035.4269999999997</v>
      </c>
      <c r="G9" s="848">
        <f>IF(C9=0,(SUMIF(FaturasT!I:I,'Perdas de Energia'!B9,FaturasT!P:P)/1000),0)</f>
        <v>90.49</v>
      </c>
      <c r="H9" s="848">
        <f>SUMIF(dados_MercadoBase[AnoMes],'Perdas de Energia'!B9,dados_MercadoBase[TE_E])</f>
        <v>4298.76</v>
      </c>
      <c r="I9" s="1715">
        <f t="shared" si="0"/>
        <v>827.15699999999947</v>
      </c>
      <c r="J9" s="1716">
        <f t="shared" si="1"/>
        <v>0.16136761480921355</v>
      </c>
    </row>
    <row r="10" spans="2:10">
      <c r="B10" s="1714">
        <f t="shared" si="2"/>
        <v>44562</v>
      </c>
      <c r="C10" s="848">
        <f>IFERROR(VLOOKUP(B10,PerdasDitFinal[#All],2,FALSE),0)</f>
        <v>0</v>
      </c>
      <c r="D10" s="848">
        <f>IFERROR(VLOOKUP(B10,PerdasDitFinal[#All],3,FALSE),0)</f>
        <v>0</v>
      </c>
      <c r="E10" s="848">
        <f>IFERROR(VLOOKUP(B10,PerdasDitFinal[#All],4,FALSE),0)</f>
        <v>0</v>
      </c>
      <c r="F10" s="848">
        <f>IF(C10=0,(SUMIF(FaturasT!I:I,'Perdas de Energia'!B10,FaturasT!N:N)+SUMIF(FaturasT!I:I,'Perdas de Energia'!B10,FaturasT!O:ON))/1000,0)</f>
        <v>5662.25</v>
      </c>
      <c r="G10" s="848">
        <f>IF(C10=0,(SUMIF(FaturasT!I:I,'Perdas de Energia'!B10,FaturasT!P:P)/1000),0)</f>
        <v>82.513999999999996</v>
      </c>
      <c r="H10" s="848">
        <f>SUMIF(dados_MercadoBase[AnoMes],'Perdas de Energia'!B10,dados_MercadoBase[TE_E])</f>
        <v>5150.7080000000005</v>
      </c>
      <c r="I10" s="1715">
        <f t="shared" si="0"/>
        <v>594.05599999999947</v>
      </c>
      <c r="J10" s="1716">
        <f t="shared" si="1"/>
        <v>0.10340825140945728</v>
      </c>
    </row>
    <row r="11" spans="2:10">
      <c r="B11" s="1714">
        <f t="shared" si="2"/>
        <v>44593</v>
      </c>
      <c r="C11" s="848">
        <f>IFERROR(VLOOKUP(B11,PerdasDitFinal[#All],2,FALSE),0)</f>
        <v>0</v>
      </c>
      <c r="D11" s="848">
        <f>IFERROR(VLOOKUP(B11,PerdasDitFinal[#All],3,FALSE),0)</f>
        <v>0</v>
      </c>
      <c r="E11" s="848">
        <f>IFERROR(VLOOKUP(B11,PerdasDitFinal[#All],4,FALSE),0)</f>
        <v>0</v>
      </c>
      <c r="F11" s="848">
        <f>IF(C11=0,(SUMIF(FaturasT!I:I,'Perdas de Energia'!B11,FaturasT!N:N)+SUMIF(FaturasT!I:I,'Perdas de Energia'!B11,FaturasT!O:ON))/1000,0)</f>
        <v>6109.8389999999999</v>
      </c>
      <c r="G11" s="848">
        <f>IF(C11=0,(SUMIF(FaturasT!I:I,'Perdas de Energia'!B11,FaturasT!P:P)/1000),0)</f>
        <v>68.328000000000003</v>
      </c>
      <c r="H11" s="848">
        <f>SUMIF(dados_MercadoBase[AnoMes],'Perdas de Energia'!B11,dados_MercadoBase[TE_E])</f>
        <v>5094.6760000000004</v>
      </c>
      <c r="I11" s="1715">
        <f t="shared" si="0"/>
        <v>1083.4909999999995</v>
      </c>
      <c r="J11" s="1716">
        <f t="shared" si="1"/>
        <v>0.17537418460847684</v>
      </c>
    </row>
    <row r="12" spans="2:10">
      <c r="B12" s="1714">
        <f t="shared" si="2"/>
        <v>44621</v>
      </c>
      <c r="C12" s="848">
        <f>IFERROR(VLOOKUP(B12,PerdasDitFinal[#All],2,FALSE),0)</f>
        <v>0</v>
      </c>
      <c r="D12" s="848">
        <f>IFERROR(VLOOKUP(B12,PerdasDitFinal[#All],3,FALSE),0)</f>
        <v>0</v>
      </c>
      <c r="E12" s="848">
        <f>IFERROR(VLOOKUP(B12,PerdasDitFinal[#All],4,FALSE),0)</f>
        <v>0</v>
      </c>
      <c r="F12" s="848">
        <f>IF(C12=0,(SUMIF(FaturasT!I:I,'Perdas de Energia'!B12,FaturasT!N:N)+SUMIF(FaturasT!I:I,'Perdas de Energia'!B12,FaturasT!O:ON))/1000,0)</f>
        <v>5061.5029999999997</v>
      </c>
      <c r="G12" s="848">
        <f>IF(C12=0,(SUMIF(FaturasT!I:I,'Perdas de Energia'!B12,FaturasT!P:P)/1000),0)</f>
        <v>61.195</v>
      </c>
      <c r="H12" s="848">
        <f>SUMIF(dados_MercadoBase[AnoMes],'Perdas de Energia'!B12,dados_MercadoBase[TE_E])</f>
        <v>4552.5810000000001</v>
      </c>
      <c r="I12" s="1715">
        <f t="shared" si="0"/>
        <v>570.11699999999962</v>
      </c>
      <c r="J12" s="1716">
        <f t="shared" si="1"/>
        <v>0.11129233072103796</v>
      </c>
    </row>
    <row r="13" spans="2:10">
      <c r="B13" s="1714">
        <f t="shared" si="2"/>
        <v>44652</v>
      </c>
      <c r="C13" s="848">
        <f>IFERROR(VLOOKUP(B13,PerdasDitFinal[#All],2,FALSE),0)</f>
        <v>0</v>
      </c>
      <c r="D13" s="848">
        <f>IFERROR(VLOOKUP(B13,PerdasDitFinal[#All],3,FALSE),0)</f>
        <v>0</v>
      </c>
      <c r="E13" s="848">
        <f>IFERROR(VLOOKUP(B13,PerdasDitFinal[#All],4,FALSE),0)</f>
        <v>0</v>
      </c>
      <c r="F13" s="848">
        <f>IF(C13=0,(SUMIF(FaturasT!I:I,'Perdas de Energia'!B13,FaturasT!N:N)+SUMIF(FaturasT!I:I,'Perdas de Energia'!B13,FaturasT!O:ON))/1000,0)</f>
        <v>5049.4449999999997</v>
      </c>
      <c r="G13" s="848">
        <f>IF(C13=0,(SUMIF(FaturasT!I:I,'Perdas de Energia'!B13,FaturasT!P:P)/1000),0)</f>
        <v>66.138999999999996</v>
      </c>
      <c r="H13" s="848">
        <f>SUMIF(dados_MercadoBase[AnoMes],'Perdas de Energia'!B13,dados_MercadoBase[TE_E])</f>
        <v>4261.3689999999997</v>
      </c>
      <c r="I13" s="1715">
        <f t="shared" si="0"/>
        <v>854.21500000000003</v>
      </c>
      <c r="J13" s="1716">
        <f t="shared" si="1"/>
        <v>0.16698288993006469</v>
      </c>
    </row>
    <row r="14" spans="2:10">
      <c r="B14" s="1714">
        <f t="shared" si="2"/>
        <v>44682</v>
      </c>
      <c r="C14" s="848">
        <f>IFERROR(VLOOKUP(B14,PerdasDitFinal[#All],2,FALSE),0)</f>
        <v>0</v>
      </c>
      <c r="D14" s="848">
        <f>IFERROR(VLOOKUP(B14,PerdasDitFinal[#All],3,FALSE),D13)</f>
        <v>0</v>
      </c>
      <c r="E14" s="848">
        <f>IFERROR(VLOOKUP(B14,PerdasDitFinal[#All],4,FALSE),E13)</f>
        <v>0</v>
      </c>
      <c r="F14" s="848">
        <f>IF(C14=0,IF(IFERROR(VLOOKUP(B14,Consulta3[MesAno],1,FALSE),0)='Perdas de Energia'!B14,(SUMIF(FaturasT!I:I,'Perdas de Energia'!B14,FaturasT!N:N)+SUMIF(FaturasT!I:I,'Perdas de Energia'!B14,FaturasT!O:ON))/1000,F13),0)</f>
        <v>4555.58</v>
      </c>
      <c r="G14" s="848">
        <f>IF(C14=0,IF(IFERROR(VLOOKUP(B14,FaturasT!I:I,1,FALSE),0)=B14,(SUMIF(Consulta3[MesAno],'Perdas de Energia'!B14,Consulta3[Proinfa (kWh)])/1000),G13),0)</f>
        <v>63.637</v>
      </c>
      <c r="H14" s="848">
        <f>SUMIF(dados_MercadoBase[AnoMes],'Perdas de Energia'!B14,dados_MercadoBase[TE_E])</f>
        <v>4030.1749999999997</v>
      </c>
      <c r="I14" s="1715">
        <f t="shared" si="0"/>
        <v>589.04200000000014</v>
      </c>
      <c r="J14" s="1716">
        <f t="shared" si="1"/>
        <v>0.12751988053386543</v>
      </c>
    </row>
    <row r="15" spans="2:10">
      <c r="B15" s="1714">
        <f>EDATE(B14,1)</f>
        <v>44713</v>
      </c>
      <c r="C15" s="848">
        <f>IFERROR(VLOOKUP(B15,PerdasDitFinal[#All],2,FALSE),C14)</f>
        <v>0</v>
      </c>
      <c r="D15" s="848">
        <f>IFERROR(VLOOKUP(B15,PerdasDitFinal[#All],3,FALSE),D14)</f>
        <v>0</v>
      </c>
      <c r="E15" s="848">
        <f>IFERROR(VLOOKUP(B15,PerdasDitFinal[#All],4,FALSE),E14)</f>
        <v>0</v>
      </c>
      <c r="F15" s="848">
        <f>IF(C15=0,IF(IFERROR(VLOOKUP(B15,Consulta3[MesAno],1,FALSE),0)='Perdas de Energia'!B15,(SUMIF(FaturasT!I:I,'Perdas de Energia'!B15,FaturasT!N:N)+SUMIF(FaturasT!I:I,'Perdas de Energia'!B15,FaturasT!O:ON))/1000,F14),0)</f>
        <v>4623.5060000000003</v>
      </c>
      <c r="G15" s="848">
        <f>IF(C15=0,IF(IFERROR(VLOOKUP(B15,FaturasT!I:I,1,FALSE),0)=B15,(SUMIF(Consulta3[MesAno],'Perdas de Energia'!B15,Consulta3[Proinfa (kWh)])/1000),G14),0)</f>
        <v>72.186999999999998</v>
      </c>
      <c r="H15" s="848">
        <f>SUMIF(dados_MercadoBase[AnoMes],'Perdas de Energia'!B15,dados_MercadoBase[TE_E])</f>
        <v>4033.8850000000007</v>
      </c>
      <c r="I15" s="1715">
        <f t="shared" si="0"/>
        <v>661.80799999999965</v>
      </c>
      <c r="J15" s="1716">
        <f t="shared" si="1"/>
        <v>0.14093936720309433</v>
      </c>
    </row>
    <row r="16" spans="2:10">
      <c r="B16" s="1714">
        <f t="shared" si="2"/>
        <v>44743</v>
      </c>
      <c r="C16" s="848">
        <f>IFERROR(VLOOKUP(B16,PerdasDitFinal[#All],2,FALSE),C15)</f>
        <v>0</v>
      </c>
      <c r="D16" s="848">
        <f>IFERROR(VLOOKUP(B16,PerdasDitFinal[#All],3,FALSE),D15)</f>
        <v>0</v>
      </c>
      <c r="E16" s="848">
        <f>IFERROR(VLOOKUP(B16,PerdasDitFinal[#All],4,FALSE),E15)</f>
        <v>0</v>
      </c>
      <c r="F16" s="848">
        <f>IF(C16=0,IF(IFERROR(VLOOKUP(B16,Consulta3[MesAno],1,FALSE),0)='Perdas de Energia'!B16,(SUMIF(FaturasT!I:I,'Perdas de Energia'!B16,FaturasT!N:N)+SUMIF(FaturasT!I:I,'Perdas de Energia'!B16,FaturasT!O:ON))/1000,F15),0)</f>
        <v>4607.4679999999998</v>
      </c>
      <c r="G16" s="848">
        <f>IF(C16=0,IF(IFERROR(VLOOKUP(B16,FaturasT!I:I,1,FALSE),0)=B16,(SUMIF(Consulta3[MesAno],'Perdas de Energia'!B16,Consulta3[Proinfa (kWh)])/1000),G15),0)</f>
        <v>72.137</v>
      </c>
      <c r="H16" s="848">
        <f>SUMIF(dados_MercadoBase[AnoMes],'Perdas de Energia'!B16,dados_MercadoBase[TE_E])</f>
        <v>3867.0200000000004</v>
      </c>
      <c r="I16" s="1715">
        <f t="shared" si="0"/>
        <v>812.58499999999935</v>
      </c>
      <c r="J16" s="1716">
        <f t="shared" si="1"/>
        <v>0.17364392934873765</v>
      </c>
    </row>
    <row r="17" spans="2:10">
      <c r="B17" s="1714">
        <f>EDATE(B16,1)</f>
        <v>44774</v>
      </c>
      <c r="C17" s="848">
        <f>IFERROR(VLOOKUP(B17,PerdasDitFinal[#All],2,FALSE),C16)</f>
        <v>0</v>
      </c>
      <c r="D17" s="848">
        <f>IFERROR(VLOOKUP(B17,PerdasDitFinal[#All],3,FALSE),D16)</f>
        <v>0</v>
      </c>
      <c r="E17" s="848">
        <f>IFERROR(VLOOKUP(B17,PerdasDitFinal[#All],4,FALSE),E16)</f>
        <v>0</v>
      </c>
      <c r="F17" s="848">
        <f>IF(C17=0,IF(IFERROR(VLOOKUP(B17,Consulta3[MesAno],1,FALSE),0)='Perdas de Energia'!B17,(SUMIF(FaturasT!I:I,'Perdas de Energia'!B17,FaturasT!N:N)+SUMIF(FaturasT!I:I,'Perdas de Energia'!B17,FaturasT!O:ON))/1000,F16),0)</f>
        <v>4856.2790000000005</v>
      </c>
      <c r="G17" s="848">
        <f>IF(C17=0,IF(IFERROR(VLOOKUP(B17,FaturasT!I:I,1,FALSE),0)=B17,(SUMIF(Consulta3[MesAno],'Perdas de Energia'!B17,Consulta3[Proinfa (kWh)])/1000),G16),0)</f>
        <v>74.742000000000004</v>
      </c>
      <c r="H17" s="848">
        <f>SUMIF(dados_MercadoBase[AnoMes],'Perdas de Energia'!B17,dados_MercadoBase[TE_E])</f>
        <v>4243.0410000000002</v>
      </c>
      <c r="I17" s="1715">
        <f>C17-D17-E17+F17-H17+G17</f>
        <v>687.98000000000025</v>
      </c>
      <c r="J17" s="1716">
        <f t="shared" si="1"/>
        <v>0.1395208010673652</v>
      </c>
    </row>
    <row r="18" spans="2:10">
      <c r="B18" s="1697" t="s">
        <v>769</v>
      </c>
      <c r="C18" s="1114">
        <f t="shared" ref="C18:G18" si="3">SUM(C6:C17)</f>
        <v>0</v>
      </c>
      <c r="D18" s="1114">
        <f t="shared" si="3"/>
        <v>0</v>
      </c>
      <c r="E18" s="1114">
        <f t="shared" si="3"/>
        <v>0</v>
      </c>
      <c r="F18" s="1114">
        <f t="shared" si="3"/>
        <v>59492.172000000006</v>
      </c>
      <c r="G18" s="1114">
        <f t="shared" si="3"/>
        <v>912.27300000000014</v>
      </c>
      <c r="H18" s="1114">
        <f>SUM(H6:H17)</f>
        <v>51699.664999999994</v>
      </c>
      <c r="I18" s="1114">
        <f>SUM(I6:I17)</f>
        <v>8704.779999999997</v>
      </c>
      <c r="J18" s="1698">
        <f>I18/(C18-D18-E18+F18+G18)</f>
        <v>0.14410826885339309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topLeftCell="D1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29" t="s">
        <v>952</v>
      </c>
      <c r="C1" s="1018"/>
      <c r="D1" s="1268"/>
      <c r="E1" s="1269"/>
      <c r="F1" s="1269"/>
      <c r="G1" s="1128" t="s">
        <v>873</v>
      </c>
      <c r="H1" s="1228">
        <f ca="1">LnkTXTIRTEco</f>
        <v>0.1018</v>
      </c>
    </row>
    <row r="2" spans="1:16" ht="46.5" customHeight="1">
      <c r="B2" s="136" t="str">
        <f>CAPA!C9</f>
        <v>Cerej</v>
      </c>
      <c r="C2" s="70"/>
      <c r="D2" s="70"/>
      <c r="G2" s="120" t="s">
        <v>877</v>
      </c>
      <c r="H2" s="146">
        <f ca="1">LnkTXTIRTTotal</f>
        <v>-0.31169999999999998</v>
      </c>
      <c r="I2" s="90" t="s">
        <v>1231</v>
      </c>
    </row>
    <row r="3" spans="1:16">
      <c r="B3" s="1270" t="s">
        <v>1232</v>
      </c>
      <c r="C3" s="1271">
        <f>SUMPRODUCT(J6:J44,H6:H44)</f>
        <v>7250869.556640001</v>
      </c>
      <c r="D3" s="73"/>
      <c r="E3" s="1270" t="s">
        <v>1123</v>
      </c>
      <c r="F3" s="68" t="s">
        <v>1233</v>
      </c>
      <c r="G3" s="1272">
        <f>LnkTXTDescTusdAnte</f>
        <v>0</v>
      </c>
      <c r="H3" s="90"/>
      <c r="I3" s="1273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4" t="s">
        <v>27</v>
      </c>
      <c r="C5" s="1274" t="s">
        <v>21</v>
      </c>
      <c r="D5" s="1274" t="s">
        <v>22</v>
      </c>
      <c r="E5" s="1274" t="s">
        <v>78</v>
      </c>
      <c r="F5" s="1274" t="s">
        <v>817</v>
      </c>
      <c r="G5" s="1274" t="s">
        <v>1235</v>
      </c>
      <c r="H5" s="1274" t="s">
        <v>60</v>
      </c>
      <c r="I5" s="1274" t="s">
        <v>1124</v>
      </c>
      <c r="J5" s="1274" t="s">
        <v>1125</v>
      </c>
      <c r="L5" s="68"/>
      <c r="M5" s="69"/>
    </row>
    <row r="6" spans="1:16">
      <c r="A6" s="68">
        <v>5697</v>
      </c>
      <c r="B6" s="147" t="s">
        <v>2344</v>
      </c>
      <c r="C6" s="147" t="s">
        <v>2036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170003.1</v>
      </c>
      <c r="H6" s="147">
        <f>IF(B6="","",IF(LEFT(D6,7)="Demanda",G6,G6/1000))</f>
        <v>170003.1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N6" s="69"/>
    </row>
    <row r="7" spans="1:16">
      <c r="A7" s="68">
        <v>5697</v>
      </c>
      <c r="B7" s="147" t="s">
        <v>2344</v>
      </c>
      <c r="C7" s="147" t="s">
        <v>2036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172415.80000000002</v>
      </c>
      <c r="H7" s="147">
        <f t="shared" ref="H7:H30" si="3">IF(B7="","",IF(LEFT(D7,7)="Demanda",G7,G7/1000))</f>
        <v>172415.80000000002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  <c r="L7" s="1737"/>
    </row>
    <row r="8" spans="1:16">
      <c r="A8" s="68">
        <v>5697</v>
      </c>
      <c r="B8" s="147" t="s">
        <v>2344</v>
      </c>
      <c r="C8" s="147" t="s">
        <v>2036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53427244</v>
      </c>
      <c r="H8" s="147">
        <f t="shared" si="3"/>
        <v>53427.243999999999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2344</v>
      </c>
      <c r="C9" s="147" t="s">
        <v>2036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6886600</v>
      </c>
      <c r="H9" s="147">
        <f t="shared" si="3"/>
        <v>6886.6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19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4" t="s">
        <v>635</v>
      </c>
      <c r="C1" s="1018">
        <f>Resultado!C1</f>
        <v>0</v>
      </c>
      <c r="D1" s="1225"/>
      <c r="E1" s="1226"/>
      <c r="F1" s="1227"/>
      <c r="G1" s="1128" t="s">
        <v>873</v>
      </c>
      <c r="H1" s="1228">
        <f ca="1">LnkTXTIRTEco</f>
        <v>0.1018</v>
      </c>
    </row>
    <row r="2" spans="2:27">
      <c r="B2" s="136" t="str">
        <f>CAPA!C9</f>
        <v>Cerej</v>
      </c>
      <c r="C2" s="70"/>
      <c r="D2" s="70"/>
      <c r="G2" s="120" t="s">
        <v>877</v>
      </c>
      <c r="H2" s="146">
        <f ca="1">LnkTXTIRTTotal</f>
        <v>-0.31169999999999998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29" t="s">
        <v>1153</v>
      </c>
      <c r="C6" s="1229"/>
      <c r="D6" s="1229"/>
      <c r="E6" s="1229"/>
      <c r="F6" s="1229"/>
      <c r="G6" s="1229"/>
      <c r="H6" s="1229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0" t="s">
        <v>778</v>
      </c>
      <c r="C8" s="1230" t="s">
        <v>1154</v>
      </c>
      <c r="D8" s="1230" t="s">
        <v>1155</v>
      </c>
      <c r="E8" s="1230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1" t="s">
        <v>1157</v>
      </c>
      <c r="C10" s="1232">
        <f>SUMIFS($M$18:$M$63,$D$18:$D$63,"Fora Ponta")</f>
        <v>0</v>
      </c>
      <c r="D10" s="1232">
        <f>SUMIFS($J$18:$J$63,$D$18:$D$63,"Fora Ponta")</f>
        <v>0</v>
      </c>
      <c r="E10" s="1232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3" t="s">
        <v>1158</v>
      </c>
      <c r="G14" s="1234"/>
      <c r="H14" s="1234"/>
      <c r="I14" s="1234"/>
      <c r="J14" s="1234"/>
      <c r="K14" s="1234"/>
      <c r="L14" s="1234"/>
      <c r="M14" s="1234"/>
      <c r="N14" s="1234"/>
      <c r="O14" s="1234"/>
      <c r="P14" s="1234"/>
      <c r="Q14" s="1234"/>
      <c r="R14" s="1235"/>
    </row>
    <row r="15" spans="2:27">
      <c r="B15" s="1807" t="s">
        <v>1159</v>
      </c>
      <c r="C15" s="1808" t="s">
        <v>1160</v>
      </c>
      <c r="D15" s="1809" t="s">
        <v>78</v>
      </c>
      <c r="E15" s="1810" t="s">
        <v>1161</v>
      </c>
      <c r="F15" s="1810"/>
      <c r="G15" s="1810"/>
      <c r="H15" s="1811"/>
      <c r="I15" s="1812" t="s">
        <v>1162</v>
      </c>
      <c r="J15" s="1813"/>
      <c r="K15" s="1813"/>
      <c r="L15" s="1813"/>
      <c r="M15" s="1814" t="s">
        <v>1163</v>
      </c>
      <c r="N15" s="1815"/>
      <c r="O15" s="1815"/>
      <c r="P15" s="1815"/>
      <c r="Q15" s="1815"/>
      <c r="R15" s="1815"/>
      <c r="S15" s="1815"/>
      <c r="T15" s="1815"/>
      <c r="U15" s="1815"/>
      <c r="V15" s="1815"/>
      <c r="W15" s="1815"/>
      <c r="X15" s="1815"/>
      <c r="Y15" s="1815"/>
      <c r="Z15" s="65"/>
      <c r="AA15" s="382"/>
    </row>
    <row r="16" spans="2:27">
      <c r="B16" s="1807"/>
      <c r="C16" s="1808"/>
      <c r="D16" s="1809"/>
      <c r="E16" s="1818" t="s">
        <v>110</v>
      </c>
      <c r="F16" s="1819"/>
      <c r="G16" s="1819" t="s">
        <v>1164</v>
      </c>
      <c r="H16" s="1820"/>
      <c r="I16" s="1821" t="s">
        <v>110</v>
      </c>
      <c r="J16" s="1822"/>
      <c r="K16" s="1822" t="s">
        <v>1164</v>
      </c>
      <c r="L16" s="1823"/>
      <c r="M16" s="1816"/>
      <c r="N16" s="1817"/>
      <c r="O16" s="1817"/>
      <c r="P16" s="1817"/>
      <c r="Q16" s="1817"/>
      <c r="R16" s="1817"/>
      <c r="S16" s="1817"/>
      <c r="T16" s="1817"/>
      <c r="U16" s="1817"/>
      <c r="V16" s="1817"/>
      <c r="W16" s="1817"/>
      <c r="X16" s="1817"/>
      <c r="Y16" s="1817"/>
      <c r="Z16" s="65"/>
      <c r="AA16" s="382"/>
    </row>
    <row r="17" spans="2:27">
      <c r="B17" s="1807"/>
      <c r="C17" s="1808"/>
      <c r="D17" s="1809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6">
        <f>RBBD!B3</f>
        <v>0</v>
      </c>
      <c r="C18" s="1236">
        <f>RBBD!C3</f>
        <v>0</v>
      </c>
      <c r="D18" s="1236">
        <f>RBBD!D3</f>
        <v>0</v>
      </c>
      <c r="E18" s="1236">
        <f>RBBD!E3</f>
        <v>0</v>
      </c>
      <c r="F18" s="1236">
        <f>RBBD!F3</f>
        <v>0</v>
      </c>
      <c r="G18" s="1236">
        <f>RBBD!G3</f>
        <v>0</v>
      </c>
      <c r="H18" s="1236">
        <f>RBBD!H3</f>
        <v>0</v>
      </c>
      <c r="I18" s="1236">
        <f>E18*$M18</f>
        <v>0</v>
      </c>
      <c r="J18" s="1236">
        <f>F18*$M18</f>
        <v>0</v>
      </c>
      <c r="K18" s="1236">
        <f>G18*$M18</f>
        <v>0</v>
      </c>
      <c r="L18" s="1236">
        <f>H18*$M18</f>
        <v>0</v>
      </c>
      <c r="M18" s="1236">
        <f>SUM(N18:Y18)</f>
        <v>0</v>
      </c>
      <c r="N18" s="1236">
        <f>RBBD!I3</f>
        <v>0</v>
      </c>
      <c r="O18" s="1236">
        <f>RBBD!J3</f>
        <v>0</v>
      </c>
      <c r="P18" s="1236">
        <f>RBBD!K3</f>
        <v>0</v>
      </c>
      <c r="Q18" s="1236">
        <f>RBBD!L3</f>
        <v>0</v>
      </c>
      <c r="R18" s="1236">
        <f>RBBD!M3</f>
        <v>0</v>
      </c>
      <c r="S18" s="1236">
        <f>RBBD!N3</f>
        <v>0</v>
      </c>
      <c r="T18" s="1236">
        <f>RBBD!O3</f>
        <v>0</v>
      </c>
      <c r="U18" s="1236">
        <f>RBBD!P3</f>
        <v>0</v>
      </c>
      <c r="V18" s="1236">
        <f>RBBD!Q3</f>
        <v>0</v>
      </c>
      <c r="W18" s="1236">
        <f>RBBD!R3</f>
        <v>0</v>
      </c>
      <c r="X18" s="1236">
        <f>RBBD!S3</f>
        <v>0</v>
      </c>
      <c r="Y18" s="1236">
        <f>RBBD!T3</f>
        <v>0</v>
      </c>
      <c r="Z18" s="65"/>
      <c r="AA18" s="324">
        <f t="shared" ref="AA18:AA23" si="1">IF(B18=0,0,1)</f>
        <v>0</v>
      </c>
    </row>
    <row r="19" spans="2:27" hidden="1">
      <c r="B19" s="1236">
        <f>RBBD!B4</f>
        <v>0</v>
      </c>
      <c r="C19" s="1236">
        <f>RBBD!C4</f>
        <v>0</v>
      </c>
      <c r="D19" s="1236">
        <f>RBBD!D4</f>
        <v>0</v>
      </c>
      <c r="E19" s="1236">
        <f>RBBD!E4</f>
        <v>0</v>
      </c>
      <c r="F19" s="1236">
        <f>RBBD!F4</f>
        <v>0</v>
      </c>
      <c r="G19" s="1236">
        <f>RBBD!G4</f>
        <v>0</v>
      </c>
      <c r="H19" s="1236">
        <f>RBBD!H4</f>
        <v>0</v>
      </c>
      <c r="I19" s="1236">
        <f t="shared" ref="I19:L60" si="2">E19*$M19</f>
        <v>0</v>
      </c>
      <c r="J19" s="1236">
        <f t="shared" si="2"/>
        <v>0</v>
      </c>
      <c r="K19" s="1236">
        <f t="shared" si="2"/>
        <v>0</v>
      </c>
      <c r="L19" s="1236">
        <f t="shared" si="2"/>
        <v>0</v>
      </c>
      <c r="M19" s="1236">
        <f t="shared" ref="M19:M60" si="3">SUM(N19:Y19)</f>
        <v>0</v>
      </c>
      <c r="N19" s="1236">
        <f>RBBD!I4</f>
        <v>0</v>
      </c>
      <c r="O19" s="1236">
        <f>RBBD!J4</f>
        <v>0</v>
      </c>
      <c r="P19" s="1236">
        <f>RBBD!K4</f>
        <v>0</v>
      </c>
      <c r="Q19" s="1236">
        <f>RBBD!L4</f>
        <v>0</v>
      </c>
      <c r="R19" s="1236">
        <f>RBBD!M4</f>
        <v>0</v>
      </c>
      <c r="S19" s="1236">
        <f>RBBD!N4</f>
        <v>0</v>
      </c>
      <c r="T19" s="1236">
        <f>RBBD!O4</f>
        <v>0</v>
      </c>
      <c r="U19" s="1236">
        <f>RBBD!P4</f>
        <v>0</v>
      </c>
      <c r="V19" s="1236">
        <f>RBBD!Q4</f>
        <v>0</v>
      </c>
      <c r="W19" s="1236">
        <f>RBBD!R4</f>
        <v>0</v>
      </c>
      <c r="X19" s="1236">
        <f>RBBD!S4</f>
        <v>0</v>
      </c>
      <c r="Y19" s="1236">
        <f>RBBD!T4</f>
        <v>0</v>
      </c>
      <c r="Z19" s="65"/>
      <c r="AA19" s="324">
        <f t="shared" si="1"/>
        <v>0</v>
      </c>
    </row>
    <row r="20" spans="2:27" hidden="1">
      <c r="B20" s="1236">
        <f>RBBD!B5</f>
        <v>0</v>
      </c>
      <c r="C20" s="1236">
        <f>RBBD!C5</f>
        <v>0</v>
      </c>
      <c r="D20" s="1236">
        <f>RBBD!D5</f>
        <v>0</v>
      </c>
      <c r="E20" s="1236">
        <f>RBBD!E5</f>
        <v>0</v>
      </c>
      <c r="F20" s="1236">
        <f>RBBD!F5</f>
        <v>0</v>
      </c>
      <c r="G20" s="1236">
        <f>RBBD!G5</f>
        <v>0</v>
      </c>
      <c r="H20" s="1236">
        <f>RBBD!H5</f>
        <v>0</v>
      </c>
      <c r="I20" s="1236">
        <f t="shared" si="2"/>
        <v>0</v>
      </c>
      <c r="J20" s="1236">
        <f t="shared" si="2"/>
        <v>0</v>
      </c>
      <c r="K20" s="1236">
        <f t="shared" si="2"/>
        <v>0</v>
      </c>
      <c r="L20" s="1236">
        <f t="shared" si="2"/>
        <v>0</v>
      </c>
      <c r="M20" s="1236">
        <f t="shared" si="3"/>
        <v>0</v>
      </c>
      <c r="N20" s="1236">
        <f>RBBD!I5</f>
        <v>0</v>
      </c>
      <c r="O20" s="1236">
        <f>RBBD!J5</f>
        <v>0</v>
      </c>
      <c r="P20" s="1236">
        <f>RBBD!K5</f>
        <v>0</v>
      </c>
      <c r="Q20" s="1236">
        <f>RBBD!L5</f>
        <v>0</v>
      </c>
      <c r="R20" s="1236">
        <f>RBBD!M5</f>
        <v>0</v>
      </c>
      <c r="S20" s="1236">
        <f>RBBD!N5</f>
        <v>0</v>
      </c>
      <c r="T20" s="1236">
        <f>RBBD!O5</f>
        <v>0</v>
      </c>
      <c r="U20" s="1236">
        <f>RBBD!P5</f>
        <v>0</v>
      </c>
      <c r="V20" s="1236">
        <f>RBBD!Q5</f>
        <v>0</v>
      </c>
      <c r="W20" s="1236">
        <f>RBBD!R5</f>
        <v>0</v>
      </c>
      <c r="X20" s="1236">
        <f>RBBD!S5</f>
        <v>0</v>
      </c>
      <c r="Y20" s="1236">
        <f>RBBD!T5</f>
        <v>0</v>
      </c>
      <c r="Z20" s="65"/>
      <c r="AA20" s="324">
        <f t="shared" si="1"/>
        <v>0</v>
      </c>
    </row>
    <row r="21" spans="2:27" hidden="1">
      <c r="B21" s="1236">
        <f>RBBD!B6</f>
        <v>0</v>
      </c>
      <c r="C21" s="1236">
        <f>RBBD!C6</f>
        <v>0</v>
      </c>
      <c r="D21" s="1236">
        <f>RBBD!D6</f>
        <v>0</v>
      </c>
      <c r="E21" s="1236">
        <f>RBBD!E6</f>
        <v>0</v>
      </c>
      <c r="F21" s="1236">
        <f>RBBD!F6</f>
        <v>0</v>
      </c>
      <c r="G21" s="1236">
        <f>RBBD!G6</f>
        <v>0</v>
      </c>
      <c r="H21" s="1236">
        <f>RBBD!H6</f>
        <v>0</v>
      </c>
      <c r="I21" s="1236">
        <f t="shared" si="2"/>
        <v>0</v>
      </c>
      <c r="J21" s="1236">
        <f t="shared" si="2"/>
        <v>0</v>
      </c>
      <c r="K21" s="1236">
        <f t="shared" si="2"/>
        <v>0</v>
      </c>
      <c r="L21" s="1236">
        <f t="shared" si="2"/>
        <v>0</v>
      </c>
      <c r="M21" s="1236">
        <f t="shared" si="3"/>
        <v>0</v>
      </c>
      <c r="N21" s="1236">
        <f>RBBD!I6</f>
        <v>0</v>
      </c>
      <c r="O21" s="1236">
        <f>RBBD!J6</f>
        <v>0</v>
      </c>
      <c r="P21" s="1236">
        <f>RBBD!K6</f>
        <v>0</v>
      </c>
      <c r="Q21" s="1236">
        <f>RBBD!L6</f>
        <v>0</v>
      </c>
      <c r="R21" s="1236">
        <f>RBBD!M6</f>
        <v>0</v>
      </c>
      <c r="S21" s="1236">
        <f>RBBD!N6</f>
        <v>0</v>
      </c>
      <c r="T21" s="1236">
        <f>RBBD!O6</f>
        <v>0</v>
      </c>
      <c r="U21" s="1236">
        <f>RBBD!P6</f>
        <v>0</v>
      </c>
      <c r="V21" s="1236">
        <f>RBBD!Q6</f>
        <v>0</v>
      </c>
      <c r="W21" s="1236">
        <f>RBBD!R6</f>
        <v>0</v>
      </c>
      <c r="X21" s="1236">
        <f>RBBD!S6</f>
        <v>0</v>
      </c>
      <c r="Y21" s="1236">
        <f>RBBD!T6</f>
        <v>0</v>
      </c>
      <c r="Z21" s="65"/>
      <c r="AA21" s="324">
        <f t="shared" si="1"/>
        <v>0</v>
      </c>
    </row>
    <row r="22" spans="2:27" hidden="1">
      <c r="B22" s="1236">
        <f>RBBD!B7</f>
        <v>0</v>
      </c>
      <c r="C22" s="1236">
        <f>RBBD!C7</f>
        <v>0</v>
      </c>
      <c r="D22" s="1236">
        <f>RBBD!D7</f>
        <v>0</v>
      </c>
      <c r="E22" s="1236">
        <f>RBBD!E7</f>
        <v>0</v>
      </c>
      <c r="F22" s="1236">
        <f>RBBD!F7</f>
        <v>0</v>
      </c>
      <c r="G22" s="1236">
        <f>RBBD!G7</f>
        <v>0</v>
      </c>
      <c r="H22" s="1236">
        <f>RBBD!H7</f>
        <v>0</v>
      </c>
      <c r="I22" s="1236">
        <f t="shared" si="2"/>
        <v>0</v>
      </c>
      <c r="J22" s="1236">
        <f t="shared" si="2"/>
        <v>0</v>
      </c>
      <c r="K22" s="1236">
        <f t="shared" si="2"/>
        <v>0</v>
      </c>
      <c r="L22" s="1236">
        <f t="shared" si="2"/>
        <v>0</v>
      </c>
      <c r="M22" s="1236">
        <f t="shared" si="3"/>
        <v>0</v>
      </c>
      <c r="N22" s="1236">
        <f>RBBD!I7</f>
        <v>0</v>
      </c>
      <c r="O22" s="1236">
        <f>RBBD!J7</f>
        <v>0</v>
      </c>
      <c r="P22" s="1236">
        <f>RBBD!K7</f>
        <v>0</v>
      </c>
      <c r="Q22" s="1236">
        <f>RBBD!L7</f>
        <v>0</v>
      </c>
      <c r="R22" s="1236">
        <f>RBBD!M7</f>
        <v>0</v>
      </c>
      <c r="S22" s="1236">
        <f>RBBD!N7</f>
        <v>0</v>
      </c>
      <c r="T22" s="1236">
        <f>RBBD!O7</f>
        <v>0</v>
      </c>
      <c r="U22" s="1236">
        <f>RBBD!P7</f>
        <v>0</v>
      </c>
      <c r="V22" s="1236">
        <f>RBBD!Q7</f>
        <v>0</v>
      </c>
      <c r="W22" s="1236">
        <f>RBBD!R7</f>
        <v>0</v>
      </c>
      <c r="X22" s="1236">
        <f>RBBD!S7</f>
        <v>0</v>
      </c>
      <c r="Y22" s="1236">
        <f>RBBD!T7</f>
        <v>0</v>
      </c>
      <c r="Z22" s="65"/>
      <c r="AA22" s="324">
        <f t="shared" si="1"/>
        <v>0</v>
      </c>
    </row>
    <row r="23" spans="2:27" hidden="1">
      <c r="B23" s="1236">
        <f>RBBD!B8</f>
        <v>0</v>
      </c>
      <c r="C23" s="1236">
        <f>RBBD!C8</f>
        <v>0</v>
      </c>
      <c r="D23" s="1236">
        <f>RBBD!D8</f>
        <v>0</v>
      </c>
      <c r="E23" s="1236">
        <f>RBBD!E8</f>
        <v>0</v>
      </c>
      <c r="F23" s="1236">
        <f>RBBD!F8</f>
        <v>0</v>
      </c>
      <c r="G23" s="1236">
        <f>RBBD!G8</f>
        <v>0</v>
      </c>
      <c r="H23" s="1236">
        <f>RBBD!H8</f>
        <v>0</v>
      </c>
      <c r="I23" s="1236">
        <f t="shared" si="2"/>
        <v>0</v>
      </c>
      <c r="J23" s="1236">
        <f t="shared" si="2"/>
        <v>0</v>
      </c>
      <c r="K23" s="1236">
        <f t="shared" si="2"/>
        <v>0</v>
      </c>
      <c r="L23" s="1236">
        <f t="shared" si="2"/>
        <v>0</v>
      </c>
      <c r="M23" s="1236">
        <f t="shared" si="3"/>
        <v>0</v>
      </c>
      <c r="N23" s="1236">
        <f>RBBD!I8</f>
        <v>0</v>
      </c>
      <c r="O23" s="1236">
        <f>RBBD!J8</f>
        <v>0</v>
      </c>
      <c r="P23" s="1236">
        <f>RBBD!K8</f>
        <v>0</v>
      </c>
      <c r="Q23" s="1236">
        <f>RBBD!L8</f>
        <v>0</v>
      </c>
      <c r="R23" s="1236">
        <f>RBBD!M8</f>
        <v>0</v>
      </c>
      <c r="S23" s="1236">
        <f>RBBD!N8</f>
        <v>0</v>
      </c>
      <c r="T23" s="1236">
        <f>RBBD!O8</f>
        <v>0</v>
      </c>
      <c r="U23" s="1236">
        <f>RBBD!P8</f>
        <v>0</v>
      </c>
      <c r="V23" s="1236">
        <f>RBBD!Q8</f>
        <v>0</v>
      </c>
      <c r="W23" s="1236">
        <f>RBBD!R8</f>
        <v>0</v>
      </c>
      <c r="X23" s="1236">
        <f>RBBD!S8</f>
        <v>0</v>
      </c>
      <c r="Y23" s="1236">
        <f>RBBD!T8</f>
        <v>0</v>
      </c>
      <c r="Z23" s="65"/>
      <c r="AA23" s="324">
        <f t="shared" si="1"/>
        <v>0</v>
      </c>
    </row>
    <row r="24" spans="2:27" hidden="1">
      <c r="B24" s="1236">
        <f>RBBD!B9</f>
        <v>0</v>
      </c>
      <c r="C24" s="1236">
        <f>RBBD!C9</f>
        <v>0</v>
      </c>
      <c r="D24" s="1236">
        <f>RBBD!D9</f>
        <v>0</v>
      </c>
      <c r="E24" s="1236">
        <f>RBBD!E9</f>
        <v>0</v>
      </c>
      <c r="F24" s="1236">
        <f>RBBD!F9</f>
        <v>0</v>
      </c>
      <c r="G24" s="1236">
        <f>RBBD!G9</f>
        <v>0</v>
      </c>
      <c r="H24" s="1236">
        <f>RBBD!H9</f>
        <v>0</v>
      </c>
      <c r="I24" s="1236">
        <f t="shared" si="2"/>
        <v>0</v>
      </c>
      <c r="J24" s="1236">
        <f t="shared" si="2"/>
        <v>0</v>
      </c>
      <c r="K24" s="1236">
        <f t="shared" si="2"/>
        <v>0</v>
      </c>
      <c r="L24" s="1236">
        <f t="shared" si="2"/>
        <v>0</v>
      </c>
      <c r="M24" s="1236">
        <f t="shared" si="3"/>
        <v>0</v>
      </c>
      <c r="N24" s="1236">
        <f>RBBD!I9</f>
        <v>0</v>
      </c>
      <c r="O24" s="1236">
        <f>RBBD!J9</f>
        <v>0</v>
      </c>
      <c r="P24" s="1236">
        <f>RBBD!K9</f>
        <v>0</v>
      </c>
      <c r="Q24" s="1236">
        <f>RBBD!L9</f>
        <v>0</v>
      </c>
      <c r="R24" s="1236">
        <f>RBBD!M9</f>
        <v>0</v>
      </c>
      <c r="S24" s="1236">
        <f>RBBD!N9</f>
        <v>0</v>
      </c>
      <c r="T24" s="1236">
        <f>RBBD!O9</f>
        <v>0</v>
      </c>
      <c r="U24" s="1236">
        <f>RBBD!P9</f>
        <v>0</v>
      </c>
      <c r="V24" s="1236">
        <f>RBBD!Q9</f>
        <v>0</v>
      </c>
      <c r="W24" s="1236">
        <f>RBBD!R9</f>
        <v>0</v>
      </c>
      <c r="X24" s="1236">
        <f>RBBD!S9</f>
        <v>0</v>
      </c>
      <c r="Y24" s="1236">
        <f>RBBD!T9</f>
        <v>0</v>
      </c>
      <c r="Z24" s="65"/>
      <c r="AA24" s="324">
        <f t="shared" ref="AA24:AA38" si="4">IF(B24=0,0,1)</f>
        <v>0</v>
      </c>
    </row>
    <row r="25" spans="2:27" hidden="1">
      <c r="B25" s="1236">
        <f>RBBD!B10</f>
        <v>0</v>
      </c>
      <c r="C25" s="1236">
        <f>RBBD!C10</f>
        <v>0</v>
      </c>
      <c r="D25" s="1236">
        <f>RBBD!D10</f>
        <v>0</v>
      </c>
      <c r="E25" s="1236">
        <f>RBBD!E10</f>
        <v>0</v>
      </c>
      <c r="F25" s="1236">
        <f>RBBD!F10</f>
        <v>0</v>
      </c>
      <c r="G25" s="1236">
        <f>RBBD!G10</f>
        <v>0</v>
      </c>
      <c r="H25" s="1236">
        <f>RBBD!H10</f>
        <v>0</v>
      </c>
      <c r="I25" s="1236">
        <f t="shared" si="2"/>
        <v>0</v>
      </c>
      <c r="J25" s="1236">
        <f t="shared" si="2"/>
        <v>0</v>
      </c>
      <c r="K25" s="1236">
        <f t="shared" si="2"/>
        <v>0</v>
      </c>
      <c r="L25" s="1236">
        <f t="shared" si="2"/>
        <v>0</v>
      </c>
      <c r="M25" s="1236">
        <f t="shared" si="3"/>
        <v>0</v>
      </c>
      <c r="N25" s="1236">
        <f>RBBD!I10</f>
        <v>0</v>
      </c>
      <c r="O25" s="1236">
        <f>RBBD!J10</f>
        <v>0</v>
      </c>
      <c r="P25" s="1236">
        <f>RBBD!K10</f>
        <v>0</v>
      </c>
      <c r="Q25" s="1236">
        <f>RBBD!L10</f>
        <v>0</v>
      </c>
      <c r="R25" s="1236">
        <f>RBBD!M10</f>
        <v>0</v>
      </c>
      <c r="S25" s="1236">
        <f>RBBD!N10</f>
        <v>0</v>
      </c>
      <c r="T25" s="1236">
        <f>RBBD!O10</f>
        <v>0</v>
      </c>
      <c r="U25" s="1236">
        <f>RBBD!P10</f>
        <v>0</v>
      </c>
      <c r="V25" s="1236">
        <f>RBBD!Q10</f>
        <v>0</v>
      </c>
      <c r="W25" s="1236">
        <f>RBBD!R10</f>
        <v>0</v>
      </c>
      <c r="X25" s="1236">
        <f>RBBD!S10</f>
        <v>0</v>
      </c>
      <c r="Y25" s="1236">
        <f>RBBD!T10</f>
        <v>0</v>
      </c>
      <c r="Z25" s="65"/>
      <c r="AA25" s="324">
        <f t="shared" si="4"/>
        <v>0</v>
      </c>
    </row>
    <row r="26" spans="2:27" hidden="1">
      <c r="B26" s="1236">
        <f>RBBD!B11</f>
        <v>0</v>
      </c>
      <c r="C26" s="1236">
        <f>RBBD!C11</f>
        <v>0</v>
      </c>
      <c r="D26" s="1236">
        <f>RBBD!D11</f>
        <v>0</v>
      </c>
      <c r="E26" s="1236">
        <f>RBBD!E11</f>
        <v>0</v>
      </c>
      <c r="F26" s="1236">
        <f>RBBD!F11</f>
        <v>0</v>
      </c>
      <c r="G26" s="1236">
        <f>RBBD!G11</f>
        <v>0</v>
      </c>
      <c r="H26" s="1236">
        <f>RBBD!H11</f>
        <v>0</v>
      </c>
      <c r="I26" s="1236">
        <f t="shared" si="2"/>
        <v>0</v>
      </c>
      <c r="J26" s="1236">
        <f t="shared" si="2"/>
        <v>0</v>
      </c>
      <c r="K26" s="1236">
        <f t="shared" si="2"/>
        <v>0</v>
      </c>
      <c r="L26" s="1236">
        <f t="shared" si="2"/>
        <v>0</v>
      </c>
      <c r="M26" s="1236">
        <f t="shared" si="3"/>
        <v>0</v>
      </c>
      <c r="N26" s="1236">
        <f>RBBD!I11</f>
        <v>0</v>
      </c>
      <c r="O26" s="1236">
        <f>RBBD!J11</f>
        <v>0</v>
      </c>
      <c r="P26" s="1236">
        <f>RBBD!K11</f>
        <v>0</v>
      </c>
      <c r="Q26" s="1236">
        <f>RBBD!L11</f>
        <v>0</v>
      </c>
      <c r="R26" s="1236">
        <f>RBBD!M11</f>
        <v>0</v>
      </c>
      <c r="S26" s="1236">
        <f>RBBD!N11</f>
        <v>0</v>
      </c>
      <c r="T26" s="1236">
        <f>RBBD!O11</f>
        <v>0</v>
      </c>
      <c r="U26" s="1236">
        <f>RBBD!P11</f>
        <v>0</v>
      </c>
      <c r="V26" s="1236">
        <f>RBBD!Q11</f>
        <v>0</v>
      </c>
      <c r="W26" s="1236">
        <f>RBBD!R11</f>
        <v>0</v>
      </c>
      <c r="X26" s="1236">
        <f>RBBD!S11</f>
        <v>0</v>
      </c>
      <c r="Y26" s="1236">
        <f>RBBD!T11</f>
        <v>0</v>
      </c>
      <c r="Z26" s="65"/>
      <c r="AA26" s="324">
        <f t="shared" si="4"/>
        <v>0</v>
      </c>
    </row>
    <row r="27" spans="2:27" hidden="1">
      <c r="B27" s="1236">
        <f>RBBD!B12</f>
        <v>0</v>
      </c>
      <c r="C27" s="1236">
        <f>RBBD!C12</f>
        <v>0</v>
      </c>
      <c r="D27" s="1236">
        <f>RBBD!D12</f>
        <v>0</v>
      </c>
      <c r="E27" s="1236">
        <f>RBBD!E12</f>
        <v>0</v>
      </c>
      <c r="F27" s="1236">
        <f>RBBD!F12</f>
        <v>0</v>
      </c>
      <c r="G27" s="1236">
        <f>RBBD!G12</f>
        <v>0</v>
      </c>
      <c r="H27" s="1236">
        <f>RBBD!H12</f>
        <v>0</v>
      </c>
      <c r="I27" s="1236">
        <f t="shared" si="2"/>
        <v>0</v>
      </c>
      <c r="J27" s="1236">
        <f t="shared" si="2"/>
        <v>0</v>
      </c>
      <c r="K27" s="1236">
        <f t="shared" si="2"/>
        <v>0</v>
      </c>
      <c r="L27" s="1236">
        <f t="shared" si="2"/>
        <v>0</v>
      </c>
      <c r="M27" s="1236">
        <f t="shared" si="3"/>
        <v>0</v>
      </c>
      <c r="N27" s="1236">
        <f>RBBD!I12</f>
        <v>0</v>
      </c>
      <c r="O27" s="1236">
        <f>RBBD!J12</f>
        <v>0</v>
      </c>
      <c r="P27" s="1236">
        <f>RBBD!K12</f>
        <v>0</v>
      </c>
      <c r="Q27" s="1236">
        <f>RBBD!L12</f>
        <v>0</v>
      </c>
      <c r="R27" s="1236">
        <f>RBBD!M12</f>
        <v>0</v>
      </c>
      <c r="S27" s="1236">
        <f>RBBD!N12</f>
        <v>0</v>
      </c>
      <c r="T27" s="1236">
        <f>RBBD!O12</f>
        <v>0</v>
      </c>
      <c r="U27" s="1236">
        <f>RBBD!P12</f>
        <v>0</v>
      </c>
      <c r="V27" s="1236">
        <f>RBBD!Q12</f>
        <v>0</v>
      </c>
      <c r="W27" s="1236">
        <f>RBBD!R12</f>
        <v>0</v>
      </c>
      <c r="X27" s="1236">
        <f>RBBD!S12</f>
        <v>0</v>
      </c>
      <c r="Y27" s="1236">
        <f>RBBD!T12</f>
        <v>0</v>
      </c>
      <c r="Z27" s="65"/>
      <c r="AA27" s="324">
        <f t="shared" si="4"/>
        <v>0</v>
      </c>
    </row>
    <row r="28" spans="2:27" hidden="1">
      <c r="B28" s="1236">
        <f>RBBD!B13</f>
        <v>0</v>
      </c>
      <c r="C28" s="1236">
        <f>RBBD!C13</f>
        <v>0</v>
      </c>
      <c r="D28" s="1236">
        <f>RBBD!D13</f>
        <v>0</v>
      </c>
      <c r="E28" s="1236">
        <f>RBBD!G13</f>
        <v>0</v>
      </c>
      <c r="F28" s="1236">
        <f>RBBD!H13</f>
        <v>0</v>
      </c>
      <c r="G28" s="1236">
        <f>RBBD!E13</f>
        <v>0</v>
      </c>
      <c r="H28" s="1236">
        <f>RBBD!F13</f>
        <v>0</v>
      </c>
      <c r="I28" s="1236">
        <f t="shared" si="2"/>
        <v>0</v>
      </c>
      <c r="J28" s="1236">
        <f t="shared" si="2"/>
        <v>0</v>
      </c>
      <c r="K28" s="1236">
        <f t="shared" si="2"/>
        <v>0</v>
      </c>
      <c r="L28" s="1236">
        <f t="shared" si="2"/>
        <v>0</v>
      </c>
      <c r="M28" s="1236">
        <f t="shared" si="3"/>
        <v>0</v>
      </c>
      <c r="N28" s="1236">
        <f>RBBD!I13</f>
        <v>0</v>
      </c>
      <c r="O28" s="1236">
        <f>RBBD!J13</f>
        <v>0</v>
      </c>
      <c r="P28" s="1236">
        <f>RBBD!K13</f>
        <v>0</v>
      </c>
      <c r="Q28" s="1236">
        <f>RBBD!L13</f>
        <v>0</v>
      </c>
      <c r="R28" s="1236">
        <f>RBBD!M13</f>
        <v>0</v>
      </c>
      <c r="S28" s="1236">
        <f>RBBD!N13</f>
        <v>0</v>
      </c>
      <c r="T28" s="1236">
        <f>RBBD!O13</f>
        <v>0</v>
      </c>
      <c r="U28" s="1236">
        <f>RBBD!P13</f>
        <v>0</v>
      </c>
      <c r="V28" s="1236">
        <f>RBBD!Q13</f>
        <v>0</v>
      </c>
      <c r="W28" s="1236">
        <f>RBBD!R13</f>
        <v>0</v>
      </c>
      <c r="X28" s="1236">
        <f>RBBD!S13</f>
        <v>0</v>
      </c>
      <c r="Y28" s="1236">
        <f>RBBD!T13</f>
        <v>0</v>
      </c>
      <c r="Z28" s="65"/>
      <c r="AA28" s="324">
        <f t="shared" si="4"/>
        <v>0</v>
      </c>
    </row>
    <row r="29" spans="2:27" hidden="1">
      <c r="B29" s="1236">
        <f>RBBD!B14</f>
        <v>0</v>
      </c>
      <c r="C29" s="1236">
        <f>RBBD!C14</f>
        <v>0</v>
      </c>
      <c r="D29" s="1236">
        <f>RBBD!D14</f>
        <v>0</v>
      </c>
      <c r="E29" s="1236">
        <f>RBBD!G14</f>
        <v>0</v>
      </c>
      <c r="F29" s="1236">
        <f>RBBD!H14</f>
        <v>0</v>
      </c>
      <c r="G29" s="1236">
        <f>RBBD!E14</f>
        <v>0</v>
      </c>
      <c r="H29" s="1236">
        <f>RBBD!F14</f>
        <v>0</v>
      </c>
      <c r="I29" s="1236">
        <f t="shared" si="2"/>
        <v>0</v>
      </c>
      <c r="J29" s="1236">
        <f t="shared" si="2"/>
        <v>0</v>
      </c>
      <c r="K29" s="1236">
        <f t="shared" si="2"/>
        <v>0</v>
      </c>
      <c r="L29" s="1236">
        <f t="shared" si="2"/>
        <v>0</v>
      </c>
      <c r="M29" s="1236">
        <f t="shared" si="3"/>
        <v>0</v>
      </c>
      <c r="N29" s="1236">
        <f>RBBD!I14</f>
        <v>0</v>
      </c>
      <c r="O29" s="1236">
        <f>RBBD!J14</f>
        <v>0</v>
      </c>
      <c r="P29" s="1236">
        <f>RBBD!K14</f>
        <v>0</v>
      </c>
      <c r="Q29" s="1236">
        <f>RBBD!L14</f>
        <v>0</v>
      </c>
      <c r="R29" s="1236">
        <f>RBBD!M14</f>
        <v>0</v>
      </c>
      <c r="S29" s="1236">
        <f>RBBD!N14</f>
        <v>0</v>
      </c>
      <c r="T29" s="1236">
        <f>RBBD!O14</f>
        <v>0</v>
      </c>
      <c r="U29" s="1236">
        <f>RBBD!P14</f>
        <v>0</v>
      </c>
      <c r="V29" s="1236">
        <f>RBBD!Q14</f>
        <v>0</v>
      </c>
      <c r="W29" s="1236">
        <f>RBBD!R14</f>
        <v>0</v>
      </c>
      <c r="X29" s="1236">
        <f>RBBD!S14</f>
        <v>0</v>
      </c>
      <c r="Y29" s="1236">
        <f>RBBD!T14</f>
        <v>0</v>
      </c>
      <c r="Z29" s="65"/>
      <c r="AA29" s="324">
        <f t="shared" si="4"/>
        <v>0</v>
      </c>
    </row>
    <row r="30" spans="2:27" hidden="1">
      <c r="B30" s="1236">
        <f>RBBD!B15</f>
        <v>0</v>
      </c>
      <c r="C30" s="1236">
        <f>RBBD!C15</f>
        <v>0</v>
      </c>
      <c r="D30" s="1236">
        <f>RBBD!D15</f>
        <v>0</v>
      </c>
      <c r="E30" s="1236">
        <f>RBBD!G15</f>
        <v>0</v>
      </c>
      <c r="F30" s="1236">
        <f>RBBD!H15</f>
        <v>0</v>
      </c>
      <c r="G30" s="1236">
        <f>RBBD!E15</f>
        <v>0</v>
      </c>
      <c r="H30" s="1236">
        <f>RBBD!F15</f>
        <v>0</v>
      </c>
      <c r="I30" s="1236">
        <f t="shared" si="2"/>
        <v>0</v>
      </c>
      <c r="J30" s="1236">
        <f t="shared" si="2"/>
        <v>0</v>
      </c>
      <c r="K30" s="1236">
        <f t="shared" si="2"/>
        <v>0</v>
      </c>
      <c r="L30" s="1236">
        <f t="shared" si="2"/>
        <v>0</v>
      </c>
      <c r="M30" s="1236">
        <f t="shared" si="3"/>
        <v>0</v>
      </c>
      <c r="N30" s="1236">
        <f>RBBD!I15</f>
        <v>0</v>
      </c>
      <c r="O30" s="1236">
        <f>RBBD!J15</f>
        <v>0</v>
      </c>
      <c r="P30" s="1236">
        <f>RBBD!K15</f>
        <v>0</v>
      </c>
      <c r="Q30" s="1236">
        <f>RBBD!L15</f>
        <v>0</v>
      </c>
      <c r="R30" s="1236">
        <f>RBBD!M15</f>
        <v>0</v>
      </c>
      <c r="S30" s="1236">
        <f>RBBD!N15</f>
        <v>0</v>
      </c>
      <c r="T30" s="1236">
        <f>RBBD!O15</f>
        <v>0</v>
      </c>
      <c r="U30" s="1236">
        <f>RBBD!P15</f>
        <v>0</v>
      </c>
      <c r="V30" s="1236">
        <f>RBBD!Q15</f>
        <v>0</v>
      </c>
      <c r="W30" s="1236">
        <f>RBBD!R15</f>
        <v>0</v>
      </c>
      <c r="X30" s="1236">
        <f>RBBD!S15</f>
        <v>0</v>
      </c>
      <c r="Y30" s="1236">
        <f>RBBD!T15</f>
        <v>0</v>
      </c>
      <c r="Z30" s="65"/>
      <c r="AA30" s="324">
        <f t="shared" si="4"/>
        <v>0</v>
      </c>
    </row>
    <row r="31" spans="2:27" hidden="1">
      <c r="B31" s="1236">
        <f>RBBD!B16</f>
        <v>0</v>
      </c>
      <c r="C31" s="1236">
        <f>RBBD!C16</f>
        <v>0</v>
      </c>
      <c r="D31" s="1236">
        <f>RBBD!D16</f>
        <v>0</v>
      </c>
      <c r="E31" s="1236">
        <f>RBBD!G16</f>
        <v>0</v>
      </c>
      <c r="F31" s="1236">
        <f>RBBD!H16</f>
        <v>0</v>
      </c>
      <c r="G31" s="1236">
        <f>RBBD!E16</f>
        <v>0</v>
      </c>
      <c r="H31" s="1236">
        <f>RBBD!F16</f>
        <v>0</v>
      </c>
      <c r="I31" s="1236">
        <f t="shared" si="2"/>
        <v>0</v>
      </c>
      <c r="J31" s="1236">
        <f t="shared" si="2"/>
        <v>0</v>
      </c>
      <c r="K31" s="1236">
        <f t="shared" si="2"/>
        <v>0</v>
      </c>
      <c r="L31" s="1236">
        <f t="shared" si="2"/>
        <v>0</v>
      </c>
      <c r="M31" s="1236">
        <f t="shared" si="3"/>
        <v>0</v>
      </c>
      <c r="N31" s="1236">
        <f>RBBD!I16</f>
        <v>0</v>
      </c>
      <c r="O31" s="1236">
        <f>RBBD!J16</f>
        <v>0</v>
      </c>
      <c r="P31" s="1236">
        <f>RBBD!K16</f>
        <v>0</v>
      </c>
      <c r="Q31" s="1236">
        <f>RBBD!L16</f>
        <v>0</v>
      </c>
      <c r="R31" s="1236">
        <f>RBBD!M16</f>
        <v>0</v>
      </c>
      <c r="S31" s="1236">
        <f>RBBD!N16</f>
        <v>0</v>
      </c>
      <c r="T31" s="1236">
        <f>RBBD!O16</f>
        <v>0</v>
      </c>
      <c r="U31" s="1236">
        <f>RBBD!P16</f>
        <v>0</v>
      </c>
      <c r="V31" s="1236">
        <f>RBBD!Q16</f>
        <v>0</v>
      </c>
      <c r="W31" s="1236">
        <f>RBBD!R16</f>
        <v>0</v>
      </c>
      <c r="X31" s="1236">
        <f>RBBD!S16</f>
        <v>0</v>
      </c>
      <c r="Y31" s="1236">
        <f>RBBD!T16</f>
        <v>0</v>
      </c>
      <c r="Z31" s="65"/>
      <c r="AA31" s="324">
        <f t="shared" si="4"/>
        <v>0</v>
      </c>
    </row>
    <row r="32" spans="2:27" hidden="1">
      <c r="B32" s="1236">
        <f>RBBD!B17</f>
        <v>0</v>
      </c>
      <c r="C32" s="1236">
        <f>RBBD!C17</f>
        <v>0</v>
      </c>
      <c r="D32" s="1236">
        <f>RBBD!D17</f>
        <v>0</v>
      </c>
      <c r="E32" s="1236">
        <f>RBBD!G17</f>
        <v>0</v>
      </c>
      <c r="F32" s="1236">
        <f>RBBD!H17</f>
        <v>0</v>
      </c>
      <c r="G32" s="1236">
        <f>RBBD!E17</f>
        <v>0</v>
      </c>
      <c r="H32" s="1236">
        <f>RBBD!F17</f>
        <v>0</v>
      </c>
      <c r="I32" s="1236">
        <f t="shared" si="2"/>
        <v>0</v>
      </c>
      <c r="J32" s="1236">
        <f t="shared" si="2"/>
        <v>0</v>
      </c>
      <c r="K32" s="1236">
        <f t="shared" si="2"/>
        <v>0</v>
      </c>
      <c r="L32" s="1236">
        <f t="shared" si="2"/>
        <v>0</v>
      </c>
      <c r="M32" s="1236">
        <f t="shared" si="3"/>
        <v>0</v>
      </c>
      <c r="N32" s="1236">
        <f>RBBD!I17</f>
        <v>0</v>
      </c>
      <c r="O32" s="1236">
        <f>RBBD!J17</f>
        <v>0</v>
      </c>
      <c r="P32" s="1236">
        <f>RBBD!K17</f>
        <v>0</v>
      </c>
      <c r="Q32" s="1236">
        <f>RBBD!L17</f>
        <v>0</v>
      </c>
      <c r="R32" s="1236">
        <f>RBBD!M17</f>
        <v>0</v>
      </c>
      <c r="S32" s="1236">
        <f>RBBD!N17</f>
        <v>0</v>
      </c>
      <c r="T32" s="1236">
        <f>RBBD!O17</f>
        <v>0</v>
      </c>
      <c r="U32" s="1236">
        <f>RBBD!P17</f>
        <v>0</v>
      </c>
      <c r="V32" s="1236">
        <f>RBBD!Q17</f>
        <v>0</v>
      </c>
      <c r="W32" s="1236">
        <f>RBBD!R17</f>
        <v>0</v>
      </c>
      <c r="X32" s="1236">
        <f>RBBD!S17</f>
        <v>0</v>
      </c>
      <c r="Y32" s="1236">
        <f>RBBD!T17</f>
        <v>0</v>
      </c>
      <c r="Z32" s="65"/>
      <c r="AA32" s="324">
        <f t="shared" si="4"/>
        <v>0</v>
      </c>
    </row>
    <row r="33" spans="2:27" hidden="1">
      <c r="B33" s="1236">
        <f>RBBD!B18</f>
        <v>0</v>
      </c>
      <c r="C33" s="1236">
        <f>RBBD!C18</f>
        <v>0</v>
      </c>
      <c r="D33" s="1236">
        <f>RBBD!D18</f>
        <v>0</v>
      </c>
      <c r="E33" s="1236">
        <f>RBBD!G18</f>
        <v>0</v>
      </c>
      <c r="F33" s="1236">
        <f>RBBD!H18</f>
        <v>0</v>
      </c>
      <c r="G33" s="1236">
        <f>RBBD!E18</f>
        <v>0</v>
      </c>
      <c r="H33" s="1236">
        <f>RBBD!F18</f>
        <v>0</v>
      </c>
      <c r="I33" s="1236">
        <f t="shared" si="2"/>
        <v>0</v>
      </c>
      <c r="J33" s="1236">
        <f t="shared" si="2"/>
        <v>0</v>
      </c>
      <c r="K33" s="1236">
        <f t="shared" si="2"/>
        <v>0</v>
      </c>
      <c r="L33" s="1236">
        <f t="shared" si="2"/>
        <v>0</v>
      </c>
      <c r="M33" s="1236">
        <f t="shared" si="3"/>
        <v>0</v>
      </c>
      <c r="N33" s="1236">
        <f>RBBD!I18</f>
        <v>0</v>
      </c>
      <c r="O33" s="1236">
        <f>RBBD!J18</f>
        <v>0</v>
      </c>
      <c r="P33" s="1236">
        <f>RBBD!K18</f>
        <v>0</v>
      </c>
      <c r="Q33" s="1236">
        <f>RBBD!L18</f>
        <v>0</v>
      </c>
      <c r="R33" s="1236">
        <f>RBBD!M18</f>
        <v>0</v>
      </c>
      <c r="S33" s="1236">
        <f>RBBD!N18</f>
        <v>0</v>
      </c>
      <c r="T33" s="1236">
        <f>RBBD!O18</f>
        <v>0</v>
      </c>
      <c r="U33" s="1236">
        <f>RBBD!P18</f>
        <v>0</v>
      </c>
      <c r="V33" s="1236">
        <f>RBBD!Q18</f>
        <v>0</v>
      </c>
      <c r="W33" s="1236">
        <f>RBBD!R18</f>
        <v>0</v>
      </c>
      <c r="X33" s="1236">
        <f>RBBD!S18</f>
        <v>0</v>
      </c>
      <c r="Y33" s="1236">
        <f>RBBD!T18</f>
        <v>0</v>
      </c>
      <c r="Z33" s="65"/>
      <c r="AA33" s="324">
        <f t="shared" si="4"/>
        <v>0</v>
      </c>
    </row>
    <row r="34" spans="2:27" hidden="1">
      <c r="B34" s="1236">
        <f>RBBD!B19</f>
        <v>0</v>
      </c>
      <c r="C34" s="1236">
        <f>RBBD!C19</f>
        <v>0</v>
      </c>
      <c r="D34" s="1236">
        <f>RBBD!D19</f>
        <v>0</v>
      </c>
      <c r="E34" s="1236">
        <f>RBBD!G19</f>
        <v>0</v>
      </c>
      <c r="F34" s="1236">
        <f>RBBD!H19</f>
        <v>0</v>
      </c>
      <c r="G34" s="1236">
        <f>RBBD!E19</f>
        <v>0</v>
      </c>
      <c r="H34" s="1236">
        <f>RBBD!F19</f>
        <v>0</v>
      </c>
      <c r="I34" s="1236">
        <f t="shared" si="2"/>
        <v>0</v>
      </c>
      <c r="J34" s="1236">
        <f t="shared" si="2"/>
        <v>0</v>
      </c>
      <c r="K34" s="1236">
        <f t="shared" si="2"/>
        <v>0</v>
      </c>
      <c r="L34" s="1236">
        <f t="shared" si="2"/>
        <v>0</v>
      </c>
      <c r="M34" s="1236">
        <f t="shared" si="3"/>
        <v>0</v>
      </c>
      <c r="N34" s="1236">
        <f>RBBD!I19</f>
        <v>0</v>
      </c>
      <c r="O34" s="1236">
        <f>RBBD!J19</f>
        <v>0</v>
      </c>
      <c r="P34" s="1236">
        <f>RBBD!K19</f>
        <v>0</v>
      </c>
      <c r="Q34" s="1236">
        <f>RBBD!L19</f>
        <v>0</v>
      </c>
      <c r="R34" s="1236">
        <f>RBBD!M19</f>
        <v>0</v>
      </c>
      <c r="S34" s="1236">
        <f>RBBD!N19</f>
        <v>0</v>
      </c>
      <c r="T34" s="1236">
        <f>RBBD!O19</f>
        <v>0</v>
      </c>
      <c r="U34" s="1236">
        <f>RBBD!P19</f>
        <v>0</v>
      </c>
      <c r="V34" s="1236">
        <f>RBBD!Q19</f>
        <v>0</v>
      </c>
      <c r="W34" s="1236">
        <f>RBBD!R19</f>
        <v>0</v>
      </c>
      <c r="X34" s="1236">
        <f>RBBD!S19</f>
        <v>0</v>
      </c>
      <c r="Y34" s="1236">
        <f>RBBD!T19</f>
        <v>0</v>
      </c>
      <c r="Z34" s="65"/>
      <c r="AA34" s="324">
        <f t="shared" si="4"/>
        <v>0</v>
      </c>
    </row>
    <row r="35" spans="2:27" hidden="1">
      <c r="B35" s="1236">
        <f>RBBD!B20</f>
        <v>0</v>
      </c>
      <c r="C35" s="1236">
        <f>RBBD!C20</f>
        <v>0</v>
      </c>
      <c r="D35" s="1236">
        <f>RBBD!D20</f>
        <v>0</v>
      </c>
      <c r="E35" s="1236">
        <f>RBBD!G20</f>
        <v>0</v>
      </c>
      <c r="F35" s="1236">
        <f>RBBD!H20</f>
        <v>0</v>
      </c>
      <c r="G35" s="1236">
        <f>RBBD!E20</f>
        <v>0</v>
      </c>
      <c r="H35" s="1236">
        <f>RBBD!F20</f>
        <v>0</v>
      </c>
      <c r="I35" s="1236">
        <f t="shared" si="2"/>
        <v>0</v>
      </c>
      <c r="J35" s="1236">
        <f t="shared" si="2"/>
        <v>0</v>
      </c>
      <c r="K35" s="1236">
        <f t="shared" si="2"/>
        <v>0</v>
      </c>
      <c r="L35" s="1236">
        <f t="shared" si="2"/>
        <v>0</v>
      </c>
      <c r="M35" s="1236">
        <f t="shared" si="3"/>
        <v>0</v>
      </c>
      <c r="N35" s="1236">
        <f>RBBD!I20</f>
        <v>0</v>
      </c>
      <c r="O35" s="1236">
        <f>RBBD!J20</f>
        <v>0</v>
      </c>
      <c r="P35" s="1236">
        <f>RBBD!K20</f>
        <v>0</v>
      </c>
      <c r="Q35" s="1236">
        <f>RBBD!L20</f>
        <v>0</v>
      </c>
      <c r="R35" s="1236">
        <f>RBBD!M20</f>
        <v>0</v>
      </c>
      <c r="S35" s="1236">
        <f>RBBD!N20</f>
        <v>0</v>
      </c>
      <c r="T35" s="1236">
        <f>RBBD!O20</f>
        <v>0</v>
      </c>
      <c r="U35" s="1236">
        <f>RBBD!P20</f>
        <v>0</v>
      </c>
      <c r="V35" s="1236">
        <f>RBBD!Q20</f>
        <v>0</v>
      </c>
      <c r="W35" s="1236">
        <f>RBBD!R20</f>
        <v>0</v>
      </c>
      <c r="X35" s="1236">
        <f>RBBD!S20</f>
        <v>0</v>
      </c>
      <c r="Y35" s="1236">
        <f>RBBD!T20</f>
        <v>0</v>
      </c>
      <c r="Z35" s="65"/>
      <c r="AA35" s="324">
        <f t="shared" si="4"/>
        <v>0</v>
      </c>
    </row>
    <row r="36" spans="2:27" hidden="1">
      <c r="B36" s="1236">
        <f>RBBD!B21</f>
        <v>0</v>
      </c>
      <c r="C36" s="1236">
        <f>RBBD!C21</f>
        <v>0</v>
      </c>
      <c r="D36" s="1236">
        <f>RBBD!D21</f>
        <v>0</v>
      </c>
      <c r="E36" s="1236">
        <f>RBBD!G21</f>
        <v>0</v>
      </c>
      <c r="F36" s="1236">
        <f>RBBD!H21</f>
        <v>0</v>
      </c>
      <c r="G36" s="1236">
        <f>RBBD!E21</f>
        <v>0</v>
      </c>
      <c r="H36" s="1236">
        <f>RBBD!F21</f>
        <v>0</v>
      </c>
      <c r="I36" s="1236">
        <f t="shared" si="2"/>
        <v>0</v>
      </c>
      <c r="J36" s="1236">
        <f t="shared" si="2"/>
        <v>0</v>
      </c>
      <c r="K36" s="1236">
        <f t="shared" si="2"/>
        <v>0</v>
      </c>
      <c r="L36" s="1236">
        <f t="shared" si="2"/>
        <v>0</v>
      </c>
      <c r="M36" s="1236">
        <f t="shared" si="3"/>
        <v>0</v>
      </c>
      <c r="N36" s="1236">
        <f>RBBD!I21</f>
        <v>0</v>
      </c>
      <c r="O36" s="1236">
        <f>RBBD!J21</f>
        <v>0</v>
      </c>
      <c r="P36" s="1236">
        <f>RBBD!K21</f>
        <v>0</v>
      </c>
      <c r="Q36" s="1236">
        <f>RBBD!L21</f>
        <v>0</v>
      </c>
      <c r="R36" s="1236">
        <f>RBBD!M21</f>
        <v>0</v>
      </c>
      <c r="S36" s="1236">
        <f>RBBD!N21</f>
        <v>0</v>
      </c>
      <c r="T36" s="1236">
        <f>RBBD!O21</f>
        <v>0</v>
      </c>
      <c r="U36" s="1236">
        <f>RBBD!P21</f>
        <v>0</v>
      </c>
      <c r="V36" s="1236">
        <f>RBBD!Q21</f>
        <v>0</v>
      </c>
      <c r="W36" s="1236">
        <f>RBBD!R21</f>
        <v>0</v>
      </c>
      <c r="X36" s="1236">
        <f>RBBD!S21</f>
        <v>0</v>
      </c>
      <c r="Y36" s="1236">
        <f>RBBD!T21</f>
        <v>0</v>
      </c>
      <c r="Z36" s="65"/>
      <c r="AA36" s="324">
        <f t="shared" si="4"/>
        <v>0</v>
      </c>
    </row>
    <row r="37" spans="2:27" hidden="1">
      <c r="B37" s="1236">
        <f>RBBD!B22</f>
        <v>0</v>
      </c>
      <c r="C37" s="1236">
        <f>RBBD!C22</f>
        <v>0</v>
      </c>
      <c r="D37" s="1236">
        <f>RBBD!D22</f>
        <v>0</v>
      </c>
      <c r="E37" s="1236">
        <f>RBBD!G22</f>
        <v>0</v>
      </c>
      <c r="F37" s="1236">
        <f>RBBD!H22</f>
        <v>0</v>
      </c>
      <c r="G37" s="1236">
        <f>RBBD!E22</f>
        <v>0</v>
      </c>
      <c r="H37" s="1236">
        <f>RBBD!F22</f>
        <v>0</v>
      </c>
      <c r="I37" s="1236">
        <f t="shared" si="2"/>
        <v>0</v>
      </c>
      <c r="J37" s="1236">
        <f t="shared" si="2"/>
        <v>0</v>
      </c>
      <c r="K37" s="1236">
        <f t="shared" si="2"/>
        <v>0</v>
      </c>
      <c r="L37" s="1236">
        <f t="shared" si="2"/>
        <v>0</v>
      </c>
      <c r="M37" s="1236">
        <f t="shared" si="3"/>
        <v>0</v>
      </c>
      <c r="N37" s="1236">
        <f>RBBD!I22</f>
        <v>0</v>
      </c>
      <c r="O37" s="1236">
        <f>RBBD!J22</f>
        <v>0</v>
      </c>
      <c r="P37" s="1236">
        <f>RBBD!K22</f>
        <v>0</v>
      </c>
      <c r="Q37" s="1236">
        <f>RBBD!L22</f>
        <v>0</v>
      </c>
      <c r="R37" s="1236">
        <f>RBBD!M22</f>
        <v>0</v>
      </c>
      <c r="S37" s="1236">
        <f>RBBD!N22</f>
        <v>0</v>
      </c>
      <c r="T37" s="1236">
        <f>RBBD!O22</f>
        <v>0</v>
      </c>
      <c r="U37" s="1236">
        <f>RBBD!P22</f>
        <v>0</v>
      </c>
      <c r="V37" s="1236">
        <f>RBBD!Q22</f>
        <v>0</v>
      </c>
      <c r="W37" s="1236">
        <f>RBBD!R22</f>
        <v>0</v>
      </c>
      <c r="X37" s="1236">
        <f>RBBD!S22</f>
        <v>0</v>
      </c>
      <c r="Y37" s="1236">
        <f>RBBD!T22</f>
        <v>0</v>
      </c>
      <c r="Z37" s="65"/>
      <c r="AA37" s="324">
        <f t="shared" si="4"/>
        <v>0</v>
      </c>
    </row>
    <row r="38" spans="2:27" hidden="1">
      <c r="B38" s="1236">
        <f>RBBD!B23</f>
        <v>0</v>
      </c>
      <c r="C38" s="1236">
        <f>RBBD!C23</f>
        <v>0</v>
      </c>
      <c r="D38" s="1236">
        <f>RBBD!D23</f>
        <v>0</v>
      </c>
      <c r="E38" s="1236">
        <f>RBBD!G23</f>
        <v>0</v>
      </c>
      <c r="F38" s="1236">
        <f>RBBD!H23</f>
        <v>0</v>
      </c>
      <c r="G38" s="1236">
        <f>RBBD!E23</f>
        <v>0</v>
      </c>
      <c r="H38" s="1236">
        <f>RBBD!F23</f>
        <v>0</v>
      </c>
      <c r="I38" s="1236">
        <f t="shared" si="2"/>
        <v>0</v>
      </c>
      <c r="J38" s="1236">
        <f t="shared" si="2"/>
        <v>0</v>
      </c>
      <c r="K38" s="1236">
        <f t="shared" si="2"/>
        <v>0</v>
      </c>
      <c r="L38" s="1236">
        <f t="shared" si="2"/>
        <v>0</v>
      </c>
      <c r="M38" s="1236">
        <f t="shared" si="3"/>
        <v>0</v>
      </c>
      <c r="N38" s="1236">
        <f>RBBD!I23</f>
        <v>0</v>
      </c>
      <c r="O38" s="1236">
        <f>RBBD!J23</f>
        <v>0</v>
      </c>
      <c r="P38" s="1236">
        <f>RBBD!K23</f>
        <v>0</v>
      </c>
      <c r="Q38" s="1236">
        <f>RBBD!L23</f>
        <v>0</v>
      </c>
      <c r="R38" s="1236">
        <f>RBBD!M23</f>
        <v>0</v>
      </c>
      <c r="S38" s="1236">
        <f>RBBD!N23</f>
        <v>0</v>
      </c>
      <c r="T38" s="1236">
        <f>RBBD!O23</f>
        <v>0</v>
      </c>
      <c r="U38" s="1236">
        <f>RBBD!P23</f>
        <v>0</v>
      </c>
      <c r="V38" s="1236">
        <f>RBBD!Q23</f>
        <v>0</v>
      </c>
      <c r="W38" s="1236">
        <f>RBBD!R23</f>
        <v>0</v>
      </c>
      <c r="X38" s="1236">
        <f>RBBD!S23</f>
        <v>0</v>
      </c>
      <c r="Y38" s="1236">
        <f>RBBD!T23</f>
        <v>0</v>
      </c>
      <c r="Z38" s="65"/>
      <c r="AA38" s="324">
        <f t="shared" si="4"/>
        <v>0</v>
      </c>
    </row>
    <row r="39" spans="2:27" hidden="1">
      <c r="B39" s="1236">
        <f>RBBD!B24</f>
        <v>0</v>
      </c>
      <c r="C39" s="1236">
        <f>RBBD!C24</f>
        <v>0</v>
      </c>
      <c r="D39" s="1236">
        <f>RBBD!D24</f>
        <v>0</v>
      </c>
      <c r="E39" s="1236">
        <f>RBBD!G24</f>
        <v>0</v>
      </c>
      <c r="F39" s="1236">
        <f>RBBD!H24</f>
        <v>0</v>
      </c>
      <c r="G39" s="1236">
        <f>RBBD!E24</f>
        <v>0</v>
      </c>
      <c r="H39" s="1236">
        <f>RBBD!F24</f>
        <v>0</v>
      </c>
      <c r="I39" s="1236">
        <f t="shared" si="2"/>
        <v>0</v>
      </c>
      <c r="J39" s="1236">
        <f t="shared" si="2"/>
        <v>0</v>
      </c>
      <c r="K39" s="1236">
        <f t="shared" si="2"/>
        <v>0</v>
      </c>
      <c r="L39" s="1236">
        <f t="shared" si="2"/>
        <v>0</v>
      </c>
      <c r="M39" s="1236">
        <f t="shared" si="3"/>
        <v>0</v>
      </c>
      <c r="N39" s="1236">
        <f>RBBD!I24</f>
        <v>0</v>
      </c>
      <c r="O39" s="1236">
        <f>RBBD!J24</f>
        <v>0</v>
      </c>
      <c r="P39" s="1236">
        <f>RBBD!K24</f>
        <v>0</v>
      </c>
      <c r="Q39" s="1236">
        <f>RBBD!L24</f>
        <v>0</v>
      </c>
      <c r="R39" s="1236">
        <f>RBBD!M24</f>
        <v>0</v>
      </c>
      <c r="S39" s="1236">
        <f>RBBD!N24</f>
        <v>0</v>
      </c>
      <c r="T39" s="1236">
        <f>RBBD!O24</f>
        <v>0</v>
      </c>
      <c r="U39" s="1236">
        <f>RBBD!P24</f>
        <v>0</v>
      </c>
      <c r="V39" s="1236">
        <f>RBBD!Q24</f>
        <v>0</v>
      </c>
      <c r="W39" s="1236">
        <f>RBBD!R24</f>
        <v>0</v>
      </c>
      <c r="X39" s="1236">
        <f>RBBD!S24</f>
        <v>0</v>
      </c>
      <c r="Y39" s="1236">
        <f>RBBD!T24</f>
        <v>0</v>
      </c>
      <c r="Z39" s="65"/>
      <c r="AA39" s="324">
        <f t="shared" ref="AA39:AA60" si="5">IF(B39=0,0,1)</f>
        <v>0</v>
      </c>
    </row>
    <row r="40" spans="2:27" hidden="1">
      <c r="B40" s="1236">
        <f>RBBD!B25</f>
        <v>0</v>
      </c>
      <c r="C40" s="1236">
        <f>RBBD!C25</f>
        <v>0</v>
      </c>
      <c r="D40" s="1236">
        <f>RBBD!D25</f>
        <v>0</v>
      </c>
      <c r="E40" s="1236">
        <f>RBBD!G25</f>
        <v>0</v>
      </c>
      <c r="F40" s="1236">
        <f>RBBD!H25</f>
        <v>0</v>
      </c>
      <c r="G40" s="1236">
        <f>RBBD!E25</f>
        <v>0</v>
      </c>
      <c r="H40" s="1236">
        <f>RBBD!F25</f>
        <v>0</v>
      </c>
      <c r="I40" s="1236">
        <f t="shared" si="2"/>
        <v>0</v>
      </c>
      <c r="J40" s="1236">
        <f t="shared" si="2"/>
        <v>0</v>
      </c>
      <c r="K40" s="1236">
        <f t="shared" si="2"/>
        <v>0</v>
      </c>
      <c r="L40" s="1236">
        <f t="shared" si="2"/>
        <v>0</v>
      </c>
      <c r="M40" s="1236">
        <f t="shared" si="3"/>
        <v>0</v>
      </c>
      <c r="N40" s="1236">
        <f>RBBD!I25</f>
        <v>0</v>
      </c>
      <c r="O40" s="1236">
        <f>RBBD!J25</f>
        <v>0</v>
      </c>
      <c r="P40" s="1236">
        <f>RBBD!K25</f>
        <v>0</v>
      </c>
      <c r="Q40" s="1236">
        <f>RBBD!L25</f>
        <v>0</v>
      </c>
      <c r="R40" s="1236">
        <f>RBBD!M25</f>
        <v>0</v>
      </c>
      <c r="S40" s="1236">
        <f>RBBD!N25</f>
        <v>0</v>
      </c>
      <c r="T40" s="1236">
        <f>RBBD!O25</f>
        <v>0</v>
      </c>
      <c r="U40" s="1236">
        <f>RBBD!P25</f>
        <v>0</v>
      </c>
      <c r="V40" s="1236">
        <f>RBBD!Q25</f>
        <v>0</v>
      </c>
      <c r="W40" s="1236">
        <f>RBBD!R25</f>
        <v>0</v>
      </c>
      <c r="X40" s="1236">
        <f>RBBD!S25</f>
        <v>0</v>
      </c>
      <c r="Y40" s="1236">
        <f>RBBD!T25</f>
        <v>0</v>
      </c>
      <c r="Z40" s="65"/>
      <c r="AA40" s="324">
        <f t="shared" si="5"/>
        <v>0</v>
      </c>
    </row>
    <row r="41" spans="2:27" hidden="1">
      <c r="B41" s="1236">
        <f>RBBD!B26</f>
        <v>0</v>
      </c>
      <c r="C41" s="1236">
        <f>RBBD!C26</f>
        <v>0</v>
      </c>
      <c r="D41" s="1236">
        <f>RBBD!D26</f>
        <v>0</v>
      </c>
      <c r="E41" s="1236">
        <f>RBBD!G26</f>
        <v>0</v>
      </c>
      <c r="F41" s="1236">
        <f>RBBD!H26</f>
        <v>0</v>
      </c>
      <c r="G41" s="1236">
        <f>RBBD!E26</f>
        <v>0</v>
      </c>
      <c r="H41" s="1236">
        <f>RBBD!F26</f>
        <v>0</v>
      </c>
      <c r="I41" s="1236">
        <f t="shared" si="2"/>
        <v>0</v>
      </c>
      <c r="J41" s="1236">
        <f t="shared" si="2"/>
        <v>0</v>
      </c>
      <c r="K41" s="1236">
        <f t="shared" si="2"/>
        <v>0</v>
      </c>
      <c r="L41" s="1236">
        <f t="shared" si="2"/>
        <v>0</v>
      </c>
      <c r="M41" s="1236">
        <f t="shared" si="3"/>
        <v>0</v>
      </c>
      <c r="N41" s="1236">
        <f>RBBD!I26</f>
        <v>0</v>
      </c>
      <c r="O41" s="1236">
        <f>RBBD!J26</f>
        <v>0</v>
      </c>
      <c r="P41" s="1236">
        <f>RBBD!K26</f>
        <v>0</v>
      </c>
      <c r="Q41" s="1236">
        <f>RBBD!L26</f>
        <v>0</v>
      </c>
      <c r="R41" s="1236">
        <f>RBBD!M26</f>
        <v>0</v>
      </c>
      <c r="S41" s="1236">
        <f>RBBD!N26</f>
        <v>0</v>
      </c>
      <c r="T41" s="1236">
        <f>RBBD!O26</f>
        <v>0</v>
      </c>
      <c r="U41" s="1236">
        <f>RBBD!P26</f>
        <v>0</v>
      </c>
      <c r="V41" s="1236">
        <f>RBBD!Q26</f>
        <v>0</v>
      </c>
      <c r="W41" s="1236">
        <f>RBBD!R26</f>
        <v>0</v>
      </c>
      <c r="X41" s="1236">
        <f>RBBD!S26</f>
        <v>0</v>
      </c>
      <c r="Y41" s="1236">
        <f>RBBD!T26</f>
        <v>0</v>
      </c>
      <c r="Z41" s="65"/>
      <c r="AA41" s="324">
        <f t="shared" si="5"/>
        <v>0</v>
      </c>
    </row>
    <row r="42" spans="2:27" hidden="1">
      <c r="B42" s="1236">
        <f>RBBD!B27</f>
        <v>0</v>
      </c>
      <c r="C42" s="1236">
        <f>RBBD!C27</f>
        <v>0</v>
      </c>
      <c r="D42" s="1236">
        <f>RBBD!D27</f>
        <v>0</v>
      </c>
      <c r="E42" s="1236">
        <f>RBBD!G27</f>
        <v>0</v>
      </c>
      <c r="F42" s="1236">
        <f>RBBD!H27</f>
        <v>0</v>
      </c>
      <c r="G42" s="1236">
        <f>RBBD!E27</f>
        <v>0</v>
      </c>
      <c r="H42" s="1236">
        <f>RBBD!F27</f>
        <v>0</v>
      </c>
      <c r="I42" s="1236">
        <f t="shared" si="2"/>
        <v>0</v>
      </c>
      <c r="J42" s="1236">
        <f t="shared" si="2"/>
        <v>0</v>
      </c>
      <c r="K42" s="1236">
        <f t="shared" si="2"/>
        <v>0</v>
      </c>
      <c r="L42" s="1236">
        <f t="shared" si="2"/>
        <v>0</v>
      </c>
      <c r="M42" s="1236">
        <f t="shared" si="3"/>
        <v>0</v>
      </c>
      <c r="N42" s="1236">
        <f>RBBD!I27</f>
        <v>0</v>
      </c>
      <c r="O42" s="1236">
        <f>RBBD!J27</f>
        <v>0</v>
      </c>
      <c r="P42" s="1236">
        <f>RBBD!K27</f>
        <v>0</v>
      </c>
      <c r="Q42" s="1236">
        <f>RBBD!L27</f>
        <v>0</v>
      </c>
      <c r="R42" s="1236">
        <f>RBBD!M27</f>
        <v>0</v>
      </c>
      <c r="S42" s="1236">
        <f>RBBD!N27</f>
        <v>0</v>
      </c>
      <c r="T42" s="1236">
        <f>RBBD!O27</f>
        <v>0</v>
      </c>
      <c r="U42" s="1236">
        <f>RBBD!P27</f>
        <v>0</v>
      </c>
      <c r="V42" s="1236">
        <f>RBBD!Q27</f>
        <v>0</v>
      </c>
      <c r="W42" s="1236">
        <f>RBBD!R27</f>
        <v>0</v>
      </c>
      <c r="X42" s="1236">
        <f>RBBD!S27</f>
        <v>0</v>
      </c>
      <c r="Y42" s="1236">
        <f>RBBD!T27</f>
        <v>0</v>
      </c>
      <c r="Z42" s="65"/>
      <c r="AA42" s="324">
        <f t="shared" si="5"/>
        <v>0</v>
      </c>
    </row>
    <row r="43" spans="2:27" hidden="1">
      <c r="B43" s="1236">
        <f>RBBD!B28</f>
        <v>0</v>
      </c>
      <c r="C43" s="1236">
        <f>RBBD!C28</f>
        <v>0</v>
      </c>
      <c r="D43" s="1236">
        <f>RBBD!D28</f>
        <v>0</v>
      </c>
      <c r="E43" s="1236">
        <f>RBBD!G28</f>
        <v>0</v>
      </c>
      <c r="F43" s="1236">
        <f>RBBD!H28</f>
        <v>0</v>
      </c>
      <c r="G43" s="1236">
        <f>RBBD!E28</f>
        <v>0</v>
      </c>
      <c r="H43" s="1236">
        <f>RBBD!F28</f>
        <v>0</v>
      </c>
      <c r="I43" s="1236">
        <f t="shared" si="2"/>
        <v>0</v>
      </c>
      <c r="J43" s="1236">
        <f t="shared" si="2"/>
        <v>0</v>
      </c>
      <c r="K43" s="1236">
        <f t="shared" si="2"/>
        <v>0</v>
      </c>
      <c r="L43" s="1236">
        <f t="shared" si="2"/>
        <v>0</v>
      </c>
      <c r="M43" s="1236">
        <f t="shared" si="3"/>
        <v>0</v>
      </c>
      <c r="N43" s="1236">
        <f>RBBD!I28</f>
        <v>0</v>
      </c>
      <c r="O43" s="1236">
        <f>RBBD!J28</f>
        <v>0</v>
      </c>
      <c r="P43" s="1236">
        <f>RBBD!K28</f>
        <v>0</v>
      </c>
      <c r="Q43" s="1236">
        <f>RBBD!L28</f>
        <v>0</v>
      </c>
      <c r="R43" s="1236">
        <f>RBBD!M28</f>
        <v>0</v>
      </c>
      <c r="S43" s="1236">
        <f>RBBD!N28</f>
        <v>0</v>
      </c>
      <c r="T43" s="1236">
        <f>RBBD!O28</f>
        <v>0</v>
      </c>
      <c r="U43" s="1236">
        <f>RBBD!P28</f>
        <v>0</v>
      </c>
      <c r="V43" s="1236">
        <f>RBBD!Q28</f>
        <v>0</v>
      </c>
      <c r="W43" s="1236">
        <f>RBBD!R28</f>
        <v>0</v>
      </c>
      <c r="X43" s="1236">
        <f>RBBD!S28</f>
        <v>0</v>
      </c>
      <c r="Y43" s="1236">
        <f>RBBD!T28</f>
        <v>0</v>
      </c>
      <c r="Z43" s="65"/>
      <c r="AA43" s="324">
        <f t="shared" si="5"/>
        <v>0</v>
      </c>
    </row>
    <row r="44" spans="2:27" hidden="1">
      <c r="B44" s="1236">
        <f>RBBD!B29</f>
        <v>0</v>
      </c>
      <c r="C44" s="1236">
        <f>RBBD!C29</f>
        <v>0</v>
      </c>
      <c r="D44" s="1236">
        <f>RBBD!D29</f>
        <v>0</v>
      </c>
      <c r="E44" s="1236">
        <f>RBBD!G29</f>
        <v>0</v>
      </c>
      <c r="F44" s="1236">
        <f>RBBD!H29</f>
        <v>0</v>
      </c>
      <c r="G44" s="1236">
        <f>RBBD!E29</f>
        <v>0</v>
      </c>
      <c r="H44" s="1236">
        <f>RBBD!F29</f>
        <v>0</v>
      </c>
      <c r="I44" s="1236">
        <f t="shared" si="2"/>
        <v>0</v>
      </c>
      <c r="J44" s="1236">
        <f t="shared" si="2"/>
        <v>0</v>
      </c>
      <c r="K44" s="1236">
        <f t="shared" si="2"/>
        <v>0</v>
      </c>
      <c r="L44" s="1236">
        <f t="shared" si="2"/>
        <v>0</v>
      </c>
      <c r="M44" s="1236">
        <f t="shared" si="3"/>
        <v>0</v>
      </c>
      <c r="N44" s="1236">
        <f>RBBD!I29</f>
        <v>0</v>
      </c>
      <c r="O44" s="1236">
        <f>RBBD!J29</f>
        <v>0</v>
      </c>
      <c r="P44" s="1236">
        <f>RBBD!K29</f>
        <v>0</v>
      </c>
      <c r="Q44" s="1236">
        <f>RBBD!L29</f>
        <v>0</v>
      </c>
      <c r="R44" s="1236">
        <f>RBBD!M29</f>
        <v>0</v>
      </c>
      <c r="S44" s="1236">
        <f>RBBD!N29</f>
        <v>0</v>
      </c>
      <c r="T44" s="1236">
        <f>RBBD!O29</f>
        <v>0</v>
      </c>
      <c r="U44" s="1236">
        <f>RBBD!P29</f>
        <v>0</v>
      </c>
      <c r="V44" s="1236">
        <f>RBBD!Q29</f>
        <v>0</v>
      </c>
      <c r="W44" s="1236">
        <f>RBBD!R29</f>
        <v>0</v>
      </c>
      <c r="X44" s="1236">
        <f>RBBD!S29</f>
        <v>0</v>
      </c>
      <c r="Y44" s="1236">
        <f>RBBD!T29</f>
        <v>0</v>
      </c>
      <c r="Z44" s="65"/>
      <c r="AA44" s="324">
        <f t="shared" si="5"/>
        <v>0</v>
      </c>
    </row>
    <row r="45" spans="2:27" hidden="1">
      <c r="B45" s="1236">
        <f>RBBD!B30</f>
        <v>0</v>
      </c>
      <c r="C45" s="1236">
        <f>RBBD!C30</f>
        <v>0</v>
      </c>
      <c r="D45" s="1236">
        <f>RBBD!D30</f>
        <v>0</v>
      </c>
      <c r="E45" s="1236">
        <f>RBBD!G30</f>
        <v>0</v>
      </c>
      <c r="F45" s="1236">
        <f>RBBD!H30</f>
        <v>0</v>
      </c>
      <c r="G45" s="1236">
        <f>RBBD!E30</f>
        <v>0</v>
      </c>
      <c r="H45" s="1236">
        <f>RBBD!F30</f>
        <v>0</v>
      </c>
      <c r="I45" s="1236">
        <f t="shared" si="2"/>
        <v>0</v>
      </c>
      <c r="J45" s="1236">
        <f t="shared" si="2"/>
        <v>0</v>
      </c>
      <c r="K45" s="1236">
        <f t="shared" si="2"/>
        <v>0</v>
      </c>
      <c r="L45" s="1236">
        <f t="shared" si="2"/>
        <v>0</v>
      </c>
      <c r="M45" s="1236">
        <f t="shared" si="3"/>
        <v>0</v>
      </c>
      <c r="N45" s="1236">
        <f>RBBD!I30</f>
        <v>0</v>
      </c>
      <c r="O45" s="1236">
        <f>RBBD!J30</f>
        <v>0</v>
      </c>
      <c r="P45" s="1236">
        <f>RBBD!K30</f>
        <v>0</v>
      </c>
      <c r="Q45" s="1236">
        <f>RBBD!L30</f>
        <v>0</v>
      </c>
      <c r="R45" s="1236">
        <f>RBBD!M30</f>
        <v>0</v>
      </c>
      <c r="S45" s="1236">
        <f>RBBD!N30</f>
        <v>0</v>
      </c>
      <c r="T45" s="1236">
        <f>RBBD!O30</f>
        <v>0</v>
      </c>
      <c r="U45" s="1236">
        <f>RBBD!P30</f>
        <v>0</v>
      </c>
      <c r="V45" s="1236">
        <f>RBBD!Q30</f>
        <v>0</v>
      </c>
      <c r="W45" s="1236">
        <f>RBBD!R30</f>
        <v>0</v>
      </c>
      <c r="X45" s="1236">
        <f>RBBD!S30</f>
        <v>0</v>
      </c>
      <c r="Y45" s="1236">
        <f>RBBD!T30</f>
        <v>0</v>
      </c>
      <c r="Z45" s="65"/>
      <c r="AA45" s="324">
        <f t="shared" si="5"/>
        <v>0</v>
      </c>
    </row>
    <row r="46" spans="2:27" hidden="1">
      <c r="B46" s="1236">
        <f>RBBD!B31</f>
        <v>0</v>
      </c>
      <c r="C46" s="1236">
        <f>RBBD!C31</f>
        <v>0</v>
      </c>
      <c r="D46" s="1236">
        <f>RBBD!D31</f>
        <v>0</v>
      </c>
      <c r="E46" s="1236">
        <f>RBBD!G31</f>
        <v>0</v>
      </c>
      <c r="F46" s="1236">
        <f>RBBD!H31</f>
        <v>0</v>
      </c>
      <c r="G46" s="1236">
        <f>RBBD!E31</f>
        <v>0</v>
      </c>
      <c r="H46" s="1236">
        <f>RBBD!F31</f>
        <v>0</v>
      </c>
      <c r="I46" s="1236">
        <f t="shared" si="2"/>
        <v>0</v>
      </c>
      <c r="J46" s="1236">
        <f t="shared" si="2"/>
        <v>0</v>
      </c>
      <c r="K46" s="1236">
        <f t="shared" si="2"/>
        <v>0</v>
      </c>
      <c r="L46" s="1236">
        <f t="shared" si="2"/>
        <v>0</v>
      </c>
      <c r="M46" s="1236">
        <f t="shared" si="3"/>
        <v>0</v>
      </c>
      <c r="N46" s="1236">
        <f>RBBD!I31</f>
        <v>0</v>
      </c>
      <c r="O46" s="1236">
        <f>RBBD!J31</f>
        <v>0</v>
      </c>
      <c r="P46" s="1236">
        <f>RBBD!K31</f>
        <v>0</v>
      </c>
      <c r="Q46" s="1236">
        <f>RBBD!L31</f>
        <v>0</v>
      </c>
      <c r="R46" s="1236">
        <f>RBBD!M31</f>
        <v>0</v>
      </c>
      <c r="S46" s="1236">
        <f>RBBD!N31</f>
        <v>0</v>
      </c>
      <c r="T46" s="1236">
        <f>RBBD!O31</f>
        <v>0</v>
      </c>
      <c r="U46" s="1236">
        <f>RBBD!P31</f>
        <v>0</v>
      </c>
      <c r="V46" s="1236">
        <f>RBBD!Q31</f>
        <v>0</v>
      </c>
      <c r="W46" s="1236">
        <f>RBBD!R31</f>
        <v>0</v>
      </c>
      <c r="X46" s="1236">
        <f>RBBD!S31</f>
        <v>0</v>
      </c>
      <c r="Y46" s="1236">
        <f>RBBD!T31</f>
        <v>0</v>
      </c>
      <c r="Z46" s="65"/>
      <c r="AA46" s="324">
        <f t="shared" si="5"/>
        <v>0</v>
      </c>
    </row>
    <row r="47" spans="2:27" hidden="1">
      <c r="B47" s="1236">
        <f>RBBD!B32</f>
        <v>0</v>
      </c>
      <c r="C47" s="1236">
        <f>RBBD!C32</f>
        <v>0</v>
      </c>
      <c r="D47" s="1236">
        <f>RBBD!D32</f>
        <v>0</v>
      </c>
      <c r="E47" s="1236">
        <f>RBBD!G32</f>
        <v>0</v>
      </c>
      <c r="F47" s="1236">
        <f>RBBD!H32</f>
        <v>0</v>
      </c>
      <c r="G47" s="1236">
        <f>RBBD!E32</f>
        <v>0</v>
      </c>
      <c r="H47" s="1236">
        <f>RBBD!F32</f>
        <v>0</v>
      </c>
      <c r="I47" s="1236">
        <f t="shared" si="2"/>
        <v>0</v>
      </c>
      <c r="J47" s="1236">
        <f t="shared" si="2"/>
        <v>0</v>
      </c>
      <c r="K47" s="1236">
        <f t="shared" si="2"/>
        <v>0</v>
      </c>
      <c r="L47" s="1236">
        <f t="shared" si="2"/>
        <v>0</v>
      </c>
      <c r="M47" s="1236">
        <f t="shared" si="3"/>
        <v>0</v>
      </c>
      <c r="N47" s="1236">
        <f>RBBD!I32</f>
        <v>0</v>
      </c>
      <c r="O47" s="1236">
        <f>RBBD!J32</f>
        <v>0</v>
      </c>
      <c r="P47" s="1236">
        <f>RBBD!K32</f>
        <v>0</v>
      </c>
      <c r="Q47" s="1236">
        <f>RBBD!L32</f>
        <v>0</v>
      </c>
      <c r="R47" s="1236">
        <f>RBBD!M32</f>
        <v>0</v>
      </c>
      <c r="S47" s="1236">
        <f>RBBD!N32</f>
        <v>0</v>
      </c>
      <c r="T47" s="1236">
        <f>RBBD!O32</f>
        <v>0</v>
      </c>
      <c r="U47" s="1236">
        <f>RBBD!P32</f>
        <v>0</v>
      </c>
      <c r="V47" s="1236">
        <f>RBBD!Q32</f>
        <v>0</v>
      </c>
      <c r="W47" s="1236">
        <f>RBBD!R32</f>
        <v>0</v>
      </c>
      <c r="X47" s="1236">
        <f>RBBD!S32</f>
        <v>0</v>
      </c>
      <c r="Y47" s="1236">
        <f>RBBD!T32</f>
        <v>0</v>
      </c>
      <c r="Z47" s="65"/>
      <c r="AA47" s="324">
        <f t="shared" si="5"/>
        <v>0</v>
      </c>
    </row>
    <row r="48" spans="2:27" hidden="1">
      <c r="B48" s="1236">
        <f>RBBD!B33</f>
        <v>0</v>
      </c>
      <c r="C48" s="1236">
        <f>RBBD!C33</f>
        <v>0</v>
      </c>
      <c r="D48" s="1236">
        <f>RBBD!D33</f>
        <v>0</v>
      </c>
      <c r="E48" s="1236">
        <f>RBBD!G33</f>
        <v>0</v>
      </c>
      <c r="F48" s="1236">
        <f>RBBD!H33</f>
        <v>0</v>
      </c>
      <c r="G48" s="1236">
        <f>RBBD!E33</f>
        <v>0</v>
      </c>
      <c r="H48" s="1236">
        <f>RBBD!F33</f>
        <v>0</v>
      </c>
      <c r="I48" s="1236">
        <f t="shared" si="2"/>
        <v>0</v>
      </c>
      <c r="J48" s="1236">
        <f t="shared" si="2"/>
        <v>0</v>
      </c>
      <c r="K48" s="1236">
        <f t="shared" si="2"/>
        <v>0</v>
      </c>
      <c r="L48" s="1236">
        <f t="shared" si="2"/>
        <v>0</v>
      </c>
      <c r="M48" s="1236">
        <f t="shared" si="3"/>
        <v>0</v>
      </c>
      <c r="N48" s="1236">
        <f>RBBD!I33</f>
        <v>0</v>
      </c>
      <c r="O48" s="1236">
        <f>RBBD!J33</f>
        <v>0</v>
      </c>
      <c r="P48" s="1236">
        <f>RBBD!K33</f>
        <v>0</v>
      </c>
      <c r="Q48" s="1236">
        <f>RBBD!L33</f>
        <v>0</v>
      </c>
      <c r="R48" s="1236">
        <f>RBBD!M33</f>
        <v>0</v>
      </c>
      <c r="S48" s="1236">
        <f>RBBD!N33</f>
        <v>0</v>
      </c>
      <c r="T48" s="1236">
        <f>RBBD!O33</f>
        <v>0</v>
      </c>
      <c r="U48" s="1236">
        <f>RBBD!P33</f>
        <v>0</v>
      </c>
      <c r="V48" s="1236">
        <f>RBBD!Q33</f>
        <v>0</v>
      </c>
      <c r="W48" s="1236">
        <f>RBBD!R33</f>
        <v>0</v>
      </c>
      <c r="X48" s="1236">
        <f>RBBD!S33</f>
        <v>0</v>
      </c>
      <c r="Y48" s="1236">
        <f>RBBD!T33</f>
        <v>0</v>
      </c>
      <c r="Z48" s="65"/>
      <c r="AA48" s="324">
        <f t="shared" si="5"/>
        <v>0</v>
      </c>
    </row>
    <row r="49" spans="2:27" hidden="1">
      <c r="B49" s="1236">
        <f>RBBD!B34</f>
        <v>0</v>
      </c>
      <c r="C49" s="1236">
        <f>RBBD!C34</f>
        <v>0</v>
      </c>
      <c r="D49" s="1236">
        <f>RBBD!D34</f>
        <v>0</v>
      </c>
      <c r="E49" s="1236">
        <f>RBBD!G34</f>
        <v>0</v>
      </c>
      <c r="F49" s="1236">
        <f>RBBD!H34</f>
        <v>0</v>
      </c>
      <c r="G49" s="1236">
        <f>RBBD!E34</f>
        <v>0</v>
      </c>
      <c r="H49" s="1236">
        <f>RBBD!F34</f>
        <v>0</v>
      </c>
      <c r="I49" s="1236">
        <f t="shared" si="2"/>
        <v>0</v>
      </c>
      <c r="J49" s="1236">
        <f t="shared" si="2"/>
        <v>0</v>
      </c>
      <c r="K49" s="1236">
        <f t="shared" si="2"/>
        <v>0</v>
      </c>
      <c r="L49" s="1236">
        <f t="shared" si="2"/>
        <v>0</v>
      </c>
      <c r="M49" s="1236">
        <f t="shared" si="3"/>
        <v>0</v>
      </c>
      <c r="N49" s="1236">
        <f>RBBD!I34</f>
        <v>0</v>
      </c>
      <c r="O49" s="1236">
        <f>RBBD!J34</f>
        <v>0</v>
      </c>
      <c r="P49" s="1236">
        <f>RBBD!K34</f>
        <v>0</v>
      </c>
      <c r="Q49" s="1236">
        <f>RBBD!L34</f>
        <v>0</v>
      </c>
      <c r="R49" s="1236">
        <f>RBBD!M34</f>
        <v>0</v>
      </c>
      <c r="S49" s="1236">
        <f>RBBD!N34</f>
        <v>0</v>
      </c>
      <c r="T49" s="1236">
        <f>RBBD!O34</f>
        <v>0</v>
      </c>
      <c r="U49" s="1236">
        <f>RBBD!P34</f>
        <v>0</v>
      </c>
      <c r="V49" s="1236">
        <f>RBBD!Q34</f>
        <v>0</v>
      </c>
      <c r="W49" s="1236">
        <f>RBBD!R34</f>
        <v>0</v>
      </c>
      <c r="X49" s="1236">
        <f>RBBD!S34</f>
        <v>0</v>
      </c>
      <c r="Y49" s="1236">
        <f>RBBD!T34</f>
        <v>0</v>
      </c>
      <c r="Z49" s="65"/>
      <c r="AA49" s="324">
        <f t="shared" si="5"/>
        <v>0</v>
      </c>
    </row>
    <row r="50" spans="2:27" hidden="1">
      <c r="B50" s="1236">
        <f>RBBD!B35</f>
        <v>0</v>
      </c>
      <c r="C50" s="1236">
        <f>RBBD!C35</f>
        <v>0</v>
      </c>
      <c r="D50" s="1236">
        <f>RBBD!D35</f>
        <v>0</v>
      </c>
      <c r="E50" s="1236">
        <f>RBBD!G35</f>
        <v>0</v>
      </c>
      <c r="F50" s="1236">
        <f>RBBD!H35</f>
        <v>0</v>
      </c>
      <c r="G50" s="1236">
        <f>RBBD!E35</f>
        <v>0</v>
      </c>
      <c r="H50" s="1236">
        <f>RBBD!F35</f>
        <v>0</v>
      </c>
      <c r="I50" s="1236">
        <f t="shared" si="2"/>
        <v>0</v>
      </c>
      <c r="J50" s="1236">
        <f t="shared" si="2"/>
        <v>0</v>
      </c>
      <c r="K50" s="1236">
        <f t="shared" si="2"/>
        <v>0</v>
      </c>
      <c r="L50" s="1236">
        <f t="shared" si="2"/>
        <v>0</v>
      </c>
      <c r="M50" s="1236">
        <f t="shared" si="3"/>
        <v>0</v>
      </c>
      <c r="N50" s="1236">
        <f>RBBD!I35</f>
        <v>0</v>
      </c>
      <c r="O50" s="1236">
        <f>RBBD!J35</f>
        <v>0</v>
      </c>
      <c r="P50" s="1236">
        <f>RBBD!K35</f>
        <v>0</v>
      </c>
      <c r="Q50" s="1236">
        <f>RBBD!L35</f>
        <v>0</v>
      </c>
      <c r="R50" s="1236">
        <f>RBBD!M35</f>
        <v>0</v>
      </c>
      <c r="S50" s="1236">
        <f>RBBD!N35</f>
        <v>0</v>
      </c>
      <c r="T50" s="1236">
        <f>RBBD!O35</f>
        <v>0</v>
      </c>
      <c r="U50" s="1236">
        <f>RBBD!P35</f>
        <v>0</v>
      </c>
      <c r="V50" s="1236">
        <f>RBBD!Q35</f>
        <v>0</v>
      </c>
      <c r="W50" s="1236">
        <f>RBBD!R35</f>
        <v>0</v>
      </c>
      <c r="X50" s="1236">
        <f>RBBD!S35</f>
        <v>0</v>
      </c>
      <c r="Y50" s="1236">
        <f>RBBD!T35</f>
        <v>0</v>
      </c>
      <c r="Z50" s="65"/>
      <c r="AA50" s="324">
        <f t="shared" si="5"/>
        <v>0</v>
      </c>
    </row>
    <row r="51" spans="2:27" hidden="1">
      <c r="B51" s="1236">
        <f>RBBD!B36</f>
        <v>0</v>
      </c>
      <c r="C51" s="1236">
        <f>RBBD!C36</f>
        <v>0</v>
      </c>
      <c r="D51" s="1236">
        <f>RBBD!D36</f>
        <v>0</v>
      </c>
      <c r="E51" s="1236">
        <f>RBBD!G36</f>
        <v>0</v>
      </c>
      <c r="F51" s="1236">
        <f>RBBD!H36</f>
        <v>0</v>
      </c>
      <c r="G51" s="1236">
        <f>RBBD!E36</f>
        <v>0</v>
      </c>
      <c r="H51" s="1236">
        <f>RBBD!F36</f>
        <v>0</v>
      </c>
      <c r="I51" s="1236">
        <f t="shared" si="2"/>
        <v>0</v>
      </c>
      <c r="J51" s="1236">
        <f t="shared" si="2"/>
        <v>0</v>
      </c>
      <c r="K51" s="1236">
        <f t="shared" si="2"/>
        <v>0</v>
      </c>
      <c r="L51" s="1236">
        <f t="shared" si="2"/>
        <v>0</v>
      </c>
      <c r="M51" s="1236">
        <f t="shared" si="3"/>
        <v>0</v>
      </c>
      <c r="N51" s="1236">
        <f>RBBD!I36</f>
        <v>0</v>
      </c>
      <c r="O51" s="1236">
        <f>RBBD!J36</f>
        <v>0</v>
      </c>
      <c r="P51" s="1236">
        <f>RBBD!K36</f>
        <v>0</v>
      </c>
      <c r="Q51" s="1236">
        <f>RBBD!L36</f>
        <v>0</v>
      </c>
      <c r="R51" s="1236">
        <f>RBBD!M36</f>
        <v>0</v>
      </c>
      <c r="S51" s="1236">
        <f>RBBD!N36</f>
        <v>0</v>
      </c>
      <c r="T51" s="1236">
        <f>RBBD!O36</f>
        <v>0</v>
      </c>
      <c r="U51" s="1236">
        <f>RBBD!P36</f>
        <v>0</v>
      </c>
      <c r="V51" s="1236">
        <f>RBBD!Q36</f>
        <v>0</v>
      </c>
      <c r="W51" s="1236">
        <f>RBBD!R36</f>
        <v>0</v>
      </c>
      <c r="X51" s="1236">
        <f>RBBD!S36</f>
        <v>0</v>
      </c>
      <c r="Y51" s="1236">
        <f>RBBD!T36</f>
        <v>0</v>
      </c>
      <c r="Z51" s="65"/>
      <c r="AA51" s="324">
        <f t="shared" si="5"/>
        <v>0</v>
      </c>
    </row>
    <row r="52" spans="2:27" hidden="1">
      <c r="B52" s="1236">
        <f>RBBD!B37</f>
        <v>0</v>
      </c>
      <c r="C52" s="1236">
        <f>RBBD!C37</f>
        <v>0</v>
      </c>
      <c r="D52" s="1236">
        <f>RBBD!D37</f>
        <v>0</v>
      </c>
      <c r="E52" s="1236">
        <f>RBBD!G37</f>
        <v>0</v>
      </c>
      <c r="F52" s="1236">
        <f>RBBD!H37</f>
        <v>0</v>
      </c>
      <c r="G52" s="1236">
        <f>RBBD!E37</f>
        <v>0</v>
      </c>
      <c r="H52" s="1236">
        <f>RBBD!F37</f>
        <v>0</v>
      </c>
      <c r="I52" s="1236">
        <f t="shared" si="2"/>
        <v>0</v>
      </c>
      <c r="J52" s="1236">
        <f t="shared" si="2"/>
        <v>0</v>
      </c>
      <c r="K52" s="1236">
        <f t="shared" si="2"/>
        <v>0</v>
      </c>
      <c r="L52" s="1236">
        <f t="shared" si="2"/>
        <v>0</v>
      </c>
      <c r="M52" s="1236">
        <f t="shared" si="3"/>
        <v>0</v>
      </c>
      <c r="N52" s="1236">
        <f>RBBD!I37</f>
        <v>0</v>
      </c>
      <c r="O52" s="1236">
        <f>RBBD!J37</f>
        <v>0</v>
      </c>
      <c r="P52" s="1236">
        <f>RBBD!K37</f>
        <v>0</v>
      </c>
      <c r="Q52" s="1236">
        <f>RBBD!L37</f>
        <v>0</v>
      </c>
      <c r="R52" s="1236">
        <f>RBBD!M37</f>
        <v>0</v>
      </c>
      <c r="S52" s="1236">
        <f>RBBD!N37</f>
        <v>0</v>
      </c>
      <c r="T52" s="1236">
        <f>RBBD!O37</f>
        <v>0</v>
      </c>
      <c r="U52" s="1236">
        <f>RBBD!P37</f>
        <v>0</v>
      </c>
      <c r="V52" s="1236">
        <f>RBBD!Q37</f>
        <v>0</v>
      </c>
      <c r="W52" s="1236">
        <f>RBBD!R37</f>
        <v>0</v>
      </c>
      <c r="X52" s="1236">
        <f>RBBD!S37</f>
        <v>0</v>
      </c>
      <c r="Y52" s="1236">
        <f>RBBD!T37</f>
        <v>0</v>
      </c>
      <c r="Z52" s="65"/>
      <c r="AA52" s="324">
        <f t="shared" si="5"/>
        <v>0</v>
      </c>
    </row>
    <row r="53" spans="2:27" hidden="1">
      <c r="B53" s="1236">
        <f>RBBD!B38</f>
        <v>0</v>
      </c>
      <c r="C53" s="1236">
        <f>RBBD!C38</f>
        <v>0</v>
      </c>
      <c r="D53" s="1236">
        <f>RBBD!D38</f>
        <v>0</v>
      </c>
      <c r="E53" s="1236">
        <f>RBBD!G38</f>
        <v>0</v>
      </c>
      <c r="F53" s="1236">
        <f>RBBD!H38</f>
        <v>0</v>
      </c>
      <c r="G53" s="1236">
        <f>RBBD!E38</f>
        <v>0</v>
      </c>
      <c r="H53" s="1236">
        <f>RBBD!F38</f>
        <v>0</v>
      </c>
      <c r="I53" s="1236">
        <f t="shared" si="2"/>
        <v>0</v>
      </c>
      <c r="J53" s="1236">
        <f t="shared" si="2"/>
        <v>0</v>
      </c>
      <c r="K53" s="1236">
        <f t="shared" si="2"/>
        <v>0</v>
      </c>
      <c r="L53" s="1236">
        <f t="shared" si="2"/>
        <v>0</v>
      </c>
      <c r="M53" s="1236">
        <f t="shared" si="3"/>
        <v>0</v>
      </c>
      <c r="N53" s="1236">
        <f>RBBD!I38</f>
        <v>0</v>
      </c>
      <c r="O53" s="1236">
        <f>RBBD!J38</f>
        <v>0</v>
      </c>
      <c r="P53" s="1236">
        <f>RBBD!K38</f>
        <v>0</v>
      </c>
      <c r="Q53" s="1236">
        <f>RBBD!L38</f>
        <v>0</v>
      </c>
      <c r="R53" s="1236">
        <f>RBBD!M38</f>
        <v>0</v>
      </c>
      <c r="S53" s="1236">
        <f>RBBD!N38</f>
        <v>0</v>
      </c>
      <c r="T53" s="1236">
        <f>RBBD!O38</f>
        <v>0</v>
      </c>
      <c r="U53" s="1236">
        <f>RBBD!P38</f>
        <v>0</v>
      </c>
      <c r="V53" s="1236">
        <f>RBBD!Q38</f>
        <v>0</v>
      </c>
      <c r="W53" s="1236">
        <f>RBBD!R38</f>
        <v>0</v>
      </c>
      <c r="X53" s="1236">
        <f>RBBD!S38</f>
        <v>0</v>
      </c>
      <c r="Y53" s="1236">
        <f>RBBD!T38</f>
        <v>0</v>
      </c>
      <c r="Z53" s="65"/>
      <c r="AA53" s="324">
        <f t="shared" si="5"/>
        <v>0</v>
      </c>
    </row>
    <row r="54" spans="2:27" hidden="1">
      <c r="B54" s="1236">
        <f>RBBD!B39</f>
        <v>0</v>
      </c>
      <c r="C54" s="1236">
        <f>RBBD!C39</f>
        <v>0</v>
      </c>
      <c r="D54" s="1236">
        <f>RBBD!D39</f>
        <v>0</v>
      </c>
      <c r="E54" s="1236">
        <f>RBBD!G39</f>
        <v>0</v>
      </c>
      <c r="F54" s="1236">
        <f>RBBD!H39</f>
        <v>0</v>
      </c>
      <c r="G54" s="1236">
        <f>RBBD!E39</f>
        <v>0</v>
      </c>
      <c r="H54" s="1236">
        <f>RBBD!F39</f>
        <v>0</v>
      </c>
      <c r="I54" s="1236">
        <f t="shared" si="2"/>
        <v>0</v>
      </c>
      <c r="J54" s="1236">
        <f t="shared" si="2"/>
        <v>0</v>
      </c>
      <c r="K54" s="1236">
        <f t="shared" si="2"/>
        <v>0</v>
      </c>
      <c r="L54" s="1236">
        <f t="shared" si="2"/>
        <v>0</v>
      </c>
      <c r="M54" s="1236">
        <f t="shared" si="3"/>
        <v>0</v>
      </c>
      <c r="N54" s="1236">
        <f>RBBD!I39</f>
        <v>0</v>
      </c>
      <c r="O54" s="1236">
        <f>RBBD!J39</f>
        <v>0</v>
      </c>
      <c r="P54" s="1236">
        <f>RBBD!K39</f>
        <v>0</v>
      </c>
      <c r="Q54" s="1236">
        <f>RBBD!L39</f>
        <v>0</v>
      </c>
      <c r="R54" s="1236">
        <f>RBBD!M39</f>
        <v>0</v>
      </c>
      <c r="S54" s="1236">
        <f>RBBD!N39</f>
        <v>0</v>
      </c>
      <c r="T54" s="1236">
        <f>RBBD!O39</f>
        <v>0</v>
      </c>
      <c r="U54" s="1236">
        <f>RBBD!P39</f>
        <v>0</v>
      </c>
      <c r="V54" s="1236">
        <f>RBBD!Q39</f>
        <v>0</v>
      </c>
      <c r="W54" s="1236">
        <f>RBBD!R39</f>
        <v>0</v>
      </c>
      <c r="X54" s="1236">
        <f>RBBD!S39</f>
        <v>0</v>
      </c>
      <c r="Y54" s="1236">
        <f>RBBD!T39</f>
        <v>0</v>
      </c>
      <c r="Z54" s="65"/>
      <c r="AA54" s="324">
        <f t="shared" si="5"/>
        <v>0</v>
      </c>
    </row>
    <row r="55" spans="2:27" hidden="1">
      <c r="B55" s="1236">
        <f>RBBD!B40</f>
        <v>0</v>
      </c>
      <c r="C55" s="1236">
        <f>RBBD!C40</f>
        <v>0</v>
      </c>
      <c r="D55" s="1236">
        <f>RBBD!D40</f>
        <v>0</v>
      </c>
      <c r="E55" s="1236">
        <f>RBBD!G40</f>
        <v>0</v>
      </c>
      <c r="F55" s="1236">
        <f>RBBD!H40</f>
        <v>0</v>
      </c>
      <c r="G55" s="1236">
        <f>RBBD!E40</f>
        <v>0</v>
      </c>
      <c r="H55" s="1236">
        <f>RBBD!F40</f>
        <v>0</v>
      </c>
      <c r="I55" s="1236">
        <f t="shared" si="2"/>
        <v>0</v>
      </c>
      <c r="J55" s="1236">
        <f t="shared" si="2"/>
        <v>0</v>
      </c>
      <c r="K55" s="1236">
        <f t="shared" si="2"/>
        <v>0</v>
      </c>
      <c r="L55" s="1236">
        <f t="shared" si="2"/>
        <v>0</v>
      </c>
      <c r="M55" s="1236">
        <f t="shared" si="3"/>
        <v>0</v>
      </c>
      <c r="N55" s="1236">
        <f>RBBD!I40</f>
        <v>0</v>
      </c>
      <c r="O55" s="1236">
        <f>RBBD!J40</f>
        <v>0</v>
      </c>
      <c r="P55" s="1236">
        <f>RBBD!K40</f>
        <v>0</v>
      </c>
      <c r="Q55" s="1236">
        <f>RBBD!L40</f>
        <v>0</v>
      </c>
      <c r="R55" s="1236">
        <f>RBBD!M40</f>
        <v>0</v>
      </c>
      <c r="S55" s="1236">
        <f>RBBD!N40</f>
        <v>0</v>
      </c>
      <c r="T55" s="1236">
        <f>RBBD!O40</f>
        <v>0</v>
      </c>
      <c r="U55" s="1236">
        <f>RBBD!P40</f>
        <v>0</v>
      </c>
      <c r="V55" s="1236">
        <f>RBBD!Q40</f>
        <v>0</v>
      </c>
      <c r="W55" s="1236">
        <f>RBBD!R40</f>
        <v>0</v>
      </c>
      <c r="X55" s="1236">
        <f>RBBD!S40</f>
        <v>0</v>
      </c>
      <c r="Y55" s="1236">
        <f>RBBD!T40</f>
        <v>0</v>
      </c>
      <c r="Z55" s="65"/>
      <c r="AA55" s="324">
        <f t="shared" si="5"/>
        <v>0</v>
      </c>
    </row>
    <row r="56" spans="2:27" hidden="1">
      <c r="B56" s="1236">
        <f>RBBD!B41</f>
        <v>0</v>
      </c>
      <c r="C56" s="1236">
        <f>RBBD!C41</f>
        <v>0</v>
      </c>
      <c r="D56" s="1236">
        <f>RBBD!D41</f>
        <v>0</v>
      </c>
      <c r="E56" s="1236">
        <f>RBBD!G41</f>
        <v>0</v>
      </c>
      <c r="F56" s="1236">
        <f>RBBD!H41</f>
        <v>0</v>
      </c>
      <c r="G56" s="1236">
        <f>RBBD!E41</f>
        <v>0</v>
      </c>
      <c r="H56" s="1236">
        <f>RBBD!F41</f>
        <v>0</v>
      </c>
      <c r="I56" s="1236">
        <f t="shared" si="2"/>
        <v>0</v>
      </c>
      <c r="J56" s="1236">
        <f t="shared" si="2"/>
        <v>0</v>
      </c>
      <c r="K56" s="1236">
        <f t="shared" si="2"/>
        <v>0</v>
      </c>
      <c r="L56" s="1236">
        <f t="shared" si="2"/>
        <v>0</v>
      </c>
      <c r="M56" s="1236">
        <f t="shared" si="3"/>
        <v>0</v>
      </c>
      <c r="N56" s="1236">
        <f>RBBD!I41</f>
        <v>0</v>
      </c>
      <c r="O56" s="1236">
        <f>RBBD!J41</f>
        <v>0</v>
      </c>
      <c r="P56" s="1236">
        <f>RBBD!K41</f>
        <v>0</v>
      </c>
      <c r="Q56" s="1236">
        <f>RBBD!L41</f>
        <v>0</v>
      </c>
      <c r="R56" s="1236">
        <f>RBBD!M41</f>
        <v>0</v>
      </c>
      <c r="S56" s="1236">
        <f>RBBD!N41</f>
        <v>0</v>
      </c>
      <c r="T56" s="1236">
        <f>RBBD!O41</f>
        <v>0</v>
      </c>
      <c r="U56" s="1236">
        <f>RBBD!P41</f>
        <v>0</v>
      </c>
      <c r="V56" s="1236">
        <f>RBBD!Q41</f>
        <v>0</v>
      </c>
      <c r="W56" s="1236">
        <f>RBBD!R41</f>
        <v>0</v>
      </c>
      <c r="X56" s="1236">
        <f>RBBD!S41</f>
        <v>0</v>
      </c>
      <c r="Y56" s="1236">
        <f>RBBD!T41</f>
        <v>0</v>
      </c>
      <c r="Z56" s="65"/>
      <c r="AA56" s="324">
        <f t="shared" si="5"/>
        <v>0</v>
      </c>
    </row>
    <row r="57" spans="2:27" hidden="1">
      <c r="B57" s="1236">
        <f>RBBD!B42</f>
        <v>0</v>
      </c>
      <c r="C57" s="1236">
        <f>RBBD!C42</f>
        <v>0</v>
      </c>
      <c r="D57" s="1236">
        <f>RBBD!D42</f>
        <v>0</v>
      </c>
      <c r="E57" s="1236">
        <f>RBBD!G42</f>
        <v>0</v>
      </c>
      <c r="F57" s="1236">
        <f>RBBD!H42</f>
        <v>0</v>
      </c>
      <c r="G57" s="1236">
        <f>RBBD!E42</f>
        <v>0</v>
      </c>
      <c r="H57" s="1236">
        <f>RBBD!F42</f>
        <v>0</v>
      </c>
      <c r="I57" s="1236">
        <f t="shared" si="2"/>
        <v>0</v>
      </c>
      <c r="J57" s="1236">
        <f t="shared" si="2"/>
        <v>0</v>
      </c>
      <c r="K57" s="1236">
        <f t="shared" si="2"/>
        <v>0</v>
      </c>
      <c r="L57" s="1236">
        <f t="shared" si="2"/>
        <v>0</v>
      </c>
      <c r="M57" s="1236">
        <f t="shared" si="3"/>
        <v>0</v>
      </c>
      <c r="N57" s="1236">
        <f>RBBD!I42</f>
        <v>0</v>
      </c>
      <c r="O57" s="1236">
        <f>RBBD!J42</f>
        <v>0</v>
      </c>
      <c r="P57" s="1236">
        <f>RBBD!K42</f>
        <v>0</v>
      </c>
      <c r="Q57" s="1236">
        <f>RBBD!L42</f>
        <v>0</v>
      </c>
      <c r="R57" s="1236">
        <f>RBBD!M42</f>
        <v>0</v>
      </c>
      <c r="S57" s="1236">
        <f>RBBD!N42</f>
        <v>0</v>
      </c>
      <c r="T57" s="1236">
        <f>RBBD!O42</f>
        <v>0</v>
      </c>
      <c r="U57" s="1236">
        <f>RBBD!P42</f>
        <v>0</v>
      </c>
      <c r="V57" s="1236">
        <f>RBBD!Q42</f>
        <v>0</v>
      </c>
      <c r="W57" s="1236">
        <f>RBBD!R42</f>
        <v>0</v>
      </c>
      <c r="X57" s="1236">
        <f>RBBD!S42</f>
        <v>0</v>
      </c>
      <c r="Y57" s="1236">
        <f>RBBD!T42</f>
        <v>0</v>
      </c>
      <c r="Z57" s="65"/>
      <c r="AA57" s="324">
        <f t="shared" si="5"/>
        <v>0</v>
      </c>
    </row>
    <row r="58" spans="2:27" hidden="1">
      <c r="B58" s="1236">
        <f>RBBD!B43</f>
        <v>0</v>
      </c>
      <c r="C58" s="1236">
        <f>RBBD!C43</f>
        <v>0</v>
      </c>
      <c r="D58" s="1236">
        <f>RBBD!D43</f>
        <v>0</v>
      </c>
      <c r="E58" s="1236">
        <f>RBBD!G43</f>
        <v>0</v>
      </c>
      <c r="F58" s="1236">
        <f>RBBD!H43</f>
        <v>0</v>
      </c>
      <c r="G58" s="1236">
        <f>RBBD!E43</f>
        <v>0</v>
      </c>
      <c r="H58" s="1236">
        <f>RBBD!F43</f>
        <v>0</v>
      </c>
      <c r="I58" s="1236">
        <f t="shared" si="2"/>
        <v>0</v>
      </c>
      <c r="J58" s="1236">
        <f t="shared" si="2"/>
        <v>0</v>
      </c>
      <c r="K58" s="1236">
        <f t="shared" si="2"/>
        <v>0</v>
      </c>
      <c r="L58" s="1236">
        <f t="shared" si="2"/>
        <v>0</v>
      </c>
      <c r="M58" s="1236">
        <f t="shared" si="3"/>
        <v>0</v>
      </c>
      <c r="N58" s="1236">
        <f>RBBD!I43</f>
        <v>0</v>
      </c>
      <c r="O58" s="1236">
        <f>RBBD!J43</f>
        <v>0</v>
      </c>
      <c r="P58" s="1236">
        <f>RBBD!K43</f>
        <v>0</v>
      </c>
      <c r="Q58" s="1236">
        <f>RBBD!L43</f>
        <v>0</v>
      </c>
      <c r="R58" s="1236">
        <f>RBBD!M43</f>
        <v>0</v>
      </c>
      <c r="S58" s="1236">
        <f>RBBD!N43</f>
        <v>0</v>
      </c>
      <c r="T58" s="1236">
        <f>RBBD!O43</f>
        <v>0</v>
      </c>
      <c r="U58" s="1236">
        <f>RBBD!P43</f>
        <v>0</v>
      </c>
      <c r="V58" s="1236">
        <f>RBBD!Q43</f>
        <v>0</v>
      </c>
      <c r="W58" s="1236">
        <f>RBBD!R43</f>
        <v>0</v>
      </c>
      <c r="X58" s="1236">
        <f>RBBD!S43</f>
        <v>0</v>
      </c>
      <c r="Y58" s="1236">
        <f>RBBD!T43</f>
        <v>0</v>
      </c>
      <c r="Z58" s="65"/>
      <c r="AA58" s="324">
        <f t="shared" si="5"/>
        <v>0</v>
      </c>
    </row>
    <row r="59" spans="2:27" hidden="1">
      <c r="B59" s="1236">
        <f>RBBD!B44</f>
        <v>0</v>
      </c>
      <c r="C59" s="1236">
        <f>RBBD!C44</f>
        <v>0</v>
      </c>
      <c r="D59" s="1236">
        <f>RBBD!D44</f>
        <v>0</v>
      </c>
      <c r="E59" s="1236">
        <f>RBBD!G44</f>
        <v>0</v>
      </c>
      <c r="F59" s="1236">
        <f>RBBD!H44</f>
        <v>0</v>
      </c>
      <c r="G59" s="1236">
        <f>RBBD!E44</f>
        <v>0</v>
      </c>
      <c r="H59" s="1236">
        <f>RBBD!F44</f>
        <v>0</v>
      </c>
      <c r="I59" s="1236">
        <f t="shared" si="2"/>
        <v>0</v>
      </c>
      <c r="J59" s="1236">
        <f t="shared" si="2"/>
        <v>0</v>
      </c>
      <c r="K59" s="1236">
        <f t="shared" si="2"/>
        <v>0</v>
      </c>
      <c r="L59" s="1236">
        <f t="shared" si="2"/>
        <v>0</v>
      </c>
      <c r="M59" s="1236">
        <f t="shared" si="3"/>
        <v>0</v>
      </c>
      <c r="N59" s="1236">
        <f>RBBD!I44</f>
        <v>0</v>
      </c>
      <c r="O59" s="1236">
        <f>RBBD!J44</f>
        <v>0</v>
      </c>
      <c r="P59" s="1236">
        <f>RBBD!K44</f>
        <v>0</v>
      </c>
      <c r="Q59" s="1236">
        <f>RBBD!L44</f>
        <v>0</v>
      </c>
      <c r="R59" s="1236">
        <f>RBBD!M44</f>
        <v>0</v>
      </c>
      <c r="S59" s="1236">
        <f>RBBD!N44</f>
        <v>0</v>
      </c>
      <c r="T59" s="1236">
        <f>RBBD!O44</f>
        <v>0</v>
      </c>
      <c r="U59" s="1236">
        <f>RBBD!P44</f>
        <v>0</v>
      </c>
      <c r="V59" s="1236">
        <f>RBBD!Q44</f>
        <v>0</v>
      </c>
      <c r="W59" s="1236">
        <f>RBBD!R44</f>
        <v>0</v>
      </c>
      <c r="X59" s="1236">
        <f>RBBD!S44</f>
        <v>0</v>
      </c>
      <c r="Y59" s="1236">
        <f>RBBD!T44</f>
        <v>0</v>
      </c>
      <c r="Z59" s="65"/>
      <c r="AA59" s="324">
        <f t="shared" si="5"/>
        <v>0</v>
      </c>
    </row>
    <row r="60" spans="2:27" hidden="1">
      <c r="B60" s="1236">
        <f>RBBD!B45</f>
        <v>0</v>
      </c>
      <c r="C60" s="1236">
        <f>RBBD!C45</f>
        <v>0</v>
      </c>
      <c r="D60" s="1236">
        <f>RBBD!D45</f>
        <v>0</v>
      </c>
      <c r="E60" s="1236">
        <f>RBBD!G45</f>
        <v>0</v>
      </c>
      <c r="F60" s="1236">
        <f>RBBD!H45</f>
        <v>0</v>
      </c>
      <c r="G60" s="1236">
        <f>RBBD!E45</f>
        <v>0</v>
      </c>
      <c r="H60" s="1236">
        <f>RBBD!F45</f>
        <v>0</v>
      </c>
      <c r="I60" s="1236">
        <f t="shared" si="2"/>
        <v>0</v>
      </c>
      <c r="J60" s="1236">
        <f t="shared" si="2"/>
        <v>0</v>
      </c>
      <c r="K60" s="1236">
        <f t="shared" si="2"/>
        <v>0</v>
      </c>
      <c r="L60" s="1236">
        <f t="shared" si="2"/>
        <v>0</v>
      </c>
      <c r="M60" s="1236">
        <f t="shared" si="3"/>
        <v>0</v>
      </c>
      <c r="N60" s="1236">
        <f>RBBD!I45</f>
        <v>0</v>
      </c>
      <c r="O60" s="1236">
        <f>RBBD!J45</f>
        <v>0</v>
      </c>
      <c r="P60" s="1236">
        <f>RBBD!K45</f>
        <v>0</v>
      </c>
      <c r="Q60" s="1236">
        <f>RBBD!L45</f>
        <v>0</v>
      </c>
      <c r="R60" s="1236">
        <f>RBBD!M45</f>
        <v>0</v>
      </c>
      <c r="S60" s="1236">
        <f>RBBD!N45</f>
        <v>0</v>
      </c>
      <c r="T60" s="1236">
        <f>RBBD!O45</f>
        <v>0</v>
      </c>
      <c r="U60" s="1236">
        <f>RBBD!P45</f>
        <v>0</v>
      </c>
      <c r="V60" s="1236">
        <f>RBBD!Q45</f>
        <v>0</v>
      </c>
      <c r="W60" s="1236">
        <f>RBBD!R45</f>
        <v>0</v>
      </c>
      <c r="X60" s="1236">
        <f>RBBD!S45</f>
        <v>0</v>
      </c>
      <c r="Y60" s="1236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7" t="s">
        <v>1165</v>
      </c>
      <c r="D62" s="1238"/>
      <c r="E62" s="1238" t="e">
        <f>SUM(I18:I61)/SUM(M18:M61)</f>
        <v>#DIV/0!</v>
      </c>
      <c r="F62" s="1238" t="e">
        <f>SUM(J18:J61)/SUM(M18:M61)</f>
        <v>#DIV/0!</v>
      </c>
      <c r="G62" s="1238" t="e">
        <f>SUM(K18:K61)/SUM(M18:M61)</f>
        <v>#DIV/0!</v>
      </c>
      <c r="H62" s="1238" t="e">
        <f>SUM(L18:L61)/SUM(M18:M61)</f>
        <v>#DIV/0!</v>
      </c>
      <c r="I62" s="1239">
        <f>SUM(I16:I61)</f>
        <v>0</v>
      </c>
      <c r="J62" s="1239">
        <f>SUM(J16:J61)</f>
        <v>0</v>
      </c>
      <c r="K62" s="1239">
        <f>SUM(K16:K61)</f>
        <v>0</v>
      </c>
      <c r="L62" s="1239">
        <f>SUM(L16:L61)</f>
        <v>0</v>
      </c>
      <c r="M62" s="1239">
        <f>SUM(M17:M61)</f>
        <v>0</v>
      </c>
      <c r="N62" s="1239">
        <f>SUM(N18:N61)</f>
        <v>0</v>
      </c>
      <c r="O62" s="1239">
        <f t="shared" ref="O62:Y62" si="6">SUM(O18:O61)</f>
        <v>0</v>
      </c>
      <c r="P62" s="1239">
        <f t="shared" si="6"/>
        <v>0</v>
      </c>
      <c r="Q62" s="1239">
        <f t="shared" si="6"/>
        <v>0</v>
      </c>
      <c r="R62" s="1239">
        <f t="shared" si="6"/>
        <v>0</v>
      </c>
      <c r="S62" s="1239">
        <f t="shared" si="6"/>
        <v>0</v>
      </c>
      <c r="T62" s="1239">
        <f t="shared" si="6"/>
        <v>0</v>
      </c>
      <c r="U62" s="1239">
        <f t="shared" si="6"/>
        <v>0</v>
      </c>
      <c r="V62" s="1239">
        <f t="shared" si="6"/>
        <v>0</v>
      </c>
      <c r="W62" s="1239">
        <f t="shared" si="6"/>
        <v>0</v>
      </c>
      <c r="X62" s="1239">
        <f t="shared" si="6"/>
        <v>0</v>
      </c>
      <c r="Y62" s="1239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29" t="s">
        <v>1166</v>
      </c>
      <c r="C67" s="1229"/>
      <c r="D67" s="1229"/>
      <c r="E67" s="1229"/>
      <c r="F67" s="1229"/>
      <c r="G67" s="1229"/>
      <c r="H67" s="1229"/>
      <c r="I67" s="1229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6"/>
      <c r="E69" s="1240">
        <f>IF(MONTH(E70)=7,E70,0)</f>
        <v>0</v>
      </c>
      <c r="F69" s="1240">
        <f t="shared" ref="F69:P69" si="7">IF(MONTH(F70)=7,F70,0)</f>
        <v>0</v>
      </c>
      <c r="G69" s="1240">
        <f t="shared" si="7"/>
        <v>0</v>
      </c>
      <c r="H69" s="1240">
        <f t="shared" si="7"/>
        <v>0</v>
      </c>
      <c r="I69" s="1240">
        <f t="shared" si="7"/>
        <v>0</v>
      </c>
      <c r="J69" s="1240">
        <f t="shared" si="7"/>
        <v>0</v>
      </c>
      <c r="K69" s="1240">
        <f t="shared" si="7"/>
        <v>0</v>
      </c>
      <c r="L69" s="1240">
        <f t="shared" si="7"/>
        <v>0</v>
      </c>
      <c r="M69" s="1240">
        <f t="shared" si="7"/>
        <v>0</v>
      </c>
      <c r="N69" s="1240">
        <f t="shared" si="7"/>
        <v>0</v>
      </c>
      <c r="O69" s="1240">
        <f t="shared" si="7"/>
        <v>44743</v>
      </c>
      <c r="P69" s="1240">
        <f t="shared" si="7"/>
        <v>0</v>
      </c>
      <c r="Q69" s="767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1">
        <f>G76</f>
        <v>44440</v>
      </c>
      <c r="F70" s="1241">
        <f>G77</f>
        <v>44470</v>
      </c>
      <c r="G70" s="1241">
        <f>G78</f>
        <v>44501</v>
      </c>
      <c r="H70" s="1241">
        <f>G79</f>
        <v>44531</v>
      </c>
      <c r="I70" s="1241">
        <f>G80</f>
        <v>44562</v>
      </c>
      <c r="J70" s="1241">
        <f>G81</f>
        <v>44593</v>
      </c>
      <c r="K70" s="1241">
        <f>G82</f>
        <v>44621</v>
      </c>
      <c r="L70" s="1241">
        <f>G83</f>
        <v>44652</v>
      </c>
      <c r="M70" s="1241">
        <f>G84</f>
        <v>44682</v>
      </c>
      <c r="N70" s="1241">
        <f>G85</f>
        <v>44713</v>
      </c>
      <c r="O70" s="1241">
        <f>G86</f>
        <v>44743</v>
      </c>
      <c r="P70" s="1241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2" t="s">
        <v>1168</v>
      </c>
      <c r="D71" s="1243">
        <f>SUM(E71:P71)</f>
        <v>0</v>
      </c>
      <c r="E71" s="1244">
        <f>SUMIF($G$76:$G$420,E70,$N$76:$N$420)</f>
        <v>0</v>
      </c>
      <c r="F71" s="1244">
        <f t="shared" ref="F71:P71" si="8">SUMIF($G$76:$G$420,F70,$N$76:$N$420)</f>
        <v>0</v>
      </c>
      <c r="G71" s="1244">
        <f t="shared" si="8"/>
        <v>0</v>
      </c>
      <c r="H71" s="1244">
        <f t="shared" si="8"/>
        <v>0</v>
      </c>
      <c r="I71" s="1244">
        <f t="shared" si="8"/>
        <v>0</v>
      </c>
      <c r="J71" s="1244">
        <f t="shared" si="8"/>
        <v>0</v>
      </c>
      <c r="K71" s="1244">
        <f t="shared" si="8"/>
        <v>0</v>
      </c>
      <c r="L71" s="1244">
        <f t="shared" si="8"/>
        <v>0</v>
      </c>
      <c r="M71" s="1244">
        <f t="shared" si="8"/>
        <v>0</v>
      </c>
      <c r="N71" s="1244">
        <f t="shared" si="8"/>
        <v>0</v>
      </c>
      <c r="O71" s="1244">
        <f t="shared" si="8"/>
        <v>0</v>
      </c>
      <c r="P71" s="1244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2" t="s">
        <v>1169</v>
      </c>
      <c r="D72" s="1243">
        <f>SUM(E72:P72)</f>
        <v>0</v>
      </c>
      <c r="E72" s="1244">
        <f>SUMIF(Indexador!$B$25:$B$48,'Rede Básica + Ajuste'!E70,Indexador!$J$25:$J$48)</f>
        <v>0</v>
      </c>
      <c r="F72" s="1244">
        <f>SUMIF(Indexador!$B$25:$B$48,'Rede Básica + Ajuste'!F70,Indexador!$J$25:$J$48)</f>
        <v>0</v>
      </c>
      <c r="G72" s="1244">
        <f>SUMIF(Indexador!$B$25:$B$48,'Rede Básica + Ajuste'!G70,Indexador!$J$25:$J$48)</f>
        <v>0</v>
      </c>
      <c r="H72" s="1244">
        <f>SUMIF(Indexador!$B$25:$B$48,'Rede Básica + Ajuste'!H70,Indexador!$J$25:$J$48)</f>
        <v>0</v>
      </c>
      <c r="I72" s="1244">
        <f>SUMIF(Indexador!$B$25:$B$48,'Rede Básica + Ajuste'!I70,Indexador!$J$25:$J$48)</f>
        <v>0</v>
      </c>
      <c r="J72" s="1244">
        <f>SUMIF(Indexador!$B$25:$B$48,'Rede Básica + Ajuste'!J70,Indexador!$J$25:$J$48)</f>
        <v>0</v>
      </c>
      <c r="K72" s="1244">
        <f>SUMIF(Indexador!$B$25:$B$48,'Rede Básica + Ajuste'!K70,Indexador!$J$25:$J$48)</f>
        <v>0</v>
      </c>
      <c r="L72" s="1244">
        <f>SUMIF(Indexador!$B$25:$B$48,'Rede Básica + Ajuste'!L70,Indexador!$J$25:$J$48)</f>
        <v>0</v>
      </c>
      <c r="M72" s="1244">
        <f>SUMIF(Indexador!$B$25:$B$48,'Rede Básica + Ajuste'!M70,Indexador!$J$25:$J$48)</f>
        <v>0</v>
      </c>
      <c r="N72" s="1244">
        <f>SUMIF(Indexador!$B$25:$B$48,'Rede Básica + Ajuste'!N70,Indexador!$J$25:$J$48)</f>
        <v>0</v>
      </c>
      <c r="O72" s="1244">
        <f>SUMIF(Indexador!$B$25:$B$48,'Rede Básica + Ajuste'!O70,Indexador!$J$25:$J$48)</f>
        <v>0</v>
      </c>
      <c r="P72" s="124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03" t="s">
        <v>1170</v>
      </c>
      <c r="K74" s="1804"/>
      <c r="L74" s="1802" t="s">
        <v>1171</v>
      </c>
      <c r="M74" s="1802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05" t="s">
        <v>1153</v>
      </c>
      <c r="D75" s="1806"/>
      <c r="F75" s="270"/>
      <c r="G75" s="1245" t="s">
        <v>646</v>
      </c>
      <c r="H75" s="1246" t="s">
        <v>1172</v>
      </c>
      <c r="I75" s="1246" t="s">
        <v>1173</v>
      </c>
      <c r="J75" s="1247" t="s">
        <v>1174</v>
      </c>
      <c r="K75" s="1247" t="s">
        <v>1175</v>
      </c>
      <c r="L75" s="1247" t="s">
        <v>1174</v>
      </c>
      <c r="M75" s="1247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2" t="s">
        <v>1177</v>
      </c>
      <c r="D76" s="1248">
        <f>IF(D18="Ponta",B18,0)</f>
        <v>0</v>
      </c>
      <c r="E76" s="18"/>
      <c r="F76" s="270"/>
      <c r="G76" s="1249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0">
        <f>IF(MONTH(DataRevRea)=7,'Rede Básica + Ajuste'!J76,IF(G76&lt;$Q$69,(SUMIFS($E$18:$E$60,$B$18:$B$60,$D$76,$D$18:$D$60,"Ponta")),(SUMIFS($F$18:$F$60,$B$18:$B$60,$D$76,$D$18:$D$60,"Ponta"))))</f>
        <v>0</v>
      </c>
      <c r="M76" s="1250">
        <f>IF(MONTH(DataRevRea)=7,'Rede Básica + Ajuste'!K76,IF(G76&lt;$Q$69,(SUMIFS($E$18:$E$60,$B$18:$B$60,$D$76,$D$18:$D$60,"Fora Ponta")),(SUMIFS($F$18:$F$60,$B$18:$B$60,$D$76,$D$18:$D$60,"Fora Ponta"))))</f>
        <v>0</v>
      </c>
      <c r="N76" s="1251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2" t="s">
        <v>1178</v>
      </c>
      <c r="E78" s="1253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4" t="str">
        <f>"Cobertura "&amp;YEAR(CAPA!C14)</f>
        <v>Cobertura 2021</v>
      </c>
      <c r="D79" s="1255">
        <f>SUMPRODUCT(H76:H87,J76:J87)</f>
        <v>0</v>
      </c>
      <c r="E79" s="1255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4" t="s">
        <v>1180</v>
      </c>
      <c r="D80" s="1255">
        <f>SUMPRODUCT(H76:H87,L76:L87)</f>
        <v>0</v>
      </c>
      <c r="E80" s="1255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6">
        <f t="shared" si="12"/>
        <v>44774</v>
      </c>
      <c r="H87" s="1257">
        <f>SUMIFS($Y$18:$Y$60,$B$18:$B$60,$D$76,$D$18:$D$60,"Ponta")</f>
        <v>0</v>
      </c>
      <c r="I87" s="1257">
        <f>SUMIFS($Y$18:$Y$60,$B$18:$B$60,$D$76,$D$18:$D$60,"Fora Ponta")</f>
        <v>0</v>
      </c>
      <c r="J87" s="1257">
        <f t="shared" si="9"/>
        <v>0</v>
      </c>
      <c r="K87" s="1257">
        <f t="shared" si="10"/>
        <v>0</v>
      </c>
      <c r="L87" s="1257">
        <f>IF(MONTH(DataRevRea)=7,'Rede Básica + Ajuste'!J87,IF(G87&lt;$Q$69,(SUMIFS($E$18:$E$60,$B$18:$B$60,$D$76,$D$18:$D$60,"Ponta")),(SUMIFS($F$18:$F$60,$B$18:$B$60,$D$76,$D$18:$D$60,"Ponta"))))</f>
        <v>0</v>
      </c>
      <c r="M87" s="1257">
        <f>IF(MONTH(DataRevRea)=7,'Rede Básica + Ajuste'!K87,IF(G87&lt;$Q$69,(SUMIFS($E$18:$E$60,$B$18:$B$60,$D$76,$D$18:$D$60,"Fora Ponta")),(SUMIFS($F$18:$F$60,$B$18:$B$60,$D$76,$D$18:$D$60,"Fora Ponta"))))</f>
        <v>0</v>
      </c>
      <c r="N87" s="1258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03" t="s">
        <v>1170</v>
      </c>
      <c r="K89" s="1804"/>
      <c r="L89" s="1802" t="s">
        <v>1171</v>
      </c>
      <c r="M89" s="1802"/>
      <c r="N89" s="278"/>
    </row>
    <row r="90" spans="2:50" ht="15.75">
      <c r="C90" s="1805" t="s">
        <v>1181</v>
      </c>
      <c r="D90" s="1806"/>
      <c r="F90" s="270"/>
      <c r="G90" s="1245" t="s">
        <v>646</v>
      </c>
      <c r="H90" s="1246" t="s">
        <v>1172</v>
      </c>
      <c r="I90" s="1246" t="s">
        <v>1173</v>
      </c>
      <c r="J90" s="1247" t="s">
        <v>1174</v>
      </c>
      <c r="K90" s="1247" t="s">
        <v>1175</v>
      </c>
      <c r="L90" s="1247" t="s">
        <v>1174</v>
      </c>
      <c r="M90" s="1247" t="s">
        <v>1175</v>
      </c>
      <c r="N90" s="277" t="s">
        <v>1176</v>
      </c>
    </row>
    <row r="91" spans="2:50" ht="15.75">
      <c r="C91" s="1242" t="s">
        <v>1177</v>
      </c>
      <c r="D91" s="1248">
        <f>IF(D18="Ponta",B18,0)</f>
        <v>0</v>
      </c>
      <c r="E91" s="18"/>
      <c r="F91" s="270"/>
      <c r="G91" s="1249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0">
        <f>IF(MONTH(DataRevRea)=7,'Rede Básica + Ajuste'!J91,IF(G91&lt;$Q$69,(SUMIFS($G$18:$G$60,$B$18:$B$60,$D$91,$D$18:$D$60,"Ponta")),(SUMIFS($H$18:$H$60,$B$18:$B$60,$D$91,$D$18:$D$60,"Ponta"))))</f>
        <v>0</v>
      </c>
      <c r="M91" s="1250">
        <f>IF(MONTH(DataRevRea)=7,'Rede Básica + Ajuste'!K91,IF(G91&lt;$Q$69,(SUMIFS($G$18:$G$60,$B$18:$B$60,$D$91,$D$18:$D$60,"Fora Ponta")),(SUMIFS($H$18:$H$60,$B$18:$B$60,$D$91,$D$18:$D$60,"Fora Ponta"))))</f>
        <v>0</v>
      </c>
      <c r="N91" s="1251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2" t="s">
        <v>1178</v>
      </c>
      <c r="E93" s="1253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4" t="str">
        <f>C79</f>
        <v>Cobertura 2021</v>
      </c>
      <c r="D94" s="1255">
        <f>SUMPRODUCT(H91:H102,J91:J102)</f>
        <v>0</v>
      </c>
      <c r="E94" s="1255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4" t="s">
        <v>1180</v>
      </c>
      <c r="D95" s="1255">
        <f>SUMPRODUCT(H91:H102,L91:L102)</f>
        <v>0</v>
      </c>
      <c r="E95" s="1255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6">
        <f t="shared" si="13"/>
        <v>44774</v>
      </c>
      <c r="H102" s="1257">
        <f t="shared" si="13"/>
        <v>0</v>
      </c>
      <c r="I102" s="1257">
        <f t="shared" si="13"/>
        <v>0</v>
      </c>
      <c r="J102" s="1257">
        <f t="shared" si="14"/>
        <v>0</v>
      </c>
      <c r="K102" s="1257">
        <f t="shared" si="15"/>
        <v>0</v>
      </c>
      <c r="L102" s="1257">
        <f>IF(MONTH(DataRevRea)=7,'Rede Básica + Ajuste'!J102,IF(G102&lt;$Q$69,(SUMIFS($G$18:$G$60,$B$18:$B$60,$D$91,$D$18:$D$60,"Ponta")),(SUMIFS($H$18:$H$60,$B$18:$B$60,$D$91,$D$18:$D$60,"Ponta"))))</f>
        <v>0</v>
      </c>
      <c r="M102" s="1257">
        <f>IF(MONTH(DataRevRea)=7,'Rede Básica + Ajuste'!K102,IF(G102&lt;$Q$69,(SUMIFS($G$18:$G$60,$B$18:$B$60,$D$91,$D$18:$D$60,"Fora Ponta")),(SUMIFS($H$18:$H$60,$B$18:$B$60,$D$91,$D$18:$D$60,"Fora Ponta"))))</f>
        <v>0</v>
      </c>
      <c r="N102" s="1258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03" t="s">
        <v>1170</v>
      </c>
      <c r="K104" s="1804"/>
      <c r="L104" s="1802" t="s">
        <v>1171</v>
      </c>
      <c r="M104" s="1802"/>
      <c r="N104" s="278"/>
    </row>
    <row r="105" spans="3:14" ht="15.75">
      <c r="C105" s="1805" t="s">
        <v>1153</v>
      </c>
      <c r="D105" s="1806"/>
      <c r="F105" s="270"/>
      <c r="G105" s="1245" t="s">
        <v>646</v>
      </c>
      <c r="H105" s="1246" t="s">
        <v>1172</v>
      </c>
      <c r="I105" s="1246" t="s">
        <v>1173</v>
      </c>
      <c r="J105" s="1247" t="s">
        <v>1174</v>
      </c>
      <c r="K105" s="1247" t="s">
        <v>1175</v>
      </c>
      <c r="L105" s="1247" t="s">
        <v>1174</v>
      </c>
      <c r="M105" s="1247" t="s">
        <v>1175</v>
      </c>
      <c r="N105" s="277" t="s">
        <v>1176</v>
      </c>
    </row>
    <row r="106" spans="3:14" ht="15.75">
      <c r="C106" s="1242" t="s">
        <v>1177</v>
      </c>
      <c r="D106" s="1259">
        <f>IF(D19="Ponta",B19,0)</f>
        <v>0</v>
      </c>
      <c r="E106" s="18"/>
      <c r="F106" s="270"/>
      <c r="G106" s="1249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0">
        <f>IF(MONTH(DataRevRea)=7,'Rede Básica + Ajuste'!J106,IF(G106&lt;$Q$69,(SUMIFS($E$18:$E$60,$B$18:$B$60,$D$106,$D$18:$D$60,"Ponta")),(SUMIFS($F$18:$F$60,$B$18:$B$60,$D$106,$D$18:$D$60,"Ponta"))))</f>
        <v>0</v>
      </c>
      <c r="M106" s="1250">
        <f>IF(MONTH(DataRevRea)=7,'Rede Básica + Ajuste'!K106,IF(G106&lt;$Q$69,(SUMIFS($E$18:$E$60,$B$18:$B$60,$D$106,$D$18:$D$60,"Fora Ponta")),(SUMIFS($F$18:$F$60,$B$18:$B$60,$D$106,$D$18:$D$60,"Fora Ponta"))))</f>
        <v>0</v>
      </c>
      <c r="N106" s="1251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2" t="s">
        <v>1178</v>
      </c>
      <c r="E108" s="1253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4" t="str">
        <f>C94</f>
        <v>Cobertura 2021</v>
      </c>
      <c r="D109" s="1255">
        <f>SUMPRODUCT(H106:H117,J106:J117)</f>
        <v>0</v>
      </c>
      <c r="E109" s="1255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4" t="s">
        <v>1180</v>
      </c>
      <c r="D110" s="1255">
        <f>SUMPRODUCT(H106:H117,L106:L117)</f>
        <v>0</v>
      </c>
      <c r="E110" s="1255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6">
        <f t="shared" si="17"/>
        <v>44774</v>
      </c>
      <c r="H117" s="1257">
        <f>SUMIFS($Y$18:$Y$60,$B$18:$B$60,$D$106,$D$18:$D$60,"Ponta")</f>
        <v>0</v>
      </c>
      <c r="I117" s="1257">
        <f>SUMIFS($Y$18:$Y$60,$B$18:$B$60,$D$106,$D$18:$D$60,"Fora Ponta")</f>
        <v>0</v>
      </c>
      <c r="J117" s="1257">
        <f t="shared" si="18"/>
        <v>0</v>
      </c>
      <c r="K117" s="1257">
        <f t="shared" si="19"/>
        <v>0</v>
      </c>
      <c r="L117" s="1257">
        <f>IF(MONTH(DataRevRea)=7,'Rede Básica + Ajuste'!J117,IF(G117&lt;$Q$69,(SUMIFS($E$18:$E$60,$B$18:$B$60,$D$106,$D$18:$D$60,"Ponta")),(SUMIFS($F$18:$F$60,$B$18:$B$60,$D$106,$D$18:$D$60,"Ponta"))))</f>
        <v>0</v>
      </c>
      <c r="M117" s="1257">
        <f>IF(MONTH(DataRevRea)=7,'Rede Básica + Ajuste'!K117,IF(G117&lt;$Q$69,(SUMIFS($E$18:$E$60,$B$18:$B$60,$D$106,$D$18:$D$60,"Fora Ponta")),(SUMIFS($F$18:$F$60,$B$18:$B$60,$D$106,$D$18:$D$60,"Fora Ponta"))))</f>
        <v>0</v>
      </c>
      <c r="N117" s="1258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03" t="s">
        <v>1170</v>
      </c>
      <c r="K119" s="1804"/>
      <c r="L119" s="1802" t="s">
        <v>1171</v>
      </c>
      <c r="M119" s="1802"/>
      <c r="N119" s="278"/>
    </row>
    <row r="120" spans="3:14" ht="15.75">
      <c r="C120" s="1805" t="s">
        <v>1181</v>
      </c>
      <c r="D120" s="1806"/>
      <c r="F120" s="270"/>
      <c r="G120" s="1245" t="s">
        <v>646</v>
      </c>
      <c r="H120" s="1246" t="s">
        <v>1172</v>
      </c>
      <c r="I120" s="1246" t="s">
        <v>1173</v>
      </c>
      <c r="J120" s="1247" t="s">
        <v>1174</v>
      </c>
      <c r="K120" s="1247" t="s">
        <v>1175</v>
      </c>
      <c r="L120" s="1247" t="s">
        <v>1174</v>
      </c>
      <c r="M120" s="1247" t="s">
        <v>1175</v>
      </c>
      <c r="N120" s="277" t="s">
        <v>1176</v>
      </c>
    </row>
    <row r="121" spans="3:14" ht="15.75">
      <c r="C121" s="1242" t="s">
        <v>1177</v>
      </c>
      <c r="D121" s="1259">
        <f>IF(D19="Ponta",B19,0)</f>
        <v>0</v>
      </c>
      <c r="E121" s="18"/>
      <c r="F121" s="270"/>
      <c r="G121" s="1249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0">
        <f>IF(MONTH(DataRevRea)=7,'Rede Básica + Ajuste'!J121,IF(G121&lt;$Q$69,(SUMIFS($G$18:$G$60,$B$18:$B$60,$D$121,$D$18:$D$60,"Ponta")),(SUMIFS($H$18:$H$60,$B$18:$B$60,$D$121,$D$18:$D$60,"Ponta"))))</f>
        <v>0</v>
      </c>
      <c r="M121" s="1250">
        <f>IF(MONTH(DataRevRea)=7,'Rede Básica + Ajuste'!K121,IF(G121&lt;$Q$69,(SUMIFS($G$18:$G$60,$B$18:$B$60,$D$121,$D$18:$D$60,"Fora Ponta")),(SUMIFS($H$18:$H$60,$B$18:$B$60,$D$121,$D$18:$D$60,"Fora Ponta"))))</f>
        <v>0</v>
      </c>
      <c r="N121" s="1251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2" t="s">
        <v>1178</v>
      </c>
      <c r="E123" s="1253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4" t="str">
        <f>C109</f>
        <v>Cobertura 2021</v>
      </c>
      <c r="D124" s="1255">
        <f>SUMPRODUCT(H121:H132,J121:J132)</f>
        <v>0</v>
      </c>
      <c r="E124" s="1255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4" t="s">
        <v>1180</v>
      </c>
      <c r="D125" s="1255">
        <f>SUMPRODUCT(H121:H132,L121:L132)</f>
        <v>0</v>
      </c>
      <c r="E125" s="1255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6">
        <f t="shared" si="21"/>
        <v>44774</v>
      </c>
      <c r="H132" s="1257">
        <f t="shared" si="21"/>
        <v>0</v>
      </c>
      <c r="I132" s="1257">
        <f t="shared" si="21"/>
        <v>0</v>
      </c>
      <c r="J132" s="1257">
        <f t="shared" si="22"/>
        <v>0</v>
      </c>
      <c r="K132" s="1257">
        <f t="shared" si="23"/>
        <v>0</v>
      </c>
      <c r="L132" s="1257">
        <f>IF(MONTH(DataRevRea)=7,'Rede Básica + Ajuste'!J132,IF(G132&lt;$Q$69,(SUMIFS($G$18:$G$60,$B$18:$B$60,$D$121,$D$18:$D$60,"Ponta")),(SUMIFS($H$18:$H$60,$B$18:$B$60,$D$121,$D$18:$D$60,"Ponta"))))</f>
        <v>0</v>
      </c>
      <c r="M132" s="1257">
        <f>IF(MONTH(DataRevRea)=7,'Rede Básica + Ajuste'!K132,IF(G132&lt;$Q$69,(SUMIFS($G$18:$G$60,$B$18:$B$60,$D$121,$D$18:$D$60,"Fora Ponta")),(SUMIFS($H$18:$H$60,$B$18:$B$60,$D$121,$D$18:$D$60,"Fora Ponta"))))</f>
        <v>0</v>
      </c>
      <c r="N132" s="1258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03" t="s">
        <v>1170</v>
      </c>
      <c r="K134" s="1804"/>
      <c r="L134" s="1802" t="s">
        <v>1171</v>
      </c>
      <c r="M134" s="1802"/>
      <c r="N134" s="278"/>
    </row>
    <row r="135" spans="3:14" ht="15.75">
      <c r="C135" s="1805" t="s">
        <v>1153</v>
      </c>
      <c r="D135" s="1806"/>
      <c r="F135" s="270"/>
      <c r="G135" s="1245" t="s">
        <v>646</v>
      </c>
      <c r="H135" s="1246" t="s">
        <v>1172</v>
      </c>
      <c r="I135" s="1246" t="s">
        <v>1173</v>
      </c>
      <c r="J135" s="1247" t="s">
        <v>1174</v>
      </c>
      <c r="K135" s="1247" t="s">
        <v>1175</v>
      </c>
      <c r="L135" s="1247" t="s">
        <v>1174</v>
      </c>
      <c r="M135" s="1247" t="s">
        <v>1175</v>
      </c>
      <c r="N135" s="277" t="s">
        <v>1176</v>
      </c>
    </row>
    <row r="136" spans="3:14" ht="15.75">
      <c r="C136" s="1242" t="s">
        <v>1177</v>
      </c>
      <c r="D136" s="1259">
        <f>IF(D20="Ponta",B20,0)</f>
        <v>0</v>
      </c>
      <c r="E136" s="18"/>
      <c r="F136" s="270"/>
      <c r="G136" s="1249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0">
        <f>IF(MONTH(DataRevRea)=7,'Rede Básica + Ajuste'!J136,IF(G136&lt;$Q$69,(SUMIFS($E$18:$E$60,$B$18:$B$60,$D$136,$D$18:$D$60,"Ponta")),(SUMIFS($F$18:$F$60,$B$18:$B$60,$D$136,$D$18:$D$60,"Ponta"))))</f>
        <v>0</v>
      </c>
      <c r="M136" s="1250">
        <f>IF(MONTH(DataRevRea)=7,'Rede Básica + Ajuste'!K136,IF(G136&lt;$Q$69,(SUMIFS($E$18:$E$60,$B$18:$B$60,$D$136,$D$18:$D$60,"Fora Ponta")),(SUMIFS($F$18:$F$60,$B$18:$B$60,$D$136,$D$18:$D$60,"Fora Ponta"))))</f>
        <v>0</v>
      </c>
      <c r="N136" s="1251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2" t="s">
        <v>1178</v>
      </c>
      <c r="E138" s="1253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4" t="str">
        <f>C124</f>
        <v>Cobertura 2021</v>
      </c>
      <c r="D139" s="1255">
        <f>SUMPRODUCT(H136:H147,J136:J147)</f>
        <v>0</v>
      </c>
      <c r="E139" s="1255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4" t="s">
        <v>1180</v>
      </c>
      <c r="D140" s="1255">
        <f>SUMPRODUCT(H136:H147,L136:L147)</f>
        <v>0</v>
      </c>
      <c r="E140" s="1255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6">
        <f t="shared" si="25"/>
        <v>44774</v>
      </c>
      <c r="H147" s="1257">
        <f>SUMIFS($Y$18:$Y$60,$B$18:$B$60,$D$136,$D$18:$D$60,"Ponta")</f>
        <v>0</v>
      </c>
      <c r="I147" s="1257">
        <f>SUMIFS($Y$18:$Y$60,$B$18:$B$60,$D$136,$D$18:$D$60,"Fora Ponta")</f>
        <v>0</v>
      </c>
      <c r="J147" s="1257">
        <f t="shared" si="26"/>
        <v>0</v>
      </c>
      <c r="K147" s="1257">
        <f t="shared" si="27"/>
        <v>0</v>
      </c>
      <c r="L147" s="1257">
        <f>IF(MONTH(DataRevRea)=7,'Rede Básica + Ajuste'!J147,IF(G147&lt;$Q$69,(SUMIFS($E$18:$E$60,$B$18:$B$60,$D$136,$D$18:$D$60,"Ponta")),(SUMIFS($F$18:$F$60,$B$18:$B$60,$D$136,$D$18:$D$60,"Ponta"))))</f>
        <v>0</v>
      </c>
      <c r="M147" s="1257">
        <f>IF(MONTH(DataRevRea)=7,'Rede Básica + Ajuste'!K147,IF(G147&lt;$Q$69,(SUMIFS($E$18:$E$60,$B$18:$B$60,$D$136,$D$18:$D$60,"Fora Ponta")),(SUMIFS($F$18:$F$60,$B$18:$B$60,$D$136,$D$18:$D$60,"Fora Ponta"))))</f>
        <v>0</v>
      </c>
      <c r="N147" s="1258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03" t="s">
        <v>1170</v>
      </c>
      <c r="K149" s="1804"/>
      <c r="L149" s="1802" t="s">
        <v>1171</v>
      </c>
      <c r="M149" s="1802"/>
      <c r="N149" s="278"/>
    </row>
    <row r="150" spans="3:14" ht="15.75">
      <c r="C150" s="1805" t="s">
        <v>1181</v>
      </c>
      <c r="D150" s="1806"/>
      <c r="F150" s="270"/>
      <c r="G150" s="1245" t="s">
        <v>646</v>
      </c>
      <c r="H150" s="1246" t="s">
        <v>1172</v>
      </c>
      <c r="I150" s="1246" t="s">
        <v>1173</v>
      </c>
      <c r="J150" s="1247" t="s">
        <v>1174</v>
      </c>
      <c r="K150" s="1247" t="s">
        <v>1175</v>
      </c>
      <c r="L150" s="1247" t="s">
        <v>1174</v>
      </c>
      <c r="M150" s="1247" t="s">
        <v>1175</v>
      </c>
      <c r="N150" s="277" t="s">
        <v>1176</v>
      </c>
    </row>
    <row r="151" spans="3:14" ht="15.75">
      <c r="C151" s="1242" t="s">
        <v>1177</v>
      </c>
      <c r="D151" s="1259">
        <f>IF(D20="Ponta",B20,0)</f>
        <v>0</v>
      </c>
      <c r="E151" s="18"/>
      <c r="F151" s="270"/>
      <c r="G151" s="1249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0">
        <f>IF(MONTH(DataRevRea)=7,'Rede Básica + Ajuste'!J151,IF(G151&lt;$Q$69,(SUMIFS($G$18:$G$60,$B$18:$B$60,$D$151,$D$18:$D$60,"Ponta")),(SUMIFS($H$18:$H$60,$B$18:$B$60,$D$151,$D$18:$D$60,"Ponta"))))</f>
        <v>0</v>
      </c>
      <c r="M151" s="1250">
        <f>IF(MONTH(DataRevRea)=7,'Rede Básica + Ajuste'!K151,IF(G151&lt;$Q$69,(SUMIFS($G$18:$G$60,$B$18:$B$60,$D$151,$D$18:$D$60,"Fora Ponta")),(SUMIFS($H$18:$H$60,$B$18:$B$60,$D$151,$D$18:$D$60,"Fora Ponta"))))</f>
        <v>0</v>
      </c>
      <c r="N151" s="1251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2" t="s">
        <v>1178</v>
      </c>
      <c r="E153" s="1253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4" t="str">
        <f>C139</f>
        <v>Cobertura 2021</v>
      </c>
      <c r="D154" s="1255">
        <f>SUMPRODUCT(H151:H162,J151:J162)</f>
        <v>0</v>
      </c>
      <c r="E154" s="1255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4" t="s">
        <v>1180</v>
      </c>
      <c r="D155" s="1255">
        <f>SUMPRODUCT(H151:H162,L151:L162)</f>
        <v>0</v>
      </c>
      <c r="E155" s="1255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6">
        <f t="shared" si="29"/>
        <v>44774</v>
      </c>
      <c r="H162" s="1257">
        <f t="shared" si="29"/>
        <v>0</v>
      </c>
      <c r="I162" s="1257">
        <f t="shared" si="29"/>
        <v>0</v>
      </c>
      <c r="J162" s="1257">
        <f t="shared" si="30"/>
        <v>0</v>
      </c>
      <c r="K162" s="1257">
        <f t="shared" si="31"/>
        <v>0</v>
      </c>
      <c r="L162" s="1257">
        <f>IF(MONTH(DataRevRea)=7,'Rede Básica + Ajuste'!J162,IF(G162&lt;$Q$69,(SUMIFS($G$18:$G$60,$B$18:$B$60,$D$151,$D$18:$D$60,"Ponta")),(SUMIFS($H$18:$H$60,$B$18:$B$60,$D$151,$D$18:$D$60,"Ponta"))))</f>
        <v>0</v>
      </c>
      <c r="M162" s="1257">
        <f>IF(MONTH(DataRevRea)=7,'Rede Básica + Ajuste'!K162,IF(G162&lt;$Q$69,(SUMIFS($G$18:$G$60,$B$18:$B$60,$D$151,$D$18:$D$60,"Fora Ponta")),(SUMIFS($H$18:$H$60,$B$18:$B$60,$D$151,$D$18:$D$60,"Fora Ponta"))))</f>
        <v>0</v>
      </c>
      <c r="N162" s="1258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03" t="s">
        <v>1170</v>
      </c>
      <c r="K164" s="1804"/>
      <c r="L164" s="1802" t="s">
        <v>1171</v>
      </c>
      <c r="M164" s="1802"/>
      <c r="N164" s="278"/>
    </row>
    <row r="165" spans="3:14" ht="15.75">
      <c r="C165" s="1805" t="s">
        <v>1153</v>
      </c>
      <c r="D165" s="1806"/>
      <c r="F165" s="270"/>
      <c r="G165" s="1245" t="s">
        <v>646</v>
      </c>
      <c r="H165" s="1246" t="s">
        <v>1172</v>
      </c>
      <c r="I165" s="1246" t="s">
        <v>1173</v>
      </c>
      <c r="J165" s="1247" t="s">
        <v>1174</v>
      </c>
      <c r="K165" s="1247" t="s">
        <v>1175</v>
      </c>
      <c r="L165" s="1247" t="s">
        <v>1174</v>
      </c>
      <c r="M165" s="1247" t="s">
        <v>1175</v>
      </c>
      <c r="N165" s="277" t="s">
        <v>1176</v>
      </c>
    </row>
    <row r="166" spans="3:14" ht="15.75">
      <c r="C166" s="1242" t="s">
        <v>1177</v>
      </c>
      <c r="D166" s="1259">
        <f>IF(D21="Ponta",B21,0)</f>
        <v>0</v>
      </c>
      <c r="E166" s="18"/>
      <c r="F166" s="270"/>
      <c r="G166" s="1249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0">
        <f>IF(MONTH(DataRevRea)=7,'Rede Básica + Ajuste'!J166,IF(G166&lt;$Q$69,(SUMIFS($E$18:$E$60,$B$18:$B$60,$D$166,$D$18:$D$60,"Ponta")),(SUMIFS($F$18:$F$60,$B$18:$B$60,$D$166,$D$18:$D$60,"Ponta"))))</f>
        <v>0</v>
      </c>
      <c r="M166" s="1250">
        <f>IF(MONTH(DataRevRea)=7,'Rede Básica + Ajuste'!K166,IF(G166&lt;$Q$69,(SUMIFS($E$18:$E$60,$B$18:$B$60,$D$166,$D$18:$D$60,"Fora Ponta")),(SUMIFS($F$18:$F$60,$B$18:$B$60,$D$166,$D$18:$D$60,"Fora Ponta"))))</f>
        <v>0</v>
      </c>
      <c r="N166" s="1251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2" t="s">
        <v>1178</v>
      </c>
      <c r="E168" s="1253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4" t="str">
        <f>C154</f>
        <v>Cobertura 2021</v>
      </c>
      <c r="D169" s="1255">
        <f>SUMPRODUCT(H166:H177,J166:J177)</f>
        <v>0</v>
      </c>
      <c r="E169" s="1255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4" t="s">
        <v>1180</v>
      </c>
      <c r="D170" s="1255">
        <f>SUMPRODUCT(H166:H177,L166:L177)</f>
        <v>0</v>
      </c>
      <c r="E170" s="1255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6">
        <f t="shared" si="33"/>
        <v>44774</v>
      </c>
      <c r="H177" s="1257">
        <f>SUMIFS($Y$18:$Y$60,$B$18:$B$60,$D$166,$D$18:$D$60,"Ponta")</f>
        <v>0</v>
      </c>
      <c r="I177" s="1257">
        <f>SUMIFS($Y$18:$Y$60,$B$18:$B$60,$D$166,$D$18:$D$60,"Fora Ponta")</f>
        <v>0</v>
      </c>
      <c r="J177" s="1257">
        <f t="shared" si="34"/>
        <v>0</v>
      </c>
      <c r="K177" s="1257">
        <f t="shared" si="35"/>
        <v>0</v>
      </c>
      <c r="L177" s="1257">
        <f>IF(MONTH(DataRevRea)=7,'Rede Básica + Ajuste'!J177,IF(G177&lt;$Q$69,(SUMIFS($E$18:$E$60,$B$18:$B$60,$D$166,$D$18:$D$60,"Ponta")),(SUMIFS($F$18:$F$60,$B$18:$B$60,$D$166,$D$18:$D$60,"Ponta"))))</f>
        <v>0</v>
      </c>
      <c r="M177" s="1257">
        <f>IF(MONTH(DataRevRea)=7,'Rede Básica + Ajuste'!K177,IF(G177&lt;$Q$69,(SUMIFS($E$18:$E$60,$B$18:$B$60,$D$166,$D$18:$D$60,"Fora Ponta")),(SUMIFS($F$18:$F$60,$B$18:$B$60,$D$166,$D$18:$D$60,"Fora Ponta"))))</f>
        <v>0</v>
      </c>
      <c r="N177" s="1258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03" t="s">
        <v>1170</v>
      </c>
      <c r="K179" s="1804"/>
      <c r="L179" s="1802" t="s">
        <v>1171</v>
      </c>
      <c r="M179" s="1802"/>
      <c r="N179" s="278"/>
    </row>
    <row r="180" spans="3:14" ht="15.75">
      <c r="C180" s="1805" t="s">
        <v>1181</v>
      </c>
      <c r="D180" s="1806"/>
      <c r="F180" s="270"/>
      <c r="G180" s="1245" t="s">
        <v>646</v>
      </c>
      <c r="H180" s="1246" t="s">
        <v>1172</v>
      </c>
      <c r="I180" s="1246" t="s">
        <v>1173</v>
      </c>
      <c r="J180" s="1247" t="s">
        <v>1174</v>
      </c>
      <c r="K180" s="1247" t="s">
        <v>1175</v>
      </c>
      <c r="L180" s="1247" t="s">
        <v>1174</v>
      </c>
      <c r="M180" s="1247" t="s">
        <v>1175</v>
      </c>
      <c r="N180" s="277" t="s">
        <v>1176</v>
      </c>
    </row>
    <row r="181" spans="3:14" ht="15.75">
      <c r="C181" s="1242" t="s">
        <v>1177</v>
      </c>
      <c r="D181" s="1259">
        <f>IF(D21="Ponta",B21,0)</f>
        <v>0</v>
      </c>
      <c r="E181" s="18"/>
      <c r="F181" s="270"/>
      <c r="G181" s="1249">
        <f>G166</f>
        <v>44440</v>
      </c>
      <c r="H181" s="272">
        <f>H166</f>
        <v>0</v>
      </c>
      <c r="I181" s="272">
        <f>I166</f>
        <v>0</v>
      </c>
      <c r="J181" s="1250">
        <f>SUMIFS($G$18:$G$60,$B$18:$B$60,$D$181,$D$18:$D$60,"Ponta")</f>
        <v>0</v>
      </c>
      <c r="K181" s="1250">
        <f>SUMIFS($G$18:$G$60,$B$18:$B$60,$D$181,$D$18:$D$60,"Fora Ponta")</f>
        <v>0</v>
      </c>
      <c r="L181" s="1250">
        <f>IF(MONTH(DataRevRea)=7,'Rede Básica + Ajuste'!J181,IF(G181&lt;$Q$69,(SUMIFS($G$18:$G$60,$B$18:$B$60,$D$181,$D$18:$D$60,"Ponta")),(SUMIFS($H$18:$H$60,$B$18:$B$60,$D$181,$D$18:$D$60,"Ponta"))))</f>
        <v>0</v>
      </c>
      <c r="M181" s="1250">
        <f>IF(MONTH(DataRevRea)=7,'Rede Básica + Ajuste'!K181,IF(G181&lt;$Q$69,(SUMIFS($G$18:$G$60,$B$18:$B$60,$D$181,$D$18:$D$60,"Fora Ponta")),(SUMIFS($H$18:$H$60,$B$18:$B$60,$D$181,$D$18:$D$60,"Fora Ponta"))))</f>
        <v>0</v>
      </c>
      <c r="N181" s="1251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2" t="s">
        <v>1178</v>
      </c>
      <c r="E183" s="1253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4" t="str">
        <f>C169</f>
        <v>Cobertura 2021</v>
      </c>
      <c r="D184" s="1255">
        <f>SUMPRODUCT(H181:H192,J181:J192)</f>
        <v>0</v>
      </c>
      <c r="E184" s="1255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4" t="s">
        <v>1180</v>
      </c>
      <c r="D185" s="1255">
        <f>SUMPRODUCT(H181:H192,L181:L192)</f>
        <v>0</v>
      </c>
      <c r="E185" s="1255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6">
        <f t="shared" si="37"/>
        <v>44774</v>
      </c>
      <c r="H192" s="1257">
        <f t="shared" si="37"/>
        <v>0</v>
      </c>
      <c r="I192" s="1257">
        <f t="shared" si="37"/>
        <v>0</v>
      </c>
      <c r="J192" s="1257">
        <f t="shared" si="38"/>
        <v>0</v>
      </c>
      <c r="K192" s="1257">
        <f t="shared" si="39"/>
        <v>0</v>
      </c>
      <c r="L192" s="1257">
        <f>IF(MONTH(DataRevRea)=7,'Rede Básica + Ajuste'!J192,IF(G192&lt;$Q$69,(SUMIFS($G$18:$G$60,$B$18:$B$60,$D$181,$D$18:$D$60,"Ponta")),(SUMIFS($H$18:$H$60,$B$18:$B$60,$D$181,$D$18:$D$60,"Ponta"))))</f>
        <v>0</v>
      </c>
      <c r="M192" s="1257">
        <f>IF(MONTH(DataRevRea)=7,'Rede Básica + Ajuste'!K192,IF(G192&lt;$Q$69,(SUMIFS($G$18:$G$60,$B$18:$B$60,$D$181,$D$18:$D$60,"Fora Ponta")),(SUMIFS($H$18:$H$60,$B$18:$B$60,$D$181,$D$18:$D$60,"Fora Ponta"))))</f>
        <v>0</v>
      </c>
      <c r="N192" s="1258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03" t="s">
        <v>1170</v>
      </c>
      <c r="K194" s="1804"/>
      <c r="L194" s="1802" t="s">
        <v>1171</v>
      </c>
      <c r="M194" s="1802"/>
      <c r="N194" s="278"/>
    </row>
    <row r="195" spans="3:14" ht="15.75">
      <c r="C195" s="1805" t="s">
        <v>1153</v>
      </c>
      <c r="D195" s="1806"/>
      <c r="F195" s="270"/>
      <c r="G195" s="1245" t="s">
        <v>646</v>
      </c>
      <c r="H195" s="1246" t="s">
        <v>1172</v>
      </c>
      <c r="I195" s="1246" t="s">
        <v>1173</v>
      </c>
      <c r="J195" s="1247" t="s">
        <v>1174</v>
      </c>
      <c r="K195" s="1247" t="s">
        <v>1175</v>
      </c>
      <c r="L195" s="1247" t="s">
        <v>1174</v>
      </c>
      <c r="M195" s="1247" t="s">
        <v>1175</v>
      </c>
      <c r="N195" s="277" t="s">
        <v>1176</v>
      </c>
    </row>
    <row r="196" spans="3:14" ht="15.75">
      <c r="C196" s="1242" t="s">
        <v>1177</v>
      </c>
      <c r="D196" s="1259">
        <f>IF(D22="Ponta",B22,0)</f>
        <v>0</v>
      </c>
      <c r="E196" s="18"/>
      <c r="F196" s="270"/>
      <c r="G196" s="1249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0">
        <f>SUMIFS($E$18:$E$60,$B$18:$B$60,$D$196,$D$18:$D$60,"Ponta")</f>
        <v>0</v>
      </c>
      <c r="K196" s="1250">
        <f>SUMIFS($E$18:$E$60,$B$18:$B$60,$D$196,$D$18:$D$60,"Fora Ponta")</f>
        <v>0</v>
      </c>
      <c r="L196" s="1250">
        <f>IF(MONTH(DataRevRea)=7,'Rede Básica + Ajuste'!J196,IF(G196&lt;$Q$69,(SUMIFS($E$18:$E$60,$B$18:$B$60,$D$196,$D$18:$D$60,"Ponta")),(SUMIFS($F$18:$F$60,$B$18:$B$60,$D$196,$D$18:$D$60,"Ponta"))))</f>
        <v>0</v>
      </c>
      <c r="M196" s="1250">
        <f>IF(MONTH(DataRevRea)=7,'Rede Básica + Ajuste'!K196,IF(G196&lt;$Q$69,(SUMIFS($E$18:$E$60,$B$18:$B$60,$D$196,$D$18:$D$60,"Fora Ponta")),(SUMIFS($F$18:$F$60,$B$18:$B$60,$D$196,$D$18:$D$60,"Fora Ponta"))))</f>
        <v>0</v>
      </c>
      <c r="N196" s="1251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2" t="s">
        <v>1178</v>
      </c>
      <c r="E198" s="1253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4" t="str">
        <f>C184</f>
        <v>Cobertura 2021</v>
      </c>
      <c r="D199" s="1255">
        <f>SUMPRODUCT(H196:H207,J196:J207)</f>
        <v>0</v>
      </c>
      <c r="E199" s="1255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4" t="s">
        <v>1180</v>
      </c>
      <c r="D200" s="1255">
        <f>SUMPRODUCT(H196:H207,L196:L207)</f>
        <v>0</v>
      </c>
      <c r="E200" s="1255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6">
        <f t="shared" si="41"/>
        <v>44774</v>
      </c>
      <c r="H207" s="1257">
        <f>SUMIFS($Y$18:$Y$60,$B$18:$B$60,$D$196,$D$18:$D$60,"Ponta")</f>
        <v>0</v>
      </c>
      <c r="I207" s="1257">
        <f>SUMIFS($Y$18:$Y$60,$B$18:$B$60,$D$196,$D$18:$D$60,"Fora Ponta")</f>
        <v>0</v>
      </c>
      <c r="J207" s="1257">
        <f t="shared" si="42"/>
        <v>0</v>
      </c>
      <c r="K207" s="1257">
        <f t="shared" si="43"/>
        <v>0</v>
      </c>
      <c r="L207" s="1257">
        <f>IF(MONTH(DataRevRea)=7,'Rede Básica + Ajuste'!J207,IF(G207&lt;$Q$69,(SUMIFS($E$18:$E$60,$B$18:$B$60,$D$196,$D$18:$D$60,"Ponta")),(SUMIFS($F$18:$F$60,$B$18:$B$60,$D$196,$D$18:$D$60,"Ponta"))))</f>
        <v>0</v>
      </c>
      <c r="M207" s="1257">
        <f>IF(MONTH(DataRevRea)=7,'Rede Básica + Ajuste'!K207,IF(G207&lt;$Q$69,(SUMIFS($E$18:$E$60,$B$18:$B$60,$D$196,$D$18:$D$60,"Fora Ponta")),(SUMIFS($F$18:$F$60,$B$18:$B$60,$D$196,$D$18:$D$60,"Fora Ponta"))))</f>
        <v>0</v>
      </c>
      <c r="N207" s="1258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03" t="s">
        <v>1170</v>
      </c>
      <c r="K209" s="1804"/>
      <c r="L209" s="1802" t="s">
        <v>1171</v>
      </c>
      <c r="M209" s="1802"/>
      <c r="N209" s="278"/>
    </row>
    <row r="210" spans="3:14" ht="15.75">
      <c r="C210" s="1805" t="s">
        <v>1181</v>
      </c>
      <c r="D210" s="1806"/>
      <c r="F210" s="270"/>
      <c r="G210" s="1245" t="s">
        <v>646</v>
      </c>
      <c r="H210" s="1246" t="s">
        <v>1172</v>
      </c>
      <c r="I210" s="1246" t="s">
        <v>1173</v>
      </c>
      <c r="J210" s="1247" t="s">
        <v>1174</v>
      </c>
      <c r="K210" s="1247" t="s">
        <v>1175</v>
      </c>
      <c r="L210" s="1247" t="s">
        <v>1174</v>
      </c>
      <c r="M210" s="1247" t="s">
        <v>1175</v>
      </c>
      <c r="N210" s="277" t="s">
        <v>1176</v>
      </c>
    </row>
    <row r="211" spans="3:14" ht="15.75">
      <c r="C211" s="1242" t="s">
        <v>1177</v>
      </c>
      <c r="D211" s="1259">
        <f>IF(D22="Ponta",B22,0)</f>
        <v>0</v>
      </c>
      <c r="E211" s="18"/>
      <c r="F211" s="270"/>
      <c r="G211" s="1249">
        <f>G196</f>
        <v>44440</v>
      </c>
      <c r="H211" s="272">
        <f>H196</f>
        <v>0</v>
      </c>
      <c r="I211" s="272">
        <f>I196</f>
        <v>0</v>
      </c>
      <c r="J211" s="1250">
        <f>SUMIFS($G$18:$G$60,$B$18:$B$60,$D$211,$D$18:$D$60,"Ponta")</f>
        <v>0</v>
      </c>
      <c r="K211" s="1250">
        <f>SUMIFS($G$18:$G$60,$B$18:$B$60,$D$211,$D$18:$D$60,"Fora Ponta")</f>
        <v>0</v>
      </c>
      <c r="L211" s="1250">
        <f>IF(MONTH(DataRevRea)=7,'Rede Básica + Ajuste'!J211,IF(G211&lt;$Q$69,(SUMIFS($G$18:$G$60,$B$18:$B$60,$D$211,$D$18:$D$60,"Ponta")),(SUMIFS($H$18:$H$60,$B$18:$B$60,$D$211,$D$18:$D$60,"Ponta"))))</f>
        <v>0</v>
      </c>
      <c r="M211" s="1250">
        <f>IF(MONTH(DataRevRea)=7,'Rede Básica + Ajuste'!K211,IF(G211&lt;$Q$69,(SUMIFS($G$18:$G$60,$B$18:$B$60,$D$211,$D$18:$D$60,"Fora Ponta")),(SUMIFS($H$18:$H$60,$B$18:$B$60,$D$211,$D$18:$D$60,"Fora Ponta"))))</f>
        <v>0</v>
      </c>
      <c r="N211" s="1251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2" t="s">
        <v>1178</v>
      </c>
      <c r="E213" s="1253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4" t="str">
        <f>C199</f>
        <v>Cobertura 2021</v>
      </c>
      <c r="D214" s="1255">
        <f>SUMPRODUCT(H211:H222,J211:J222)</f>
        <v>0</v>
      </c>
      <c r="E214" s="1255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4" t="s">
        <v>1180</v>
      </c>
      <c r="D215" s="1255">
        <f>SUMPRODUCT(H211:H222,L211:L222)</f>
        <v>0</v>
      </c>
      <c r="E215" s="1255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6">
        <f t="shared" si="45"/>
        <v>44774</v>
      </c>
      <c r="H222" s="1257">
        <f t="shared" si="45"/>
        <v>0</v>
      </c>
      <c r="I222" s="1257">
        <f t="shared" si="45"/>
        <v>0</v>
      </c>
      <c r="J222" s="1257">
        <f t="shared" si="46"/>
        <v>0</v>
      </c>
      <c r="K222" s="1257">
        <f t="shared" si="47"/>
        <v>0</v>
      </c>
      <c r="L222" s="1257">
        <f>IF(MONTH(DataRevRea)=7,'Rede Básica + Ajuste'!J222,IF(G222&lt;$Q$69,(SUMIFS($G$18:$G$60,$B$18:$B$60,$D$211,$D$18:$D$60,"Ponta")),(SUMIFS($H$18:$H$60,$B$18:$B$60,$D$211,$D$18:$D$60,"Ponta"))))</f>
        <v>0</v>
      </c>
      <c r="M222" s="1257">
        <f>IF(MONTH(DataRevRea)=7,'Rede Básica + Ajuste'!K222,IF(G222&lt;$Q$69,(SUMIFS($G$18:$G$60,$B$18:$B$60,$D$211,$D$18:$D$60,"Fora Ponta")),(SUMIFS($H$18:$H$60,$B$18:$B$60,$D$211,$D$18:$D$60,"Fora Ponta"))))</f>
        <v>0</v>
      </c>
      <c r="N222" s="1258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29" t="s">
        <v>638</v>
      </c>
      <c r="C1" s="1018"/>
      <c r="D1" s="930"/>
      <c r="E1" s="1226"/>
      <c r="F1" s="1226"/>
      <c r="G1" s="1128" t="s">
        <v>873</v>
      </c>
      <c r="H1" s="1129">
        <f ca="1">LnkTXTIRTEco</f>
        <v>0.1018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Cerej</v>
      </c>
      <c r="C2" s="70"/>
      <c r="D2" s="70"/>
      <c r="G2" s="120" t="s">
        <v>877</v>
      </c>
      <c r="H2" s="121">
        <f ca="1">LnkTXTIRTTotal</f>
        <v>-0.31169999999999998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0" t="s">
        <v>1188</v>
      </c>
      <c r="C5" s="1230" t="s">
        <v>1189</v>
      </c>
      <c r="D5" s="1230" t="s">
        <v>1190</v>
      </c>
      <c r="E5" s="1230" t="s">
        <v>1191</v>
      </c>
      <c r="F5" s="1230" t="s">
        <v>1192</v>
      </c>
      <c r="G5" s="1230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0" t="s">
        <v>760</v>
      </c>
      <c r="C11" s="1261">
        <f>SUM(C6:C10)</f>
        <v>0</v>
      </c>
      <c r="D11" s="1261">
        <f>SUM(D6:D10)</f>
        <v>0</v>
      </c>
      <c r="E11" s="1262">
        <f>SUM(E6:E10)</f>
        <v>0</v>
      </c>
      <c r="F11" s="1263"/>
      <c r="G11" s="1264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5" t="s">
        <v>1209</v>
      </c>
      <c r="E12" s="1265"/>
      <c r="F12" s="1266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0" t="s">
        <v>1188</v>
      </c>
      <c r="C15" s="1230" t="s">
        <v>1189</v>
      </c>
      <c r="D15" s="1230" t="s">
        <v>1215</v>
      </c>
      <c r="E15" s="1230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0" t="s">
        <v>760</v>
      </c>
      <c r="C21" s="1267">
        <f>SUM(C16:C20)</f>
        <v>0</v>
      </c>
      <c r="D21" s="1267">
        <f>SUM(D16:D20)</f>
        <v>0</v>
      </c>
      <c r="E21" s="1267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L33" sqref="L3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29" t="s">
        <v>743</v>
      </c>
      <c r="C1" s="1225"/>
      <c r="D1" s="1225"/>
      <c r="E1" s="1225"/>
      <c r="F1" s="930"/>
      <c r="G1" s="930"/>
      <c r="H1" s="1128" t="s">
        <v>873</v>
      </c>
      <c r="I1" s="1129">
        <f ca="1">LnkTXTIRTEco</f>
        <v>0.1018</v>
      </c>
      <c r="J1" s="193"/>
      <c r="K1" s="194"/>
    </row>
    <row r="2" spans="1:15" s="195" customFormat="1" ht="27" customHeight="1">
      <c r="B2" s="136" t="str">
        <f>CAPA!C9</f>
        <v>Cerej</v>
      </c>
      <c r="C2" s="70"/>
      <c r="D2" s="70"/>
      <c r="E2" s="70"/>
      <c r="F2" s="70"/>
      <c r="G2" s="70"/>
      <c r="H2" s="120" t="s">
        <v>877</v>
      </c>
      <c r="I2" s="121">
        <f ca="1">LnkTXTIRTTotal</f>
        <v>-0.31169999999999998</v>
      </c>
    </row>
    <row r="3" spans="1:15">
      <c r="B3" s="933" t="s">
        <v>1240</v>
      </c>
      <c r="C3" s="782"/>
      <c r="E3" s="782" t="str">
        <f>"Encargos "&amp;YEAR(CAPA!C14)</f>
        <v>Encargos 2021</v>
      </c>
      <c r="F3" s="782"/>
      <c r="H3" s="782"/>
      <c r="I3" s="782"/>
      <c r="J3" s="782"/>
      <c r="K3" s="782"/>
      <c r="L3" s="782"/>
      <c r="M3" s="782"/>
      <c r="N3" s="782"/>
      <c r="O3" s="782"/>
    </row>
    <row r="4" spans="1:15">
      <c r="E4" s="1230" t="s">
        <v>72</v>
      </c>
      <c r="F4" s="1230" t="s">
        <v>1241</v>
      </c>
      <c r="H4" s="72"/>
      <c r="I4" s="72"/>
    </row>
    <row r="5" spans="1:15">
      <c r="B5" s="1230" t="s">
        <v>72</v>
      </c>
      <c r="C5" s="1230" t="s">
        <v>37</v>
      </c>
      <c r="E5" s="68" t="s">
        <v>40</v>
      </c>
      <c r="F5" s="115">
        <f>CAPA!D42</f>
        <v>105115.06471188</v>
      </c>
      <c r="H5" s="1825" t="s">
        <v>1242</v>
      </c>
      <c r="I5" s="1825"/>
      <c r="K5" s="1825" t="s">
        <v>1243</v>
      </c>
      <c r="L5" s="1825"/>
      <c r="N5" s="1825" t="s">
        <v>1244</v>
      </c>
      <c r="O5" s="1825"/>
    </row>
    <row r="6" spans="1:15">
      <c r="B6" s="68" t="s">
        <v>40</v>
      </c>
      <c r="C6" s="80">
        <f ca="1">L14</f>
        <v>118146.05586998828</v>
      </c>
      <c r="E6" s="68" t="s">
        <v>41</v>
      </c>
      <c r="F6" s="115">
        <f>CAPA!D43</f>
        <v>2973324.3137599998</v>
      </c>
      <c r="H6" s="199" t="s">
        <v>1245</v>
      </c>
      <c r="I6" s="200">
        <f ca="1">FornecimentoE+LivreE-Calc_Mercado!C16</f>
        <v>51195.405999999974</v>
      </c>
      <c r="K6" s="505" t="s">
        <v>745</v>
      </c>
      <c r="L6" s="411">
        <f ca="1">LnkTXTER</f>
        <v>59969.45249970998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4445152.1190699972</v>
      </c>
      <c r="D7" s="196"/>
      <c r="E7" s="68" t="s">
        <v>112</v>
      </c>
      <c r="F7" s="115">
        <f>CAPA!D44</f>
        <v>0</v>
      </c>
      <c r="H7" s="1275" t="s">
        <v>1247</v>
      </c>
      <c r="I7" s="1276">
        <v>14.13</v>
      </c>
      <c r="K7" s="505" t="s">
        <v>1088</v>
      </c>
      <c r="L7" s="411">
        <f ca="1">Energia!M7</f>
        <v>0</v>
      </c>
      <c r="N7" s="201" t="s">
        <v>1248</v>
      </c>
      <c r="O7" s="202">
        <f ca="1">SUM(C12+C6+C9+C10+C8)</f>
        <v>841537.14264998795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5" t="s">
        <v>1091</v>
      </c>
      <c r="L8" s="411">
        <f ca="1">LnkTXTPerdas</f>
        <v>8269.7874997100062</v>
      </c>
      <c r="N8" s="201" t="s">
        <v>717</v>
      </c>
      <c r="O8" s="264">
        <f>Resultado!D24</f>
        <v>7250869.556640001</v>
      </c>
    </row>
    <row r="9" spans="1:15">
      <c r="B9" s="68" t="s">
        <v>1249</v>
      </c>
      <c r="C9" s="806">
        <f>IFERROR(VLOOKUP("ESS/EER",TabEncargosBancoConsolidados[],2,FALSE),0)</f>
        <v>0</v>
      </c>
      <c r="D9" s="69"/>
      <c r="E9" s="68" t="s">
        <v>47</v>
      </c>
      <c r="F9" s="115">
        <f>CAPA!D46</f>
        <v>470418.94751999999</v>
      </c>
      <c r="H9" s="1825" t="s">
        <v>1250</v>
      </c>
      <c r="I9" s="1825"/>
      <c r="K9" s="505" t="s">
        <v>1251</v>
      </c>
      <c r="L9" s="411">
        <f ca="1">SUM(L6:L7,-L8)</f>
        <v>51699.664999999972</v>
      </c>
      <c r="N9" s="201" t="s">
        <v>108</v>
      </c>
      <c r="O9" s="263">
        <f ca="1">Resultado!D33</f>
        <v>9818414.9758875091</v>
      </c>
    </row>
    <row r="10" spans="1:15">
      <c r="B10" s="68" t="s">
        <v>47</v>
      </c>
      <c r="C10" s="80">
        <f ca="1">IFERROR(Encargos!I7*I6,0)</f>
        <v>723391.08677999966</v>
      </c>
      <c r="D10" s="196"/>
      <c r="E10" s="68" t="s">
        <v>49</v>
      </c>
      <c r="F10" s="115">
        <f>CAPA!D48</f>
        <v>0</v>
      </c>
      <c r="H10" s="1277" t="s">
        <v>1252</v>
      </c>
      <c r="I10" s="1278">
        <f ca="1">FornecimentoE_A1+Calc_Mercado!C10+Calc_Mercado!C11+Calc_Mercado!C114+Calc_Mercado!C115</f>
        <v>0</v>
      </c>
      <c r="K10" s="505" t="s">
        <v>1253</v>
      </c>
      <c r="L10" s="411">
        <f ca="1">SUM(L6:L7)</f>
        <v>59969.45249970998</v>
      </c>
      <c r="N10" s="201" t="s">
        <v>1254</v>
      </c>
      <c r="O10" s="202">
        <f>Resultado!D39</f>
        <v>29224737.75</v>
      </c>
    </row>
    <row r="11" spans="1:15">
      <c r="B11" s="68" t="s">
        <v>1255</v>
      </c>
      <c r="C11" s="80">
        <v>1E-4</v>
      </c>
      <c r="D11" s="196"/>
      <c r="E11" s="782" t="s">
        <v>2035</v>
      </c>
      <c r="F11" s="1150">
        <f>CAPA!D47</f>
        <v>0</v>
      </c>
      <c r="H11" s="199" t="s">
        <v>1256</v>
      </c>
      <c r="I11" s="139">
        <f ca="1">Calc_Mercado!C12+Calc_Mercado!C13+Calc_Mercado!C14+Calc_Mercado!C116+Calc_Mercado!C117</f>
        <v>9038.3070000000025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4.71355594251775E-7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2" t="str">
        <f>"Encargos "&amp;YEAR(CAPA!C14)-1</f>
        <v>Encargos 2020</v>
      </c>
      <c r="F12" s="782"/>
      <c r="H12" s="199" t="s">
        <v>1259</v>
      </c>
      <c r="I12" s="139">
        <f ca="1">FornecimentoE_BT-Calc_Mercado!C16+Calc_Mercado!C119+Calc_Mercado!C118</f>
        <v>42157.098999999973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-19359473.911042958</v>
      </c>
    </row>
    <row r="13" spans="1:15">
      <c r="B13" s="1279" t="s">
        <v>769</v>
      </c>
      <c r="C13" s="1280">
        <f ca="1">SUM(C6:C12)</f>
        <v>5286689.2618199848</v>
      </c>
      <c r="D13" s="196"/>
      <c r="E13" s="1230" t="s">
        <v>72</v>
      </c>
      <c r="F13" s="1230" t="s">
        <v>1241</v>
      </c>
      <c r="H13" s="1281" t="s">
        <v>1262</v>
      </c>
      <c r="I13" s="1282">
        <v>23.38</v>
      </c>
      <c r="K13" s="1283" t="s">
        <v>1263</v>
      </c>
      <c r="L13" s="1284">
        <f ca="1">LnkTXTIParcelaBcomSub+Energia!F19</f>
        <v>29224737.75</v>
      </c>
      <c r="N13" s="1285" t="s">
        <v>1264</v>
      </c>
      <c r="O13" s="1286">
        <f ca="1">O12*O6+O11</f>
        <v>2.7776085514134544E-7</v>
      </c>
    </row>
    <row r="14" spans="1:15">
      <c r="E14" s="68" t="s">
        <v>40</v>
      </c>
      <c r="F14" s="1287">
        <f>BD!C37</f>
        <v>94414.431116513515</v>
      </c>
      <c r="H14" s="257" t="s">
        <v>1265</v>
      </c>
      <c r="I14" s="813">
        <v>31.67</v>
      </c>
      <c r="K14" s="1288" t="s">
        <v>40</v>
      </c>
      <c r="L14" s="1289">
        <f ca="1">L12*1/L11*L9/L10*L13</f>
        <v>118146.05586998828</v>
      </c>
    </row>
    <row r="15" spans="1:15">
      <c r="E15" s="68" t="s">
        <v>41</v>
      </c>
      <c r="F15" s="80">
        <f>BD!C35</f>
        <v>2663956.7822999991</v>
      </c>
      <c r="H15" s="1290" t="s">
        <v>1266</v>
      </c>
      <c r="I15" s="1291">
        <v>37.700000000000003</v>
      </c>
    </row>
    <row r="16" spans="1:15">
      <c r="E16" s="68" t="s">
        <v>112</v>
      </c>
      <c r="F16" s="80">
        <v>0</v>
      </c>
      <c r="H16" s="1184" t="s">
        <v>1267</v>
      </c>
      <c r="I16" s="1282">
        <v>55.4</v>
      </c>
      <c r="K16" s="1825" t="s">
        <v>768</v>
      </c>
      <c r="L16" s="1825"/>
    </row>
    <row r="17" spans="2:14">
      <c r="E17" s="68" t="s">
        <v>768</v>
      </c>
      <c r="F17" s="80">
        <v>0</v>
      </c>
      <c r="H17" s="68" t="s">
        <v>1268</v>
      </c>
      <c r="I17" s="813">
        <v>75.06</v>
      </c>
      <c r="K17" s="1277" t="s">
        <v>2053</v>
      </c>
      <c r="L17" s="1278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351262.21800999995</v>
      </c>
      <c r="G18" s="107"/>
      <c r="H18" s="782" t="s">
        <v>1269</v>
      </c>
      <c r="I18" s="1291">
        <v>89.35</v>
      </c>
      <c r="K18" s="199" t="s">
        <v>2056</v>
      </c>
      <c r="L18" s="139">
        <f>C9-L17</f>
        <v>0</v>
      </c>
    </row>
    <row r="19" spans="2:14">
      <c r="C19" s="107"/>
      <c r="D19" s="107"/>
      <c r="E19" s="782" t="s">
        <v>49</v>
      </c>
      <c r="F19" s="1292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4445152.1190699972</v>
      </c>
      <c r="K19" s="1230" t="s">
        <v>769</v>
      </c>
      <c r="L19" s="1449">
        <f>SUM(L17:L18)</f>
        <v>0</v>
      </c>
    </row>
    <row r="20" spans="2:14">
      <c r="C20" s="107"/>
      <c r="D20" s="107"/>
      <c r="F20" s="80"/>
      <c r="G20" s="107"/>
      <c r="H20" s="1293" t="s">
        <v>1271</v>
      </c>
      <c r="I20" s="1294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2054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0" t="s">
        <v>2057</v>
      </c>
      <c r="I22" s="1449">
        <f ca="1">I19+I20+I21</f>
        <v>4445152.1190699972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3" t="s">
        <v>1272</v>
      </c>
      <c r="C27" s="782"/>
      <c r="D27" s="782"/>
      <c r="E27" s="782"/>
      <c r="F27" s="782"/>
      <c r="G27" s="782"/>
      <c r="J27" s="782"/>
      <c r="K27" s="782"/>
      <c r="L27" s="782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0" t="s">
        <v>2081</v>
      </c>
      <c r="D30" s="1230" t="s">
        <v>46</v>
      </c>
      <c r="E30" s="1230" t="s">
        <v>40</v>
      </c>
      <c r="F30" s="1230" t="s">
        <v>41</v>
      </c>
      <c r="G30" s="1230" t="s">
        <v>47</v>
      </c>
      <c r="H30" s="1455" t="s">
        <v>2082</v>
      </c>
      <c r="I30" s="1455" t="s">
        <v>2090</v>
      </c>
      <c r="J30" s="1230" t="s">
        <v>1274</v>
      </c>
      <c r="L30" s="1824" t="s">
        <v>1275</v>
      </c>
      <c r="M30" s="1824"/>
      <c r="N30" s="268"/>
    </row>
    <row r="31" spans="2:14">
      <c r="B31" s="267">
        <f>Indexador!B68</f>
        <v>44440</v>
      </c>
      <c r="C31" s="1141">
        <f ca="1">IFERROR(IF(CAPA!$C$113="Não",C47-C62,IF(Indexador!$B68&lt;CAPA!$C$114,0,C47-C62)),0)</f>
        <v>0</v>
      </c>
      <c r="D31" s="1141">
        <f ca="1">IF(CAPA!$C$113="Não",D47-D62,IF(Indexador!$B68&lt;CAPA!$C$114,0,D47-D62))</f>
        <v>0</v>
      </c>
      <c r="E31" s="1141">
        <f ca="1">IF(CAPA!$C$113="Não",E47-E62,IF(Indexador!$B68&lt;CAPA!$C$114,0,E47-E62))</f>
        <v>645.35530101376298</v>
      </c>
      <c r="F31" s="1141">
        <f ca="1">IF(CAPA!$C$113="Não",F47-F62,IF(Indexador!$B68&lt;CAPA!$C$114,0,F47-F62))</f>
        <v>16467.447342568194</v>
      </c>
      <c r="G31" s="1141">
        <f ca="1">IF(CAPA!$C$113="Não",G47-G62,IF(Indexador!$B68&lt;CAPA!$C$114,0,G47-G62))</f>
        <v>2528.5599232685054</v>
      </c>
      <c r="H31" s="1141">
        <f ca="1">IF(CAPA!$C$113="Não",H47-H62,IF(Indexador!$B68&lt;CAPA!$C$114,0,H47-H62))</f>
        <v>0</v>
      </c>
      <c r="I31" s="1141">
        <f ca="1">IF(CAPA!$C$113="Não",I47-I62,IF(Indexador!$B68&lt;CAPA!$C$114,0,I47-I62))</f>
        <v>0</v>
      </c>
      <c r="J31" s="1141">
        <f ca="1">IF(CAPA!$C$113="Não",J47-J62,IF(Indexador!$B68&lt;CAPA!$C$114,0,J47-J62))</f>
        <v>19641.362566850497</v>
      </c>
      <c r="L31" s="68" t="s">
        <v>40</v>
      </c>
      <c r="M31" s="115">
        <f ca="1">Indexador!H80</f>
        <v>-1345.2444493490764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511.05718662017534</v>
      </c>
      <c r="F32" s="115">
        <f ca="1">IF(CAPA!$C$113="Não",F48-F63,IF(Indexador!$B69&lt;CAPA!$C$114,0,F48-F63))</f>
        <v>13384.167777132388</v>
      </c>
      <c r="G32" s="115">
        <f ca="1">IF(CAPA!$C$113="Não",G48-G63,IF(Indexador!$B69&lt;CAPA!$C$114,0,G48-G63))</f>
        <v>2072.4972754207192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15967.722239173308</v>
      </c>
      <c r="L32" s="68" t="s">
        <v>41</v>
      </c>
      <c r="M32" s="115">
        <f ca="1">Indexador!J80+Indexador!L80</f>
        <v>-38909.608864024849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239.36782573748314</v>
      </c>
      <c r="F33" s="115">
        <f ca="1">IF(CAPA!$C$113="Não",F49-F64,IF(Indexador!$B70&lt;CAPA!$C$114,0,F49-F64))</f>
        <v>4762.6592509524198</v>
      </c>
      <c r="G33" s="115">
        <f ca="1">IF(CAPA!$C$113="Não",G49-G64,IF(Indexador!$B70&lt;CAPA!$C$114,0,G49-G64))</f>
        <v>675.34979214036139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5677.3768688302953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-86.5490295128875</v>
      </c>
      <c r="F34" s="115">
        <f ca="1">IF(CAPA!$C$113="Não",F50-F65,IF(Indexador!$B71&lt;CAPA!$C$114,0,F50-F65))</f>
        <v>-3415.9610609192459</v>
      </c>
      <c r="G34" s="115">
        <f ca="1">IF(CAPA!$C$113="Não",G50-G65,IF(Indexador!$B71&lt;CAPA!$C$114,0,G50-G65))</f>
        <v>-574.20964020993415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-4076.7197306420421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-2142.3051666215033</v>
      </c>
      <c r="F35" s="115">
        <f ca="1">IF(CAPA!$C$113="Não",F51-F66,IF(Indexador!$B72&lt;CAPA!$C$114,0,F51-F66))</f>
        <v>-56425.746520687448</v>
      </c>
      <c r="G35" s="115">
        <f ca="1">IF(CAPA!$C$113="Não",G51-G66,IF(Indexador!$B72&lt;CAPA!$C$114,0,G51-G66))</f>
        <v>-8732.9741413006632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-67301.025828609592</v>
      </c>
      <c r="L35" s="68" t="s">
        <v>47</v>
      </c>
      <c r="M35" s="115">
        <f ca="1">Indexador!N80</f>
        <v>-6436.7217552921993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-2055.6832800202938</v>
      </c>
      <c r="F36" s="115">
        <f ca="1">IF(CAPA!$C$113="Não",F52-F67,IF(Indexador!$B73&lt;CAPA!$C$114,0,F52-F67))</f>
        <v>-52998.702567409928</v>
      </c>
      <c r="G36" s="115">
        <f ca="1">IF(CAPA!$C$113="Não",G52-G67,IF(Indexador!$B73&lt;CAPA!$C$114,0,G52-G67))</f>
        <v>-8159.9691412476823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-63214.354988677893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-721.88249190665556</v>
      </c>
      <c r="F37" s="115">
        <f ca="1">IF(CAPA!$C$113="Não",F53-F68,IF(Indexador!$B74&lt;CAPA!$C$114,0,F53-F68))</f>
        <v>-18699.430265675212</v>
      </c>
      <c r="G37" s="115">
        <f ca="1">IF(CAPA!$C$113="Não",G53-G68,IF(Indexador!$B74&lt;CAPA!$C$114,0,G53-G68))</f>
        <v>-2904.7222413166455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-22326.034998898511</v>
      </c>
      <c r="L37" s="782" t="s">
        <v>48</v>
      </c>
      <c r="M37" s="1181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-16.780634426899269</v>
      </c>
      <c r="F38" s="115">
        <f ca="1">IF(CAPA!$C$113="Não",F54-F69,IF(Indexador!$B75&lt;CAPA!$C$114,0,F54-F69))</f>
        <v>1163.815711099247</v>
      </c>
      <c r="G38" s="115">
        <f ca="1">IF(CAPA!$C$113="Não",G54-G69,IF(Indexador!$B75&lt;CAPA!$C$114,0,G54-G69))</f>
        <v>151.29157870700146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1298.3266553793801</v>
      </c>
      <c r="L38" s="71" t="s">
        <v>760</v>
      </c>
      <c r="M38" s="269">
        <f ca="1">SUM(M31:M36)</f>
        <v>-46691.575068666127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568.73328213782588</v>
      </c>
      <c r="F39" s="115">
        <f ca="1">IF(CAPA!$C$113="Não",F55-F70,IF(Indexador!$B76&lt;CAPA!$C$114,0,F55-F70))</f>
        <v>14461.253465148766</v>
      </c>
      <c r="G39" s="115">
        <f ca="1">IF(CAPA!$C$113="Não",G55-G70,IF(Indexador!$B76&lt;CAPA!$C$114,0,G55-G70))</f>
        <v>2171.2811406055698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17201.267887892202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518.69538945926979</v>
      </c>
      <c r="F40" s="115">
        <f ca="1">IF(CAPA!$C$113="Não",F56-F71,IF(Indexador!$B77&lt;CAPA!$C$114,0,F56-F71))</f>
        <v>15129.817464759544</v>
      </c>
      <c r="G40" s="115">
        <f ca="1">IF(CAPA!$C$113="Não",G56-G71,IF(Indexador!$B77&lt;CAPA!$C$114,0,G56-G71))</f>
        <v>2359.8452637397058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18008.358117958531</v>
      </c>
      <c r="L40" s="1824" t="s">
        <v>2089</v>
      </c>
      <c r="M40" s="1824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1093.6835322548759</v>
      </c>
      <c r="F41" s="115">
        <f ca="1">IF(CAPA!$C$113="Não",F57-F72,IF(Indexador!$B78&lt;CAPA!$C$114,0,F57-F72))</f>
        <v>26807.022184542991</v>
      </c>
      <c r="G41" s="115">
        <f ca="1">IF(CAPA!$C$113="Não",G57-G72,IF(Indexador!$B78&lt;CAPA!$C$114,0,G57-G72))</f>
        <v>4026.8446679210974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31927.550384718983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0">
        <f ca="1">IFERROR(IF(CAPA!$C$113="Não",C58-C73,IF(Indexador!$B79&lt;CAPA!$C$114,0,C58-C73)),0)</f>
        <v>0</v>
      </c>
      <c r="D42" s="1150">
        <f ca="1">IF(CAPA!$C$113="Não",D58-D73,IF(Indexador!$B79&lt;CAPA!$C$114,0,D58-D73))</f>
        <v>0</v>
      </c>
      <c r="E42" s="1150">
        <f ca="1">IF(CAPA!$C$113="Não",E58-E73,IF(Indexador!$B79&lt;CAPA!$C$114,0,E58-E73))</f>
        <v>202.96430824479648</v>
      </c>
      <c r="F42" s="1150">
        <f ca="1">IF(CAPA!$C$113="Não",F58-F73,IF(Indexador!$B79&lt;CAPA!$C$114,0,F58-F73))</f>
        <v>3249.9491839285183</v>
      </c>
      <c r="G42" s="1150">
        <f ca="1">IF(CAPA!$C$113="Não",G58-G73,IF(Indexador!$B79&lt;CAPA!$C$114,0,G58-G73))</f>
        <v>387.4728316588953</v>
      </c>
      <c r="H42" s="1150">
        <f ca="1">IF(CAPA!$C$113="Não",H58-H73,IF(Indexador!$B79&lt;CAPA!$C$114,0,H58-H73))</f>
        <v>0</v>
      </c>
      <c r="I42" s="1150">
        <f ca="1">IF(CAPA!$C$113="Não",I58-I73,IF(Indexador!$B79&lt;CAPA!$C$114,0,I58-I73))</f>
        <v>0</v>
      </c>
      <c r="J42" s="1150">
        <f ca="1">IF(CAPA!$C$113="Não",J58-J73,IF(Indexador!$B79&lt;CAPA!$C$114,0,J58-J73))</f>
        <v>3840.3863238322083</v>
      </c>
      <c r="L42" s="782" t="str">
        <f>I30</f>
        <v>Crédito Pis Cofins</v>
      </c>
      <c r="M42" s="1181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0" t="s">
        <v>2081</v>
      </c>
      <c r="D46" s="1230" t="s">
        <v>46</v>
      </c>
      <c r="E46" s="1230" t="s">
        <v>40</v>
      </c>
      <c r="F46" s="1230" t="s">
        <v>41</v>
      </c>
      <c r="G46" s="1230" t="s">
        <v>47</v>
      </c>
      <c r="H46" s="1455" t="s">
        <v>2082</v>
      </c>
      <c r="I46" s="1455" t="s">
        <v>2086</v>
      </c>
      <c r="J46" s="1230" t="s">
        <v>1276</v>
      </c>
      <c r="K46" s="140"/>
    </row>
    <row r="47" spans="2:14">
      <c r="B47" s="267">
        <f>Indexador!B37</f>
        <v>44440</v>
      </c>
      <c r="C47" s="1442">
        <f>$F$11/12</f>
        <v>0</v>
      </c>
      <c r="D47" s="1295">
        <f>$F$8/12</f>
        <v>0</v>
      </c>
      <c r="E47" s="1141">
        <f t="shared" ref="E47:E58" si="0">$F$5/12</f>
        <v>8759.5887259899991</v>
      </c>
      <c r="F47" s="115">
        <f t="shared" ref="F47:F58" si="1">$F$6/12</f>
        <v>247777.02614666664</v>
      </c>
      <c r="G47" s="115">
        <f t="shared" ref="G47:G58" si="2">$F$9/12</f>
        <v>39201.578959999999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6">
        <f>SUM(C47:G47)</f>
        <v>295738.19383265666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8759.5887259899991</v>
      </c>
      <c r="F48" s="115">
        <f t="shared" si="1"/>
        <v>247777.02614666664</v>
      </c>
      <c r="G48" s="115">
        <f t="shared" si="2"/>
        <v>39201.578959999999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295738.19383265666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8759.5887259899991</v>
      </c>
      <c r="F49" s="115">
        <f t="shared" si="1"/>
        <v>247777.02614666664</v>
      </c>
      <c r="G49" s="115">
        <f t="shared" si="2"/>
        <v>39201.578959999999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295738.19383265666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8759.5887259899991</v>
      </c>
      <c r="F50" s="115">
        <f t="shared" si="1"/>
        <v>247777.02614666664</v>
      </c>
      <c r="G50" s="115">
        <f t="shared" si="2"/>
        <v>39201.578959999999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295738.19383265666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8759.5887259899991</v>
      </c>
      <c r="F51" s="115">
        <f t="shared" si="1"/>
        <v>247777.02614666664</v>
      </c>
      <c r="G51" s="115">
        <f t="shared" si="2"/>
        <v>39201.578959999999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295738.19383265666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8759.5887259899991</v>
      </c>
      <c r="F52" s="115">
        <f t="shared" si="1"/>
        <v>247777.02614666664</v>
      </c>
      <c r="G52" s="115">
        <f t="shared" si="2"/>
        <v>39201.578959999999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295738.19383265666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8759.5887259899991</v>
      </c>
      <c r="F53" s="115">
        <f t="shared" si="1"/>
        <v>247777.02614666664</v>
      </c>
      <c r="G53" s="115">
        <f t="shared" si="2"/>
        <v>39201.578959999999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295738.19383265666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8759.5887259899991</v>
      </c>
      <c r="F54" s="115">
        <f t="shared" si="1"/>
        <v>247777.02614666664</v>
      </c>
      <c r="G54" s="115">
        <f t="shared" si="2"/>
        <v>39201.578959999999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295738.19383265666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8759.5887259899991</v>
      </c>
      <c r="F55" s="115">
        <f t="shared" si="1"/>
        <v>247777.02614666664</v>
      </c>
      <c r="G55" s="115">
        <f t="shared" si="2"/>
        <v>39201.578959999999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295738.19383265666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8759.5887259899991</v>
      </c>
      <c r="F56" s="115">
        <f t="shared" si="1"/>
        <v>247777.02614666664</v>
      </c>
      <c r="G56" s="115">
        <f t="shared" si="2"/>
        <v>39201.578959999999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295738.19383265666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8759.5887259899991</v>
      </c>
      <c r="F57" s="115">
        <f t="shared" si="1"/>
        <v>247777.02614666664</v>
      </c>
      <c r="G57" s="115">
        <f t="shared" si="2"/>
        <v>39201.578959999999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295738.19383265666</v>
      </c>
    </row>
    <row r="58" spans="2:12">
      <c r="B58" s="267">
        <f>Indexador!B48</f>
        <v>44774</v>
      </c>
      <c r="C58" s="1150">
        <f t="shared" si="3"/>
        <v>0</v>
      </c>
      <c r="D58" s="1297">
        <f t="shared" si="4"/>
        <v>0</v>
      </c>
      <c r="E58" s="1150">
        <f t="shared" si="0"/>
        <v>8759.5887259899991</v>
      </c>
      <c r="F58" s="1150">
        <f t="shared" si="1"/>
        <v>247777.02614666664</v>
      </c>
      <c r="G58" s="1150">
        <f t="shared" si="2"/>
        <v>39201.578959999999</v>
      </c>
      <c r="H58" s="1150">
        <f>IFERROR((VLOOKUP("Parcela B",TabFinanCovid[],4,FALSE)/12),0)</f>
        <v>0</v>
      </c>
      <c r="I58" s="1150">
        <f>IFERROR(VLOOKUP("Créditos de Pis/Cofins",TabFinanNeutralidade[[#All],[Detalhe_Grupo_TARIFA]:[valor]],2,FALSE)/12,0)</f>
        <v>0</v>
      </c>
      <c r="J58" s="1298">
        <f t="shared" si="5"/>
        <v>295738.19383265666</v>
      </c>
    </row>
    <row r="60" spans="2:12">
      <c r="C60" s="68" t="s">
        <v>1277</v>
      </c>
      <c r="L60" s="196">
        <v>42491</v>
      </c>
    </row>
    <row r="61" spans="2:12" ht="28.5">
      <c r="C61" s="1443" t="s">
        <v>2081</v>
      </c>
      <c r="D61" s="1230" t="s">
        <v>46</v>
      </c>
      <c r="E61" s="1230" t="s">
        <v>40</v>
      </c>
      <c r="F61" s="1230" t="s">
        <v>41</v>
      </c>
      <c r="G61" s="1230" t="s">
        <v>47</v>
      </c>
      <c r="H61" s="1455" t="s">
        <v>2082</v>
      </c>
      <c r="I61" s="1455" t="s">
        <v>2084</v>
      </c>
      <c r="J61" s="1230" t="s">
        <v>1276</v>
      </c>
      <c r="L61" s="1230" t="s">
        <v>48</v>
      </c>
    </row>
    <row r="62" spans="2:12">
      <c r="B62" s="267">
        <f t="shared" ref="B62:B73" si="6">B47</f>
        <v>44440</v>
      </c>
      <c r="C62" s="1299">
        <f ca="1">Calc_Mercado!S63</f>
        <v>0</v>
      </c>
      <c r="D62" s="1299">
        <f ca="1">Calc_Mercado!F63</f>
        <v>0</v>
      </c>
      <c r="E62" s="1141">
        <f ca="1">Calc_Mercado!I63</f>
        <v>8114.2334249762362</v>
      </c>
      <c r="F62" s="1287">
        <f ca="1">Calc_Mercado!H63</f>
        <v>231309.57880409845</v>
      </c>
      <c r="G62" s="1287">
        <f ca="1">Calc_Mercado!G63</f>
        <v>36673.019036731494</v>
      </c>
      <c r="H62" s="1456">
        <f ca="1">IFERROR((VLOOKUP("Parcela B",TabFinanCovid[],4,FALSE)/VLOOKUP("Parcela B",TabFinanNeutralidade[],3,FALSE))*Calc_Mercado!T63,0)</f>
        <v>0</v>
      </c>
      <c r="I62" s="1456">
        <f ca="1">Calc_Mercado!U63</f>
        <v>0</v>
      </c>
      <c r="J62" s="1296">
        <f t="shared" ref="J62:J73" ca="1" si="7">SUM(C62:G62)</f>
        <v>276096.83126580616</v>
      </c>
      <c r="L62" s="1299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8248.5315393698238</v>
      </c>
      <c r="F63" s="80">
        <f ca="1">Calc_Mercado!H64</f>
        <v>234392.85836953425</v>
      </c>
      <c r="G63" s="80">
        <f ca="1">Calc_Mercado!G64</f>
        <v>37129.08168457928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279770.47159348335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8520.220900252516</v>
      </c>
      <c r="F64" s="80">
        <f ca="1">Calc_Mercado!H65</f>
        <v>243014.36689571422</v>
      </c>
      <c r="G64" s="80">
        <f ca="1">Calc_Mercado!G65</f>
        <v>38526.229167859638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290060.81696382636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8846.1377555028866</v>
      </c>
      <c r="F65" s="80">
        <f ca="1">Calc_Mercado!H66</f>
        <v>251192.98720758589</v>
      </c>
      <c r="G65" s="80">
        <f ca="1">Calc_Mercado!G66</f>
        <v>39775.788600209933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299814.9135632987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10901.893892611502</v>
      </c>
      <c r="F66" s="80">
        <f ca="1">Calc_Mercado!H67</f>
        <v>304202.77266735409</v>
      </c>
      <c r="G66" s="80">
        <f ca="1">Calc_Mercado!G67</f>
        <v>47934.553101300662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363039.21966126625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10815.272006010293</v>
      </c>
      <c r="F67" s="80">
        <f ca="1">Calc_Mercado!H68</f>
        <v>300775.72871407657</v>
      </c>
      <c r="G67" s="80">
        <f ca="1">Calc_Mercado!G68</f>
        <v>47361.548101247681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358952.54882133455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9481.4712178966547</v>
      </c>
      <c r="F68" s="80">
        <f ca="1">Calc_Mercado!H69</f>
        <v>266476.45641234185</v>
      </c>
      <c r="G68" s="80">
        <f ca="1">Calc_Mercado!G69</f>
        <v>42106.301201316644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318064.22883155517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8776.3693604168984</v>
      </c>
      <c r="F69" s="80">
        <f ca="1">Calc_Mercado!H70</f>
        <v>246613.21043556739</v>
      </c>
      <c r="G69" s="80">
        <f ca="1">Calc_Mercado!G70</f>
        <v>39050.287381292997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294439.86717727728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8190.8554438521733</v>
      </c>
      <c r="F70" s="80">
        <f ca="1">Calc_Mercado!H71</f>
        <v>233315.77268151788</v>
      </c>
      <c r="G70" s="80">
        <f ca="1">Calc_Mercado!G71</f>
        <v>37030.297819394429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278536.92594476446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8240.8933365307294</v>
      </c>
      <c r="F71" s="80">
        <f ca="1">Calc_Mercado!H72</f>
        <v>232647.2086819071</v>
      </c>
      <c r="G71" s="80">
        <f ca="1">Calc_Mercado!G72</f>
        <v>36841.733696260293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277729.83571469813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7665.9051937351232</v>
      </c>
      <c r="F72" s="80">
        <f ca="1">Calc_Mercado!H73</f>
        <v>220970.00396212365</v>
      </c>
      <c r="G72" s="80">
        <f ca="1">Calc_Mercado!G73</f>
        <v>35174.734292078901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263810.64344793768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0">
        <f ca="1">Calc_Mercado!S74</f>
        <v>0</v>
      </c>
      <c r="D73" s="1300">
        <f ca="1">Calc_Mercado!F74</f>
        <v>0</v>
      </c>
      <c r="E73" s="1150">
        <f ca="1">Calc_Mercado!I74</f>
        <v>8556.6244177452027</v>
      </c>
      <c r="F73" s="1292">
        <f ca="1">Calc_Mercado!H74</f>
        <v>244527.07696273812</v>
      </c>
      <c r="G73" s="1292">
        <f ca="1">Calc_Mercado!G74</f>
        <v>38814.106128341104</v>
      </c>
      <c r="H73" s="1292">
        <f ca="1">IFERROR((VLOOKUP("Parcela B",TabFinanCovid[],4,FALSE)/VLOOKUP("Parcela B",TabFinanNeutralidade[],3,FALSE))*Calc_Mercado!T74,0)</f>
        <v>0</v>
      </c>
      <c r="I73" s="1292">
        <f ca="1">Calc_Mercado!U74</f>
        <v>0</v>
      </c>
      <c r="J73" s="1298">
        <f t="shared" ca="1" si="7"/>
        <v>291897.80750882445</v>
      </c>
      <c r="L73" s="1300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C165" zoomScale="88" zoomScaleNormal="88" workbookViewId="0">
      <selection activeCell="AG230" sqref="AG229:AG230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58.28515625" style="23" bestFit="1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345.84761309196324</v>
      </c>
      <c r="AE6" s="23">
        <f>SMALL(Q41:Q42,1)</f>
        <v>422.92350380439888</v>
      </c>
    </row>
    <row r="7" spans="2:49" ht="18.75" customHeight="1">
      <c r="B7" s="299" t="s">
        <v>735</v>
      </c>
      <c r="K7" s="1049" t="s">
        <v>736</v>
      </c>
      <c r="L7" s="1049" t="s">
        <v>737</v>
      </c>
      <c r="S7" s="1826" t="s">
        <v>738</v>
      </c>
      <c r="T7" s="1826"/>
      <c r="U7" s="1826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3.6193583871430221E-2</v>
      </c>
      <c r="S8" s="47" t="s">
        <v>744</v>
      </c>
      <c r="T8" s="364">
        <f ca="1">U8/$U$15</f>
        <v>0.44244753723074975</v>
      </c>
      <c r="U8" s="56">
        <f>AU239</f>
        <v>29224737.75</v>
      </c>
      <c r="V8" s="61" t="s">
        <v>192</v>
      </c>
      <c r="W8" s="62">
        <f ca="1">T12</f>
        <v>0.21625368655874957</v>
      </c>
      <c r="X8" s="62">
        <f ca="1">W8/(1-$W$10)</f>
        <v>0.27692682824876091</v>
      </c>
    </row>
    <row r="9" spans="2:49" ht="15" customHeight="1">
      <c r="B9" s="301" t="s">
        <v>745</v>
      </c>
      <c r="K9" s="360" t="s">
        <v>717</v>
      </c>
      <c r="L9" s="361">
        <f ca="1">Resultado!E24</f>
        <v>2.4351872636991376E-2</v>
      </c>
      <c r="S9" s="47" t="s">
        <v>746</v>
      </c>
      <c r="T9" s="364">
        <f ca="1">U9/$U$15</f>
        <v>0.14864576588342318</v>
      </c>
      <c r="U9" s="56">
        <f ca="1">AU230</f>
        <v>9818414.9758875091</v>
      </c>
      <c r="V9" s="47" t="s">
        <v>747</v>
      </c>
      <c r="W9" s="57">
        <f ca="1">T13</f>
        <v>2.8408015906946941E-3</v>
      </c>
      <c r="X9" s="62">
        <f ca="1">W9/(1-$W$10)</f>
        <v>3.6378301184770575E-3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-2.03686905717816E-2</v>
      </c>
      <c r="S10" s="47" t="s">
        <v>750</v>
      </c>
      <c r="T10" s="364">
        <f ca="1">U10/$U$15</f>
        <v>0.10977444538802703</v>
      </c>
      <c r="U10" s="56">
        <f>AU232</f>
        <v>7250869.556640001</v>
      </c>
      <c r="V10" s="1050" t="s">
        <v>751</v>
      </c>
      <c r="W10" s="1051">
        <f ca="1">SUM(W8:W9)</f>
        <v>0.21909448814944427</v>
      </c>
      <c r="X10" s="1051">
        <f ca="1">SUM(X8:X9)</f>
        <v>0.28056465836723798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6.1574893315559528E-2</v>
      </c>
      <c r="S11" s="1052" t="s">
        <v>743</v>
      </c>
      <c r="T11" s="1053">
        <f ca="1">U11/$U$15</f>
        <v>8.0037763348355731E-2</v>
      </c>
      <c r="U11" s="1054">
        <f ca="1">AU219</f>
        <v>5286689.2617199849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0.21625368655874957</v>
      </c>
      <c r="U12" s="56">
        <f ca="1">T12*U15</f>
        <v>14284082.846762706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0.42830000000000001</v>
      </c>
      <c r="S13" s="47" t="s">
        <v>755</v>
      </c>
      <c r="T13" s="58">
        <f ca="1">Calc_Mercado!J9</f>
        <v>2.8408015906946941E-3</v>
      </c>
      <c r="U13" s="56">
        <f ca="1">T13*U15</f>
        <v>187641.86598814078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0.11655023070304948</v>
      </c>
      <c r="S14" s="47" t="s">
        <v>758</v>
      </c>
      <c r="T14" s="364">
        <f ca="1">SUM(T12:T13)</f>
        <v>0.21909448814944427</v>
      </c>
      <c r="U14" s="56">
        <f ca="1">SUM(U12:U13)</f>
        <v>14471724.712750847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0" t="s">
        <v>760</v>
      </c>
      <c r="T15" s="1055">
        <f ca="1">SUM(T8:T11)+T14</f>
        <v>1</v>
      </c>
      <c r="U15" s="1056">
        <f ca="1">SUM(U8:U11)/(1-T14)</f>
        <v>66052436.256998345</v>
      </c>
      <c r="V15" s="633"/>
      <c r="AC15" s="23" t="s">
        <v>761</v>
      </c>
      <c r="AD15" s="413">
        <f ca="1">Resultado!C39</f>
        <v>26341985.739775289</v>
      </c>
      <c r="AE15" s="413">
        <f ca="1">Resultado!C33</f>
        <v>10772016.038426597</v>
      </c>
      <c r="AF15" s="413">
        <f ca="1">Resultado!C24</f>
        <v>6110787.8444840517</v>
      </c>
      <c r="AG15" s="413">
        <f ca="1">Resultado!C14</f>
        <v>3592214.1104940725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29224737.75</v>
      </c>
      <c r="AE16" s="413">
        <f ca="1">Resultado!D33</f>
        <v>9818414.9758875091</v>
      </c>
      <c r="AF16" s="413">
        <f>Resultado!D24</f>
        <v>7250869.556640001</v>
      </c>
      <c r="AG16" s="413">
        <f ca="1">Resultado!D14</f>
        <v>5286689.2617199849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0" t="s">
        <v>765</v>
      </c>
      <c r="T20" s="1830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0.56658267935932094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0.19035051440624226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0.14057327515577187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1.4024449549507531E-2</v>
      </c>
      <c r="AL26" s="353"/>
    </row>
    <row r="27" spans="2:46" ht="15" customHeight="1">
      <c r="S27" s="47" t="s">
        <v>41</v>
      </c>
      <c r="T27" s="55">
        <f ca="1">AX223</f>
        <v>8.6178573074875309E-2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2.2905084542821598E-3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7" t="s">
        <v>769</v>
      </c>
      <c r="T31" s="1058">
        <f ca="1">SUM(T21:T30)</f>
        <v>1.0000000000000002</v>
      </c>
    </row>
    <row r="36" spans="1:36" ht="15" customHeight="1">
      <c r="N36" s="632" t="s">
        <v>770</v>
      </c>
      <c r="O36" s="632"/>
      <c r="P36" s="1059" t="e">
        <f>VLOOKUP(LnkTXTSigla,Informacoes[],35,FALSE)</f>
        <v>#REF!</v>
      </c>
      <c r="Q36" s="1060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1"/>
      <c r="M38" s="1062">
        <f t="shared" ref="M38:V38" si="0">DATE(M37,MONTH(DataRevRea),1)</f>
        <v>41518</v>
      </c>
      <c r="N38" s="1062">
        <f t="shared" si="0"/>
        <v>41883</v>
      </c>
      <c r="O38" s="1062">
        <f t="shared" si="0"/>
        <v>42248</v>
      </c>
      <c r="P38" s="1062">
        <f t="shared" si="0"/>
        <v>42614</v>
      </c>
      <c r="Q38" s="1062">
        <f t="shared" si="0"/>
        <v>42979</v>
      </c>
      <c r="R38" s="1062">
        <f t="shared" si="0"/>
        <v>43344</v>
      </c>
      <c r="S38" s="1062">
        <f t="shared" si="0"/>
        <v>43709</v>
      </c>
      <c r="T38" s="1062">
        <f t="shared" si="0"/>
        <v>44075</v>
      </c>
      <c r="U38" s="1062">
        <f t="shared" si="0"/>
        <v>44440</v>
      </c>
      <c r="V38" s="1062">
        <f t="shared" si="0"/>
        <v>44805</v>
      </c>
      <c r="W38" s="1062" t="s">
        <v>704</v>
      </c>
    </row>
    <row r="39" spans="1:36" ht="15" customHeight="1">
      <c r="L39" s="65" t="str">
        <f>CAPA!C9</f>
        <v>Cerej</v>
      </c>
      <c r="M39" s="401">
        <f>SUMIF(TAbtarifasb1[[#All],[Sigla]],LnkTXTSigla,TAbtarifasb1[[#All],[2013]])</f>
        <v>324.70000000000005</v>
      </c>
      <c r="N39" s="401">
        <f>SUMIF(TAbtarifasb1[[#All],[Sigla]],LnkTXTSigla,TAbtarifasb1[[#All],[2014]])</f>
        <v>370.55</v>
      </c>
      <c r="O39" s="401">
        <f>SUMIF(TAbtarifasb1[[#All],[Sigla]],LnkTXTSigla,TAbtarifasb1[[#All],[2015]])</f>
        <v>458.99</v>
      </c>
      <c r="P39" s="411">
        <f>SUMIF(TAbtarifasb1[[#All],[Sigla]],LnkTXTSigla,TAbtarifasb1[[#All],[2016]])</f>
        <v>456.67</v>
      </c>
      <c r="Q39" s="411">
        <f>SUMIF(TAbtarifasb1[[#All],[Sigla]],LnkTXTSigla,TAbtarifasb1[[#All],[2017]])</f>
        <v>541.30999999999995</v>
      </c>
      <c r="R39" s="752">
        <f>SUMIF(TAbtarifasb1[[#All],[Sigla]],LnkTXTSigla,TAbtarifasb1[[#All],[2018]])</f>
        <v>543.35</v>
      </c>
      <c r="S39" s="752">
        <f>SUMIF(TAbtarifasb1[[#All],[Sigla]],LnkTXTSigla,TAbtarifasb1[[#All],[2019]])</f>
        <v>580.39</v>
      </c>
      <c r="T39" s="413">
        <f>SUMIF(TAbtarifasb1[[#All],[Sigla]],LnkTXTSigla,TAbtarifasb1[[#All],[2020]])</f>
        <v>610.34</v>
      </c>
      <c r="U39" s="413">
        <f>SUMIF(TAbtarifasb1[[#All],[Sigla]],LnkTXTSigla,TAbtarifasb1[[#All],[2021]])</f>
        <v>628.70000000000005</v>
      </c>
      <c r="V39" s="413">
        <f>Resultado!L6</f>
        <v>686.02</v>
      </c>
      <c r="W39" s="740">
        <f>V39/M39-1</f>
        <v>1.1127810286418227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0">
        <f>V40/M40-1</f>
        <v>-1</v>
      </c>
    </row>
    <row r="41" spans="1:36" ht="15" customHeight="1">
      <c r="L41" s="65" t="s">
        <v>771</v>
      </c>
      <c r="M41" s="402">
        <f>M39</f>
        <v>324.70000000000005</v>
      </c>
      <c r="N41" s="402">
        <f>VLOOKUP(DATE(YEAR(O38),MONTH(O38)-1,1),Índices!$B:$F,2,FALSE)/VLOOKUP(DATE(YEAR(Q36),MONTH(Q36)-1,1),Índices!$B:$F,2,FALSE)*M41</f>
        <v>366.29239626297323</v>
      </c>
      <c r="O41" s="402">
        <f>VLOOKUP(DATE(YEAR(O38),MONTH(O38)-1,1),Índices!$B:$F,2,FALSE)/VLOOKUP(DATE(YEAR(N38),MONTH(N38)-1,1),Índices!$B:$F,2,FALSE)*N41</f>
        <v>393.95936548714906</v>
      </c>
      <c r="P41" s="402">
        <f>VLOOKUP(DATE(YEAR(P38),MONTH(P38)-1,1),Índices!$B:$F,2,FALSE)/VLOOKUP(DATE(YEAR(O38),MONTH(O38)-1,1),Índices!$B:$F,2,FALSE)*O41</f>
        <v>439.2212595904814</v>
      </c>
      <c r="Q41" s="402">
        <f>VLOOKUP(DATE(YEAR(Q38),MONTH(Q38)-1,1),Índices!$B:$F,2,FALSE)/VLOOKUP(DATE(YEAR(P38),MONTH(P38)-1,1),Índices!$B:$F,2,FALSE)*P41</f>
        <v>431.70507856701653</v>
      </c>
      <c r="R41" s="363">
        <f>IF(R37=YEAR(CAPA!$C$114),'Tabelas e Gráficos'!R39,(VLOOKUP(DATE(YEAR(R38),MONTH(R38)-1,1),Índices!$B:$F,2,FALSE)/VLOOKUP(DATE(YEAR(Q38),MONTH(Q38)-1,1),Índices!$B:$F,2,FALSE)*Q41))</f>
        <v>470.08925501397221</v>
      </c>
      <c r="S41" s="363">
        <f>IF(S37=YEAR(CAPA!$C$114),'Tabelas e Gráficos'!S39,(VLOOKUP(DATE(YEAR(S38),MONTH(S38)-1,1),Índices!$B:$F,2,FALSE)/VLOOKUP(DATE(YEAR(R38),MONTH(R38)-1,1),Índices!$B:$F,2,FALSE)*R41))</f>
        <v>493.35330582418857</v>
      </c>
      <c r="T41" s="363">
        <f>IF(T37=YEAR(CAPA!$C$114),'Tabelas e Gráficos'!T39,(VLOOKUP(DATE(YEAR(T38),MONTH(T38)-1,1),Índices!$B:$F,2,FALSE)/VLOOKUP(DATE(YEAR(S38),MONTH(S38)-1,1),Índices!$B:$F,2,FALSE)*S41))</f>
        <v>557.60898263509307</v>
      </c>
      <c r="U41" s="402">
        <f>VLOOKUP(DATE(YEAR(U38),MONTH(U38)-1,1),Índices!$B:$F,2,FALSE)/VLOOKUP(DATE(YEAR(T38),MONTH(T38)-1,1),Índices!$B:$F,2,FALSE)*T41</f>
        <v>731.11090017799881</v>
      </c>
      <c r="V41" s="402">
        <f>VLOOKUP(DATE(YEAR(V38),MONTH(V38)-1,1),Índices!$B:$F,2,FALSE)/VLOOKUP(DATE(YEAR(U38),MONTH(U38)-1,1),Índices!$B:$F,2,FALSE)*U41</f>
        <v>793.89469449415765</v>
      </c>
      <c r="W41" s="740">
        <f>V41/M41-1</f>
        <v>1.4450098382942946</v>
      </c>
    </row>
    <row r="42" spans="1:36" ht="15" customHeight="1">
      <c r="L42" s="1063" t="s">
        <v>772</v>
      </c>
      <c r="M42" s="1065">
        <f>M39</f>
        <v>324.70000000000005</v>
      </c>
      <c r="N42" s="1065">
        <f>VLOOKUP(DATE(YEAR(N38),MONTH(N38)-1,1),Índices!$B:$F,3,FALSE)/VLOOKUP(DATE(YEAR(Q36),MONTH(Q36)-1,1),Índices!$B:$F,3,FALSE)*M42</f>
        <v>345.84761309196324</v>
      </c>
      <c r="O42" s="1065">
        <f>VLOOKUP(DATE(YEAR(O38),MONTH(O38)-1,1),Índices!$B:$F,3,FALSE)/VLOOKUP(DATE(YEAR(N38),MONTH(N38)-1,1),Índices!$B:$F,3,FALSE)*N42</f>
        <v>378.79124921161053</v>
      </c>
      <c r="P42" s="1065">
        <f>VLOOKUP(DATE(YEAR(P38),MONTH(P38)-1,1),Índices!$B:$F,3,FALSE)/VLOOKUP(DATE(YEAR(O38),MONTH(O38)-1,1),Índices!$B:$F,3,FALSE)*O42</f>
        <v>412.78586078718183</v>
      </c>
      <c r="Q42" s="1065">
        <f>VLOOKUP(DATE(YEAR(Q38),MONTH(Q38)-1,1),Índices!$B:$F,3,FALSE)/VLOOKUP(DATE(YEAR(P38),MONTH(P38)-1,1),Índices!$B:$F,3,FALSE)*P42</f>
        <v>422.92350380439888</v>
      </c>
      <c r="R42" s="1064">
        <f>IF(R37=YEAR(CAPA!$C$114),'Tabelas e Gráficos'!R39,(VLOOKUP(DATE(YEAR(R38),MONTH(R38)-1,1),Índices!$B:$F,3,FALSE)/VLOOKUP(DATE(YEAR(Q38),MONTH(Q38)-1,1),Índices!$B:$F,3,FALSE)*'Tabelas e Gráficos'!Q42))</f>
        <v>440.65675384801204</v>
      </c>
      <c r="S42" s="1064">
        <f>IF(S37=YEAR(CAPA!$C$114),'Tabelas e Gráficos'!S39,(VLOOKUP(DATE(YEAR(S38),MONTH(S38)-1,1),Índices!$B:$F,3,FALSE)/VLOOKUP(DATE(YEAR(R38),MONTH(R38)-1,1),Índices!$B:$F,3,FALSE)*'Tabelas e Gráficos'!R42))</f>
        <v>455.76517961862083</v>
      </c>
      <c r="T42" s="1064">
        <f>IF(T37=YEAR(CAPA!$C$114),'Tabelas e Gráficos'!T39,(VLOOKUP(DATE(YEAR(T38),MONTH(T38)-1,1),Índices!$B:$F,3,FALSE)/VLOOKUP(DATE(YEAR(S38),MONTH(S38)-1,1),Índices!$B:$F,3,FALSE)*'Tabelas e Gráficos'!S42))</f>
        <v>466.87885290999617</v>
      </c>
      <c r="U42" s="1065">
        <f>VLOOKUP(DATE(YEAR(U38),MONTH(U38)-1,1),Índices!$B:$F,3,FALSE)/VLOOKUP(DATE(YEAR(T38),MONTH(T38)-1,1),Índices!$B:$F,3,FALSE)*T42</f>
        <v>512.07166897032982</v>
      </c>
      <c r="V42" s="1065">
        <f>VLOOKUP(DATE(YEAR(V38),MONTH(V38)-1,1),Índices!$B:$F,3,FALSE)/VLOOKUP(DATE(YEAR(U38),MONTH(U38)-1,1),Índices!$B:$F,3,FALSE)*U42</f>
        <v>556.76165514835157</v>
      </c>
      <c r="W42" s="740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3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3"/>
      <c r="B49" s="643"/>
      <c r="C49" s="643"/>
      <c r="D49" s="643"/>
      <c r="E49" s="643"/>
      <c r="F49" s="643"/>
      <c r="G49" s="643"/>
      <c r="H49" s="644"/>
      <c r="I49" s="643"/>
      <c r="J49" s="643"/>
      <c r="K49" s="645"/>
      <c r="L49" s="645"/>
      <c r="M49" s="645"/>
      <c r="N49" s="645"/>
      <c r="O49" s="645"/>
      <c r="P49" s="645"/>
      <c r="Q49" s="643"/>
      <c r="R49" s="643"/>
      <c r="S49" s="646"/>
      <c r="T49" s="643"/>
      <c r="U49" s="643"/>
      <c r="V49" s="643"/>
      <c r="W49" s="643"/>
      <c r="X49" s="643"/>
      <c r="Y49" s="643"/>
      <c r="Z49" s="643"/>
      <c r="AA49" s="643"/>
      <c r="AB49" s="643"/>
      <c r="AC49" s="643"/>
      <c r="AD49" s="643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1"/>
      <c r="M51" s="1831"/>
      <c r="N51" s="1831"/>
      <c r="O51" s="49"/>
      <c r="P51" s="49"/>
    </row>
    <row r="52" spans="1:47" ht="15" customHeight="1">
      <c r="B52" s="305" t="s">
        <v>776</v>
      </c>
      <c r="C52" s="306">
        <f ca="1">Resultado!C5</f>
        <v>51580711.544247493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46817003.733180009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0.10175165925219942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-0.41349999999999998</v>
      </c>
      <c r="D55" s="307"/>
      <c r="E55" s="28"/>
      <c r="H55" s="23"/>
      <c r="K55" s="49"/>
      <c r="L55" s="642"/>
      <c r="M55" s="639"/>
      <c r="N55" s="640"/>
      <c r="O55" s="49"/>
      <c r="P55" s="49"/>
    </row>
    <row r="56" spans="1:47" ht="15" customHeight="1">
      <c r="B56" s="1066" t="str">
        <f>Resultado!B9</f>
        <v>Variação econômica e financeira</v>
      </c>
      <c r="C56" s="1067">
        <f ca="1">C54+C55</f>
        <v>-0.31174834074780056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51699.664999999972</v>
      </c>
      <c r="G60" s="306">
        <f ca="1">Calc_Mercado!D8</f>
        <v>46817003.733180009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9038.3070000000025</v>
      </c>
      <c r="G65" s="306">
        <f ca="1">Calc_Mercado!D13</f>
        <v>5479494.0973199988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42661.357999999971</v>
      </c>
      <c r="G67" s="306">
        <f ca="1">Calc_Mercado!D15</f>
        <v>41337509.635860011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6" t="s">
        <v>769</v>
      </c>
      <c r="F70" s="1068">
        <f ca="1">Calc_Mercado!C25</f>
        <v>51699.664999999972</v>
      </c>
      <c r="G70" s="1068">
        <f ca="1">Calc_Mercado!D25</f>
        <v>46817003.733180009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28"/>
      <c r="D74" s="1828"/>
      <c r="E74" s="1828"/>
      <c r="I74" s="1069" t="s">
        <v>743</v>
      </c>
      <c r="J74" s="1070">
        <f ca="1">SUM(J75:J84)</f>
        <v>3592214.1104940725</v>
      </c>
      <c r="K74" s="1071">
        <f ca="1">SUM(K75:K84)</f>
        <v>7.672883405710583E-2</v>
      </c>
      <c r="L74" s="313" t="s">
        <v>782</v>
      </c>
      <c r="N74" s="34"/>
      <c r="AG74" s="49"/>
      <c r="AH74" s="1835"/>
      <c r="AI74" s="1835"/>
      <c r="AJ74" s="1835"/>
      <c r="AK74" s="635"/>
      <c r="AL74" s="49"/>
      <c r="AM74" s="49"/>
      <c r="AN74" s="49"/>
      <c r="AO74" s="49"/>
    </row>
    <row r="75" spans="2:43" ht="15" hidden="1" customHeight="1">
      <c r="B75" s="30"/>
      <c r="C75" s="1827"/>
      <c r="D75" s="1827"/>
      <c r="E75" s="1827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6"/>
      <c r="AI75" s="1836"/>
      <c r="AJ75" s="1836"/>
      <c r="AK75" s="636"/>
      <c r="AL75" s="417"/>
      <c r="AM75" s="49"/>
      <c r="AN75" s="49"/>
      <c r="AO75" s="49"/>
    </row>
    <row r="76" spans="2:43" ht="15" hidden="1" customHeight="1">
      <c r="B76" s="30"/>
      <c r="C76" s="1827"/>
      <c r="D76" s="1827"/>
      <c r="E76" s="1827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7"/>
      <c r="AL76" s="49"/>
      <c r="AM76" s="49"/>
      <c r="AN76" s="49"/>
      <c r="AO76" s="49"/>
    </row>
    <row r="77" spans="2:43" ht="15" customHeight="1">
      <c r="B77" s="30"/>
      <c r="C77" s="1827"/>
      <c r="D77" s="1827"/>
      <c r="E77" s="1827"/>
      <c r="I77" s="35" t="str">
        <f>Resultado!B17</f>
        <v>Taxa de Fisc. de Serviços de E.E. – TFSEE</v>
      </c>
      <c r="J77" s="315">
        <f ca="1">Mercado_Faturado_Encargo_TFSEE_BRUTO</f>
        <v>106358.40848890002</v>
      </c>
      <c r="K77" s="36">
        <f ca="1">J77/$J$98</f>
        <v>2.2717901618621102E-3</v>
      </c>
      <c r="L77" s="313">
        <f ca="1">IF(J77=0,0,1)</f>
        <v>1</v>
      </c>
      <c r="N77" s="36"/>
      <c r="AG77" s="49"/>
      <c r="AH77" s="49"/>
      <c r="AI77" s="49"/>
      <c r="AJ77" s="49"/>
      <c r="AK77" s="637"/>
      <c r="AL77" s="49"/>
      <c r="AM77" s="49"/>
      <c r="AN77" s="49"/>
      <c r="AO77" s="49"/>
    </row>
    <row r="78" spans="2:43" ht="15" customHeight="1">
      <c r="B78" s="30"/>
      <c r="C78" s="1827"/>
      <c r="D78" s="1827"/>
      <c r="E78" s="1827"/>
      <c r="I78" s="35" t="str">
        <f>Resultado!B18</f>
        <v>Conta de Desenvolvimento Energético – CDE</v>
      </c>
      <c r="J78" s="315">
        <f ca="1">Mercado_Faturado_Encargo_CDE_BRUTO</f>
        <v>3009438.0217945594</v>
      </c>
      <c r="K78" s="36">
        <f ca="1">J78/$J$98</f>
        <v>6.4280876216384591E-2</v>
      </c>
      <c r="L78" s="313">
        <f t="shared" ref="L78:L95" ca="1" si="2">IF(J78=0,0,1)</f>
        <v>1</v>
      </c>
      <c r="N78" s="36"/>
      <c r="AG78" s="49"/>
      <c r="AH78" s="1836"/>
      <c r="AI78" s="1836"/>
      <c r="AJ78" s="1836"/>
      <c r="AK78" s="636"/>
      <c r="AL78" s="417"/>
      <c r="AM78" s="49"/>
      <c r="AN78" s="49"/>
      <c r="AO78" s="49"/>
    </row>
    <row r="79" spans="2:43" ht="15" hidden="1" customHeight="1">
      <c r="B79" s="30"/>
      <c r="C79" s="1827"/>
      <c r="D79" s="1827"/>
      <c r="E79" s="1827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7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695"/>
      <c r="D80" s="1695"/>
      <c r="E80" s="1695"/>
      <c r="I80" s="35" t="s">
        <v>2302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7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27"/>
      <c r="D81" s="1827"/>
      <c r="E81" s="1827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7"/>
      <c r="AL81" s="49"/>
      <c r="AM81" s="49"/>
      <c r="AN81" s="49"/>
      <c r="AO81" s="49"/>
    </row>
    <row r="82" spans="2:41" ht="15" customHeight="1">
      <c r="B82" s="30"/>
      <c r="C82" s="1827"/>
      <c r="D82" s="1827"/>
      <c r="E82" s="1827"/>
      <c r="I82" s="35" t="str">
        <f>Resultado!B21</f>
        <v>PROINFA</v>
      </c>
      <c r="J82" s="315">
        <f ca="1">Mercado_Faturado_Encargo_PROINFA_BRUTO</f>
        <v>476417.68021061312</v>
      </c>
      <c r="K82" s="36">
        <f ca="1">J82/$J$98</f>
        <v>1.017616767885912E-2</v>
      </c>
      <c r="L82" s="313">
        <f t="shared" ca="1" si="2"/>
        <v>1</v>
      </c>
      <c r="N82" s="34"/>
      <c r="AG82" s="49"/>
      <c r="AH82" s="49"/>
      <c r="AI82" s="49"/>
      <c r="AJ82" s="49"/>
      <c r="AK82" s="637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6"/>
      <c r="AI83" s="1836"/>
      <c r="AJ83" s="1836"/>
      <c r="AK83" s="636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7"/>
      <c r="AL84" s="49"/>
      <c r="AM84" s="49"/>
      <c r="AN84" s="49"/>
      <c r="AO84" s="49"/>
    </row>
    <row r="85" spans="2:41" ht="15" customHeight="1">
      <c r="I85" s="1069" t="s">
        <v>795</v>
      </c>
      <c r="J85" s="1070">
        <f ca="1">SUM(Calc_Mercado!C79:C85)</f>
        <v>10772016.038426597</v>
      </c>
      <c r="K85" s="1071">
        <f ca="1">SUM(K86)</f>
        <v>0.23008768565836871</v>
      </c>
      <c r="L85" s="313">
        <f t="shared" ca="1" si="2"/>
        <v>1</v>
      </c>
      <c r="N85" s="36"/>
      <c r="AG85" s="49"/>
      <c r="AH85" s="49"/>
      <c r="AI85" s="49"/>
      <c r="AJ85" s="49"/>
      <c r="AK85" s="637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10772016.038426597</v>
      </c>
      <c r="K86" s="36">
        <f t="shared" ref="K86:K97" ca="1" si="3">J86/$J$98</f>
        <v>0.23008768565836871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4"/>
      <c r="C87" s="1834"/>
      <c r="D87" s="1834"/>
      <c r="E87" s="1834"/>
      <c r="F87" s="1834"/>
      <c r="G87" s="39"/>
      <c r="I87" s="1069" t="s">
        <v>797</v>
      </c>
      <c r="J87" s="1070">
        <f ca="1">Resultado!C24</f>
        <v>6110787.8444840517</v>
      </c>
      <c r="K87" s="1071">
        <f t="shared" ca="1" si="3"/>
        <v>0.13052496651239626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3"/>
      <c r="C88" s="1833"/>
      <c r="D88" s="1833"/>
      <c r="E88" s="1833"/>
      <c r="F88" s="1833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8"/>
      <c r="AI88" s="639"/>
      <c r="AJ88" s="640"/>
      <c r="AK88" s="641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3"/>
      <c r="C90" s="1833"/>
      <c r="D90" s="1833"/>
      <c r="E90" s="1833"/>
      <c r="F90" s="1833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4"/>
      <c r="C95" s="1834"/>
      <c r="D95" s="1834"/>
      <c r="E95" s="1834"/>
      <c r="F95" s="1834"/>
      <c r="G95" s="42"/>
      <c r="I95" s="37" t="s">
        <v>639</v>
      </c>
      <c r="J95" s="315">
        <f ca="1">Resultado!C32</f>
        <v>6110787.8444840517</v>
      </c>
      <c r="K95" s="36">
        <f t="shared" ca="1" si="3"/>
        <v>0.13052496651239626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3"/>
      <c r="C96" s="1833"/>
      <c r="D96" s="1833"/>
      <c r="E96" s="1833"/>
      <c r="F96" s="1833"/>
      <c r="I96" s="1069" t="s">
        <v>798</v>
      </c>
      <c r="J96" s="1070">
        <f ca="1">J87+J85+J74</f>
        <v>20475017.99340472</v>
      </c>
      <c r="K96" s="1071">
        <f t="shared" ca="1" si="3"/>
        <v>0.43734148622787078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3"/>
      <c r="C97" s="1833"/>
      <c r="D97" s="1833"/>
      <c r="E97" s="1833"/>
      <c r="F97" s="1833"/>
      <c r="I97" s="1069" t="s">
        <v>799</v>
      </c>
      <c r="J97" s="1070">
        <f ca="1">J98-J96</f>
        <v>26341985.739775289</v>
      </c>
      <c r="K97" s="1071">
        <f t="shared" ca="1" si="3"/>
        <v>0.56265851377212917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4"/>
      <c r="C98" s="1834"/>
      <c r="D98" s="1834"/>
      <c r="E98" s="1834"/>
      <c r="F98" s="1834"/>
      <c r="G98" s="28"/>
      <c r="I98" s="1066" t="s">
        <v>800</v>
      </c>
      <c r="J98" s="1068">
        <f ca="1">Mercado_RA0_Reais</f>
        <v>46817003.733180009</v>
      </c>
      <c r="K98" s="1072">
        <f ca="1">K96+K97</f>
        <v>1</v>
      </c>
      <c r="L98" s="31"/>
      <c r="AG98" s="49"/>
      <c r="AH98" s="634"/>
      <c r="AI98" s="634"/>
      <c r="AJ98" s="634"/>
      <c r="AK98" s="49"/>
      <c r="AL98" s="49"/>
      <c r="AM98" s="49"/>
      <c r="AN98" s="49"/>
      <c r="AO98" s="49"/>
    </row>
    <row r="99" spans="2:41" ht="15" customHeight="1">
      <c r="B99" s="1833"/>
      <c r="C99" s="1833"/>
      <c r="D99" s="1833"/>
      <c r="E99" s="1833"/>
      <c r="F99" s="1833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3"/>
      <c r="C100" s="1833"/>
      <c r="D100" s="1833"/>
      <c r="E100" s="1833"/>
      <c r="F100" s="1833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118146.05586998828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4445152.1190699972</v>
      </c>
      <c r="O104" s="319">
        <f t="shared" ca="1" si="4"/>
        <v>1</v>
      </c>
    </row>
    <row r="105" spans="2:41" ht="15" hidden="1" customHeight="1">
      <c r="B105" s="1833"/>
      <c r="C105" s="1833"/>
      <c r="D105" s="1833"/>
      <c r="E105" s="1833"/>
      <c r="F105" s="1833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2054</v>
      </c>
      <c r="N106" s="315">
        <f>Encargos!I21</f>
        <v>0</v>
      </c>
      <c r="O106" s="1548">
        <f>IF(N106=0,0,1)</f>
        <v>0</v>
      </c>
    </row>
    <row r="107" spans="2:41" ht="15" hidden="1" customHeight="1">
      <c r="B107" s="1833"/>
      <c r="C107" s="1833"/>
      <c r="D107" s="1833"/>
      <c r="E107" s="1833"/>
      <c r="F107" s="1833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4"/>
      <c r="C108" s="1834"/>
      <c r="D108" s="1834"/>
      <c r="E108" s="1834"/>
      <c r="F108" s="1834"/>
      <c r="G108" s="39"/>
      <c r="M108" s="35" t="str">
        <f>Resultado!B21</f>
        <v>PROINFA</v>
      </c>
      <c r="N108" s="315">
        <f ca="1">Resultado!D21</f>
        <v>723391.08677999966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6" t="s">
        <v>769</v>
      </c>
      <c r="N111" s="1068">
        <f ca="1">SUM(N101:N110)</f>
        <v>5286689.2617199849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3">
        <f ca="1">Energia!N14</f>
        <v>0.13789999999999999</v>
      </c>
    </row>
    <row r="116" spans="2:44" ht="15" customHeight="1">
      <c r="B116" s="46"/>
      <c r="C116" s="307"/>
      <c r="D116" s="307"/>
      <c r="P116" s="1066" t="s">
        <v>769</v>
      </c>
      <c r="Q116" s="1072">
        <f ca="1">SUM(Q114:Q115)</f>
        <v>0.13789999999999999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4" t="s">
        <v>805</v>
      </c>
      <c r="T121" s="1075">
        <f ca="1">SUM(T122:T123)</f>
        <v>51699.664999999972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51699.664999999972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4" t="s">
        <v>808</v>
      </c>
      <c r="T124" s="1076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6" t="s">
        <v>804</v>
      </c>
      <c r="T127" s="1077">
        <f ca="1">T121+T124</f>
        <v>51699.664999999972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8" t="s">
        <v>811</v>
      </c>
      <c r="W129" s="1078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1" t="s">
        <v>27</v>
      </c>
      <c r="W130" s="1079" t="s">
        <v>77</v>
      </c>
      <c r="X130" s="1061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166.14917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0">
        <f>Energia!B32</f>
        <v>0</v>
      </c>
      <c r="W135" s="1080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1"/>
      <c r="W136" s="1082"/>
      <c r="X136" s="1083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8" t="s">
        <v>813</v>
      </c>
      <c r="AA138" s="1078"/>
      <c r="AB138" s="1078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59492.171999999999</v>
      </c>
      <c r="AB140" s="331">
        <f>Energia!G35</f>
        <v>284.99</v>
      </c>
      <c r="AC140" s="332">
        <f>AA140*AB140</f>
        <v>16954674.098280001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4">
        <f>Energia!C20</f>
        <v>875.47703243856063</v>
      </c>
      <c r="AB142" s="1085">
        <f>Energia!D20</f>
        <v>0</v>
      </c>
      <c r="AC142" s="1086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4" t="s">
        <v>815</v>
      </c>
      <c r="AA143" s="1087">
        <f ca="1">Energia!M30-Energia!L30</f>
        <v>-398.19653272857977</v>
      </c>
      <c r="AB143" s="1088">
        <f>Energia!M34</f>
        <v>0</v>
      </c>
      <c r="AC143" s="1088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6" t="s">
        <v>769</v>
      </c>
      <c r="AA144" s="1089">
        <f ca="1">SUM(AA140:AA143)</f>
        <v>59969.45249970998</v>
      </c>
      <c r="AB144" s="1090">
        <f ca="1">AC144/AA144</f>
        <v>282.72184239737715</v>
      </c>
      <c r="AC144" s="1090">
        <f ca="1">SUM(AC140:AC143)</f>
        <v>16954674.098280001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1" t="s">
        <v>753</v>
      </c>
      <c r="AF146" s="1091"/>
      <c r="AG146" s="1091"/>
      <c r="AH146" s="1091"/>
      <c r="AI146" s="1091"/>
      <c r="AJ146" s="1091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1" t="s">
        <v>27</v>
      </c>
      <c r="AF147" s="1061" t="s">
        <v>77</v>
      </c>
      <c r="AG147" s="1061" t="s">
        <v>816</v>
      </c>
      <c r="AH147" s="1061" t="s">
        <v>817</v>
      </c>
      <c r="AI147" s="1061" t="s">
        <v>60</v>
      </c>
      <c r="AJ147" s="1061" t="s">
        <v>818</v>
      </c>
      <c r="AK147" s="1061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170003.1</v>
      </c>
      <c r="AJ148" s="397">
        <f>CUSD!J6</f>
        <v>13.88</v>
      </c>
      <c r="AK148" s="334">
        <f>IFERROR(AI148*AJ148,0)</f>
        <v>2359643.0280000004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172415.80000000002</v>
      </c>
      <c r="AJ149" s="397">
        <f>CUSD!J7</f>
        <v>24.15</v>
      </c>
      <c r="AK149" s="334">
        <f t="shared" ref="AK149:AK155" si="6">IFERROR(AI149*AJ149,0)</f>
        <v>4163841.5700000003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53427.243999999999</v>
      </c>
      <c r="AJ150" s="397">
        <f>CUSD!J8</f>
        <v>12.06</v>
      </c>
      <c r="AK150" s="334">
        <f t="shared" si="6"/>
        <v>644332.56264000002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6886.6</v>
      </c>
      <c r="AJ151" s="397">
        <f>CUSD!J9</f>
        <v>12.06</v>
      </c>
      <c r="AK151" s="334">
        <f t="shared" si="6"/>
        <v>83052.396000000008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6" t="s">
        <v>819</v>
      </c>
      <c r="AF163" s="1066"/>
      <c r="AG163" s="1066"/>
      <c r="AH163" s="1066"/>
      <c r="AI163" s="1092">
        <f>SUM(AI148:AI162)</f>
        <v>402732.74400000001</v>
      </c>
      <c r="AJ163" s="1068"/>
      <c r="AK163" s="1068">
        <f>SUM(AK148:AK162)</f>
        <v>7250869.556640001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30" t="s">
        <v>820</v>
      </c>
      <c r="AN165" s="1731" t="s">
        <v>773</v>
      </c>
    </row>
    <row r="166" spans="2:42" ht="15" customHeight="1">
      <c r="B166" s="46"/>
      <c r="C166" s="307"/>
      <c r="D166" s="307"/>
      <c r="P166" s="44"/>
      <c r="Q166" s="307"/>
      <c r="AM166" s="1732" t="s">
        <v>724</v>
      </c>
      <c r="AN166" s="1696" t="s">
        <v>775</v>
      </c>
      <c r="AO166" s="23" t="s">
        <v>782</v>
      </c>
      <c r="AP166" s="649" t="s">
        <v>821</v>
      </c>
    </row>
    <row r="167" spans="2:42" ht="15" customHeight="1">
      <c r="B167" s="46"/>
      <c r="C167" s="307"/>
      <c r="D167" s="307"/>
      <c r="P167" s="44"/>
      <c r="Q167" s="307"/>
      <c r="AM167" s="921" t="s">
        <v>2303</v>
      </c>
      <c r="AN167" s="1733">
        <f ca="1">SUM(Financeiros!D9:D14)</f>
        <v>611490.42636098247</v>
      </c>
      <c r="AO167" s="23">
        <f t="shared" ref="AO167:AO207" ca="1" si="8">IF(AN167=0,0,1)</f>
        <v>1</v>
      </c>
      <c r="AP167" s="649"/>
    </row>
    <row r="168" spans="2:42" ht="15" customHeight="1">
      <c r="B168" s="46"/>
      <c r="C168" s="307"/>
      <c r="D168" s="307"/>
      <c r="P168" s="44"/>
      <c r="Q168" s="307"/>
      <c r="AM168" s="921" t="s">
        <v>728</v>
      </c>
      <c r="AN168" s="1733">
        <f ca="1">SUM(Financeiros!D15:D19,D21)</f>
        <v>-46691.575068666127</v>
      </c>
      <c r="AO168" s="23">
        <f t="shared" ca="1" si="8"/>
        <v>1</v>
      </c>
      <c r="AP168" s="649"/>
    </row>
    <row r="169" spans="2:42" ht="15" hidden="1" customHeight="1">
      <c r="B169" s="46"/>
      <c r="C169" s="307"/>
      <c r="D169" s="307"/>
      <c r="P169" s="44"/>
      <c r="Q169" s="307"/>
      <c r="AM169" s="924" t="s">
        <v>2102</v>
      </c>
      <c r="AN169" s="925">
        <f ca="1">Financeiros!D20+Financeiros!D22</f>
        <v>0</v>
      </c>
      <c r="AO169" s="23">
        <f t="shared" ca="1" si="8"/>
        <v>0</v>
      </c>
      <c r="AP169" s="649"/>
    </row>
    <row r="170" spans="2:42" ht="15" hidden="1" customHeight="1">
      <c r="B170" s="46"/>
      <c r="C170" s="307"/>
      <c r="D170" s="307"/>
      <c r="P170" s="44"/>
      <c r="Q170" s="307"/>
      <c r="AM170" s="924" t="s">
        <v>2159</v>
      </c>
      <c r="AN170" s="925">
        <f ca="1">Financeiros!D23</f>
        <v>0</v>
      </c>
      <c r="AO170" s="649">
        <f ca="1">IF(AN170=0,0,1)</f>
        <v>0</v>
      </c>
      <c r="AP170" s="649"/>
    </row>
    <row r="171" spans="2:42" ht="15" hidden="1" customHeight="1">
      <c r="B171" s="46"/>
      <c r="C171" s="307"/>
      <c r="D171" s="307"/>
      <c r="P171" s="44"/>
      <c r="Q171" s="307"/>
      <c r="AM171" s="921" t="s">
        <v>2304</v>
      </c>
      <c r="AN171" s="1733">
        <f>SUM(Financeiros!D24:D25)</f>
        <v>0</v>
      </c>
      <c r="AO171" s="23">
        <f t="shared" si="8"/>
        <v>0</v>
      </c>
      <c r="AP171" s="649"/>
    </row>
    <row r="172" spans="2:42" ht="15" hidden="1" customHeight="1">
      <c r="B172" s="46"/>
      <c r="C172" s="307"/>
      <c r="D172" s="307"/>
      <c r="P172" s="44"/>
      <c r="Q172" s="307"/>
      <c r="AM172" s="921"/>
      <c r="AN172" s="1733"/>
      <c r="AO172" s="23">
        <f t="shared" si="8"/>
        <v>0</v>
      </c>
      <c r="AP172" s="649"/>
    </row>
    <row r="173" spans="2:42" ht="15" hidden="1" customHeight="1">
      <c r="B173" s="46"/>
      <c r="C173" s="307"/>
      <c r="D173" s="307"/>
      <c r="P173" s="44"/>
      <c r="Q173" s="307"/>
      <c r="AM173" s="921"/>
      <c r="AN173" s="1733"/>
      <c r="AO173" s="23">
        <f t="shared" si="8"/>
        <v>0</v>
      </c>
      <c r="AP173" s="649"/>
    </row>
    <row r="174" spans="2:42" ht="15" hidden="1" customHeight="1">
      <c r="B174" s="46"/>
      <c r="C174" s="307"/>
      <c r="D174" s="307"/>
      <c r="P174" s="44"/>
      <c r="Q174" s="307"/>
      <c r="AM174" s="921" t="str">
        <f>Financeiros!C26</f>
        <v>Manual de Contabilidade do Setor Elétrico</v>
      </c>
      <c r="AN174" s="1733">
        <f>LnkTxTSubvencaoCDE</f>
        <v>0</v>
      </c>
      <c r="AO174" s="23">
        <f t="shared" si="8"/>
        <v>0</v>
      </c>
      <c r="AP174" s="649"/>
    </row>
    <row r="175" spans="2:42" ht="15" hidden="1" customHeight="1">
      <c r="B175" s="46"/>
      <c r="C175" s="307"/>
      <c r="D175" s="307"/>
      <c r="P175" s="44"/>
      <c r="Q175" s="307"/>
      <c r="AM175" s="921" t="str">
        <f>Financeiros!C27</f>
        <v>Financeiro CDE Eletrobras</v>
      </c>
      <c r="AN175" s="1733">
        <f>LnkTXTBandeira</f>
        <v>0</v>
      </c>
      <c r="AO175" s="23">
        <f t="shared" si="8"/>
        <v>0</v>
      </c>
      <c r="AP175" s="649"/>
    </row>
    <row r="176" spans="2:42" ht="15" hidden="1" customHeight="1">
      <c r="B176" s="46"/>
      <c r="C176" s="307"/>
      <c r="D176" s="307"/>
      <c r="P176" s="44"/>
      <c r="Q176" s="307"/>
      <c r="AM176" s="921" t="s">
        <v>2306</v>
      </c>
      <c r="AN176" s="1733">
        <f>Financeiros!D28</f>
        <v>0</v>
      </c>
      <c r="AO176" s="23">
        <f t="shared" si="8"/>
        <v>0</v>
      </c>
      <c r="AP176" s="649"/>
    </row>
    <row r="177" spans="2:42" ht="15" customHeight="1">
      <c r="B177" s="46"/>
      <c r="C177" s="307"/>
      <c r="D177" s="307"/>
      <c r="P177" s="44"/>
      <c r="Q177" s="307"/>
      <c r="AM177" s="921" t="str">
        <f>Financeiros!C29</f>
        <v>Compensação DIC FIC</v>
      </c>
      <c r="AN177" s="1733">
        <f>Financeiros!D29</f>
        <v>-438582.27763182262</v>
      </c>
      <c r="AO177" s="649">
        <f>IF(AN177=0,0,1)</f>
        <v>1</v>
      </c>
      <c r="AP177" s="649"/>
    </row>
    <row r="178" spans="2:42" ht="15" customHeight="1">
      <c r="B178" s="46"/>
      <c r="C178" s="307"/>
      <c r="D178" s="307"/>
      <c r="P178" s="44"/>
      <c r="Q178" s="307"/>
      <c r="AM178" s="921" t="str">
        <f>Financeiros!C30</f>
        <v>Subvenção CDE</v>
      </c>
      <c r="AN178" s="1733">
        <f ca="1">Financeiros!D30</f>
        <v>-17867394.383257363</v>
      </c>
      <c r="AO178" s="23">
        <f t="shared" ca="1" si="8"/>
        <v>1</v>
      </c>
      <c r="AP178" s="649"/>
    </row>
    <row r="179" spans="2:42" ht="15" customHeight="1">
      <c r="B179" s="46"/>
      <c r="C179" s="307"/>
      <c r="D179" s="307"/>
      <c r="P179" s="44"/>
      <c r="Q179" s="307"/>
      <c r="AM179" s="921" t="str">
        <f>Financeiros!C31</f>
        <v>Retenção de Adicionais de Bandeiras Tarifárias</v>
      </c>
      <c r="AN179" s="1733">
        <f>Financeiros!D31</f>
        <v>-494687.61716015736</v>
      </c>
      <c r="AO179" s="23">
        <f t="shared" si="8"/>
        <v>1</v>
      </c>
      <c r="AP179" s="649"/>
    </row>
    <row r="180" spans="2:42" ht="15" hidden="1" customHeight="1">
      <c r="B180" s="46"/>
      <c r="C180" s="307"/>
      <c r="D180" s="307"/>
      <c r="P180" s="44"/>
      <c r="Q180" s="307"/>
      <c r="AM180" s="921" t="str">
        <f>Financeiros!C32</f>
        <v>Multa LPT</v>
      </c>
      <c r="AN180" s="1733">
        <f>Financeiros!D32</f>
        <v>0</v>
      </c>
      <c r="AO180" s="1547">
        <f>IF(AN180=0,0,1)</f>
        <v>0</v>
      </c>
      <c r="AP180" s="1547"/>
    </row>
    <row r="181" spans="2:42" ht="15" hidden="1" customHeight="1">
      <c r="B181" s="46"/>
      <c r="C181" s="307"/>
      <c r="D181" s="307"/>
      <c r="P181" s="44"/>
      <c r="Q181" s="307"/>
      <c r="AM181" s="921" t="s">
        <v>2616</v>
      </c>
      <c r="AN181" s="1733">
        <f>Financeiros!D33+Financeiros!D34</f>
        <v>0</v>
      </c>
      <c r="AO181" s="23">
        <f t="shared" si="8"/>
        <v>0</v>
      </c>
      <c r="AP181" s="649"/>
    </row>
    <row r="182" spans="2:42" ht="15" hidden="1" customHeight="1">
      <c r="B182" s="46"/>
      <c r="C182" s="307"/>
      <c r="D182" s="307"/>
      <c r="P182" s="44"/>
      <c r="Q182" s="307"/>
      <c r="AM182" s="921"/>
      <c r="AN182" s="1733">
        <v>0</v>
      </c>
      <c r="AO182" s="23">
        <f t="shared" si="8"/>
        <v>0</v>
      </c>
      <c r="AP182" s="649"/>
    </row>
    <row r="183" spans="2:42" ht="15" hidden="1" customHeight="1">
      <c r="B183" s="46"/>
      <c r="C183" s="307"/>
      <c r="D183" s="307"/>
      <c r="P183" s="44"/>
      <c r="Q183" s="307"/>
      <c r="AM183" s="921" t="str">
        <f>Financeiros!C35</f>
        <v>Ressarcimento P&amp;D</v>
      </c>
      <c r="AN183" s="1733">
        <f>Financeiros!D35</f>
        <v>0</v>
      </c>
      <c r="AO183" s="23">
        <f t="shared" si="8"/>
        <v>0</v>
      </c>
      <c r="AP183" s="649"/>
    </row>
    <row r="184" spans="2:42" ht="15" hidden="1" customHeight="1">
      <c r="B184" s="46"/>
      <c r="C184" s="307"/>
      <c r="D184" s="307"/>
      <c r="P184" s="44"/>
      <c r="Q184" s="307"/>
      <c r="AM184" s="921" t="str">
        <f>Financeiros!C36</f>
        <v>Efeito Conta COVID</v>
      </c>
      <c r="AN184" s="1733">
        <f>Financeiros!D36</f>
        <v>0</v>
      </c>
      <c r="AO184" s="23">
        <f t="shared" ref="AO184:AO189" si="9">IF(AN184=0,0,1)</f>
        <v>0</v>
      </c>
      <c r="AP184" s="649"/>
    </row>
    <row r="185" spans="2:42" ht="15" hidden="1" customHeight="1">
      <c r="B185" s="46"/>
      <c r="C185" s="307"/>
      <c r="D185" s="307"/>
      <c r="P185" s="44"/>
      <c r="Q185" s="307"/>
      <c r="AM185" s="921" t="str">
        <f>Financeiros!C37</f>
        <v>Diferimento de Parcela B</v>
      </c>
      <c r="AN185" s="1733">
        <f>Financeiros!D37</f>
        <v>0</v>
      </c>
      <c r="AO185" s="23">
        <f t="shared" si="9"/>
        <v>0</v>
      </c>
      <c r="AP185" s="649"/>
    </row>
    <row r="186" spans="2:42" ht="15" hidden="1" customHeight="1">
      <c r="B186" s="46"/>
      <c r="C186" s="307"/>
      <c r="D186" s="307"/>
      <c r="P186" s="44"/>
      <c r="Q186" s="307"/>
      <c r="AM186" s="921" t="str">
        <f>Financeiros!C38</f>
        <v>Efeito COVID da Supridora</v>
      </c>
      <c r="AN186" s="1733">
        <f>Financeiros!D38</f>
        <v>0</v>
      </c>
      <c r="AO186" s="23">
        <f t="shared" si="9"/>
        <v>0</v>
      </c>
      <c r="AP186" s="649"/>
    </row>
    <row r="187" spans="2:42" ht="15" hidden="1" customHeight="1">
      <c r="B187" s="46"/>
      <c r="C187" s="307"/>
      <c r="D187" s="307"/>
      <c r="P187" s="44"/>
      <c r="Q187" s="307"/>
      <c r="AM187" s="921" t="str">
        <f>Financeiros!C39</f>
        <v>Crédito de Pis Cofins sobre ICMS</v>
      </c>
      <c r="AN187" s="1733">
        <f>Financeiros!D39</f>
        <v>0</v>
      </c>
      <c r="AO187" s="23">
        <f t="shared" si="9"/>
        <v>0</v>
      </c>
      <c r="AP187" s="649"/>
    </row>
    <row r="188" spans="2:42" ht="15" customHeight="1">
      <c r="B188" s="46"/>
      <c r="C188" s="307"/>
      <c r="D188" s="307"/>
      <c r="P188" s="44"/>
      <c r="Q188" s="307"/>
      <c r="AM188" s="921" t="s">
        <v>2630</v>
      </c>
      <c r="AN188" s="1733">
        <f ca="1">Financeiros!D40+Financeiros!D41</f>
        <v>-611490.42636098247</v>
      </c>
      <c r="AO188" s="23">
        <f t="shared" ca="1" si="9"/>
        <v>1</v>
      </c>
      <c r="AP188" s="912"/>
    </row>
    <row r="189" spans="2:42" ht="15" hidden="1" customHeight="1">
      <c r="B189" s="46"/>
      <c r="C189" s="307"/>
      <c r="D189" s="307"/>
      <c r="P189" s="44"/>
      <c r="Q189" s="307"/>
      <c r="AM189" s="921"/>
      <c r="AN189" s="1733">
        <v>0</v>
      </c>
      <c r="AO189" s="23">
        <f t="shared" si="9"/>
        <v>0</v>
      </c>
      <c r="AP189" s="912"/>
    </row>
    <row r="190" spans="2:42" ht="15" hidden="1" customHeight="1">
      <c r="B190" s="46"/>
      <c r="C190" s="307"/>
      <c r="D190" s="307"/>
      <c r="P190" s="44"/>
      <c r="Q190" s="307"/>
      <c r="AM190" s="921" t="str">
        <f>Financeiros!C42</f>
        <v>Financeiros associados ao §7º do Art. 88 da Ren 414/2021</v>
      </c>
      <c r="AN190" s="1733">
        <f>Financeiros!D42</f>
        <v>0</v>
      </c>
      <c r="AO190" s="23">
        <f t="shared" si="8"/>
        <v>0</v>
      </c>
      <c r="AP190" s="649"/>
    </row>
    <row r="191" spans="2:42" ht="15" hidden="1" customHeight="1">
      <c r="B191" s="46"/>
      <c r="C191" s="307"/>
      <c r="D191" s="307"/>
      <c r="P191" s="44"/>
      <c r="Q191" s="307"/>
      <c r="AM191" s="921" t="str">
        <f>Financeiros!C43</f>
        <v>Spread Conta Covid</v>
      </c>
      <c r="AN191" s="1733">
        <f>Financeiros!D43</f>
        <v>0</v>
      </c>
      <c r="AO191" s="23">
        <f t="shared" si="8"/>
        <v>0</v>
      </c>
      <c r="AP191" s="649"/>
    </row>
    <row r="192" spans="2:42" ht="15" hidden="1" customHeight="1">
      <c r="B192" s="46"/>
      <c r="C192" s="307"/>
      <c r="D192" s="307"/>
      <c r="P192" s="44"/>
      <c r="Q192" s="307"/>
      <c r="AM192" s="921" t="str">
        <f>Financeiros!C44</f>
        <v>Diferimento de Energia</v>
      </c>
      <c r="AN192" s="1733">
        <f>Financeiros!D44</f>
        <v>0</v>
      </c>
      <c r="AO192" s="23">
        <f>IF(AN192=0,0,1)</f>
        <v>0</v>
      </c>
      <c r="AP192" s="649"/>
    </row>
    <row r="193" spans="2:42" ht="15" hidden="1" customHeight="1">
      <c r="B193" s="46"/>
      <c r="C193" s="307"/>
      <c r="D193" s="307"/>
      <c r="P193" s="44"/>
      <c r="Q193" s="307"/>
      <c r="AM193" s="921" t="str">
        <f>Financeiros!C45</f>
        <v xml:space="preserve">Reversão do Diferimento de Compra de Energia </v>
      </c>
      <c r="AN193" s="1733">
        <f>Financeiros!D45</f>
        <v>0</v>
      </c>
      <c r="AO193" s="23">
        <f t="shared" ref="AO193:AO195" si="10">IF(AN193=0,0,1)</f>
        <v>0</v>
      </c>
      <c r="AP193" s="649"/>
    </row>
    <row r="194" spans="2:42" ht="15" hidden="1" customHeight="1">
      <c r="B194" s="46"/>
      <c r="C194" s="307"/>
      <c r="D194" s="307"/>
      <c r="P194" s="44"/>
      <c r="Q194" s="307"/>
      <c r="AM194" s="921" t="str">
        <f>Financeiros!C46</f>
        <v>Reversão do Diferimento de Parcela B</v>
      </c>
      <c r="AN194" s="1733">
        <f>Financeiros!D46</f>
        <v>0</v>
      </c>
      <c r="AO194" s="23">
        <f t="shared" si="10"/>
        <v>0</v>
      </c>
      <c r="AP194" s="649"/>
    </row>
    <row r="195" spans="2:42" ht="15" customHeight="1">
      <c r="B195" s="46"/>
      <c r="C195" s="307"/>
      <c r="D195" s="307"/>
      <c r="P195" s="44"/>
      <c r="Q195" s="307"/>
      <c r="AM195" s="921" t="s">
        <v>2629</v>
      </c>
      <c r="AN195" s="1733">
        <f>Financeiros!D47+Financeiros!D48</f>
        <v>687881.94207505044</v>
      </c>
      <c r="AO195" s="23">
        <f t="shared" si="10"/>
        <v>1</v>
      </c>
      <c r="AP195" s="649"/>
    </row>
    <row r="196" spans="2:42" ht="15" hidden="1" customHeight="1">
      <c r="B196" s="46"/>
      <c r="C196" s="307"/>
      <c r="D196" s="307"/>
      <c r="P196" s="44"/>
      <c r="Q196" s="307"/>
      <c r="AM196" s="921"/>
      <c r="AN196" s="1733"/>
      <c r="AO196" s="649">
        <f>IF(AN196=0,0,1)</f>
        <v>0</v>
      </c>
      <c r="AP196" s="649"/>
    </row>
    <row r="197" spans="2:42" ht="15" hidden="1" customHeight="1">
      <c r="B197" s="46"/>
      <c r="C197" s="307"/>
      <c r="D197" s="307"/>
      <c r="P197" s="44"/>
      <c r="Q197" s="307"/>
      <c r="AM197" s="921" t="s">
        <v>2307</v>
      </c>
      <c r="AN197" s="1733">
        <f ca="1">SUM(Financeiros!D58:D62)</f>
        <v>0</v>
      </c>
      <c r="AO197" s="23">
        <f ca="1">IF(AN197=0,0,1)</f>
        <v>0</v>
      </c>
      <c r="AP197" s="649"/>
    </row>
    <row r="198" spans="2:42" ht="15" hidden="1" customHeight="1">
      <c r="B198" s="46"/>
      <c r="C198" s="307"/>
      <c r="D198" s="307"/>
      <c r="P198" s="44"/>
      <c r="Q198" s="307"/>
      <c r="AM198" s="921" t="s">
        <v>2308</v>
      </c>
      <c r="AN198" s="1733">
        <f>Financeiros!D65</f>
        <v>0</v>
      </c>
      <c r="AO198" s="23">
        <f>IF(AN198=0,0,1)</f>
        <v>0</v>
      </c>
      <c r="AP198" s="649"/>
    </row>
    <row r="199" spans="2:42" ht="15" hidden="1" customHeight="1">
      <c r="B199" s="46"/>
      <c r="C199" s="307"/>
      <c r="D199" s="307"/>
      <c r="P199" s="44"/>
      <c r="Q199" s="307"/>
      <c r="AM199" s="921" t="s">
        <v>2058</v>
      </c>
      <c r="AN199" s="1733">
        <f ca="1">SUM(Financeiros!D66:D76)</f>
        <v>0</v>
      </c>
      <c r="AO199" s="649">
        <f t="shared" ref="AO199:AO206" ca="1" si="11">IF(AN199=0,0,1)</f>
        <v>0</v>
      </c>
      <c r="AP199" s="649"/>
    </row>
    <row r="200" spans="2:42" ht="15" hidden="1" customHeight="1">
      <c r="B200" s="46"/>
      <c r="C200" s="307"/>
      <c r="D200" s="307"/>
      <c r="P200" s="44"/>
      <c r="Q200" s="307"/>
      <c r="AM200" s="921"/>
      <c r="AN200" s="1733">
        <f>Financeiros!D71</f>
        <v>0</v>
      </c>
      <c r="AO200" s="649">
        <f t="shared" si="11"/>
        <v>0</v>
      </c>
      <c r="AP200" s="649"/>
    </row>
    <row r="201" spans="2:42" ht="15" hidden="1" customHeight="1">
      <c r="B201" s="46"/>
      <c r="C201" s="307"/>
      <c r="D201" s="307"/>
      <c r="P201" s="44"/>
      <c r="Q201" s="307"/>
      <c r="AM201" s="921"/>
      <c r="AN201" s="1733">
        <f ca="1">SUM(Financeiros!D72:D76)</f>
        <v>0</v>
      </c>
      <c r="AO201" s="649">
        <f t="shared" ca="1" si="11"/>
        <v>0</v>
      </c>
      <c r="AP201" s="649"/>
    </row>
    <row r="202" spans="2:42" ht="15" hidden="1" customHeight="1">
      <c r="B202" s="46"/>
      <c r="C202" s="307"/>
      <c r="D202" s="307"/>
      <c r="P202" s="44"/>
      <c r="Q202" s="307"/>
      <c r="AM202" s="921" t="s">
        <v>2310</v>
      </c>
      <c r="AN202" s="1733">
        <f ca="1">SUM(Financeiros!D77:D81)</f>
        <v>0</v>
      </c>
      <c r="AO202" s="649">
        <f ca="1">IF(AN202=0,0,1)</f>
        <v>0</v>
      </c>
      <c r="AP202" s="649"/>
    </row>
    <row r="203" spans="2:42" ht="15" hidden="1" customHeight="1">
      <c r="B203" s="46"/>
      <c r="C203" s="307"/>
      <c r="D203" s="307"/>
      <c r="P203" s="44"/>
      <c r="Q203" s="307"/>
      <c r="AM203" s="921" t="s">
        <v>1305</v>
      </c>
      <c r="AN203" s="1733">
        <f ca="1">SUM(Financeiros!D82:D86)</f>
        <v>0</v>
      </c>
      <c r="AO203" s="649">
        <f ca="1">IF(AN203=0,0,1)</f>
        <v>0</v>
      </c>
      <c r="AP203" s="649"/>
    </row>
    <row r="204" spans="2:42" ht="15" hidden="1" customHeight="1">
      <c r="B204" s="46"/>
      <c r="C204" s="307"/>
      <c r="D204" s="307"/>
      <c r="P204" s="44"/>
      <c r="Q204" s="307"/>
      <c r="AM204" s="921" t="s">
        <v>2309</v>
      </c>
      <c r="AN204" s="1733">
        <f ca="1">SUM(Financeiros!D87:D91)</f>
        <v>0</v>
      </c>
      <c r="AO204" s="649">
        <f t="shared" ca="1" si="11"/>
        <v>0</v>
      </c>
      <c r="AP204" s="649"/>
    </row>
    <row r="205" spans="2:42" ht="15" hidden="1" customHeight="1">
      <c r="B205" s="46"/>
      <c r="C205" s="307"/>
      <c r="D205" s="307"/>
      <c r="P205" s="44"/>
      <c r="Q205" s="307"/>
      <c r="AM205" s="921" t="s">
        <v>2636</v>
      </c>
      <c r="AN205" s="1733">
        <f>SUM(Financeiros!D92:D96)</f>
        <v>0</v>
      </c>
      <c r="AO205" s="649">
        <f t="shared" si="11"/>
        <v>0</v>
      </c>
      <c r="AP205" s="649"/>
    </row>
    <row r="206" spans="2:42" ht="15" customHeight="1">
      <c r="B206" s="46"/>
      <c r="C206" s="307"/>
      <c r="D206" s="307"/>
      <c r="P206" s="44"/>
      <c r="Q206" s="307"/>
      <c r="AM206" s="921" t="s">
        <v>2628</v>
      </c>
      <c r="AN206" s="1733">
        <f>Financeiros!D97</f>
        <v>-1200000</v>
      </c>
      <c r="AO206" s="649">
        <f t="shared" si="11"/>
        <v>1</v>
      </c>
      <c r="AP206" s="649"/>
    </row>
    <row r="207" spans="2:42" ht="15" hidden="1" customHeight="1">
      <c r="B207" s="46"/>
      <c r="C207" s="307"/>
      <c r="D207" s="307"/>
      <c r="P207" s="44"/>
      <c r="Q207" s="307"/>
      <c r="AM207" s="921"/>
      <c r="AN207" s="1733"/>
      <c r="AO207" s="23">
        <f t="shared" si="8"/>
        <v>0</v>
      </c>
      <c r="AP207" s="649"/>
    </row>
    <row r="208" spans="2:42" ht="15" customHeight="1">
      <c r="B208" s="46"/>
      <c r="C208" s="307"/>
      <c r="D208" s="307"/>
      <c r="P208" s="44"/>
      <c r="Q208" s="307"/>
      <c r="AM208" s="1697" t="s">
        <v>727</v>
      </c>
      <c r="AN208" s="1114">
        <f ca="1">SUM(AN167:AN207)</f>
        <v>-19359473.911042958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  <c r="AN210" s="1759">
        <v>-19359473.911042958</v>
      </c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1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79" t="s">
        <v>823</v>
      </c>
      <c r="AQ212" s="1061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7.1861843218078647E-2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0.12382029470366795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6" t="s">
        <v>827</v>
      </c>
      <c r="AQ215" s="1072">
        <f>LnkTXTEfeito</f>
        <v>0.11655023070304948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1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4" t="s">
        <v>829</v>
      </c>
      <c r="AT218" s="914" t="s">
        <v>793</v>
      </c>
      <c r="AU218" s="914" t="s">
        <v>830</v>
      </c>
      <c r="AV218" s="914" t="s">
        <v>831</v>
      </c>
      <c r="AW218" s="914" t="s">
        <v>832</v>
      </c>
      <c r="AX218" s="914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3" t="s">
        <v>834</v>
      </c>
      <c r="AT219" s="1094">
        <f ca="1">SUM(AT220:AT229)</f>
        <v>3592214.1104940725</v>
      </c>
      <c r="AU219" s="1094">
        <f ca="1">SUM(AU220:AU229)</f>
        <v>5286689.2617199849</v>
      </c>
      <c r="AV219" s="1095">
        <f ca="1">IF(AU219=0,0,ROUND(AU219/AT219-1,4))</f>
        <v>0.47170000000000001</v>
      </c>
      <c r="AW219" s="1095">
        <f ca="1">SUM(AW220:AW229)</f>
        <v>3.6193583871430221E-2</v>
      </c>
      <c r="AX219" s="1095">
        <f t="shared" ref="AX219:AX226" ca="1" si="12">AU219/$AU$237</f>
        <v>0.102493531078665</v>
      </c>
      <c r="AY219" s="318">
        <v>1</v>
      </c>
    </row>
    <row r="220" spans="2:54" ht="15" hidden="1" customHeight="1">
      <c r="AS220" s="915" t="str">
        <f t="shared" ref="AS220:AT223" si="13">I75</f>
        <v>Reserva Global de Reversão – RGR</v>
      </c>
      <c r="AT220" s="916">
        <f t="shared" si="13"/>
        <v>0</v>
      </c>
      <c r="AU220" s="916">
        <f>Resultado!D15</f>
        <v>0</v>
      </c>
      <c r="AV220" s="917">
        <f t="shared" ref="AV220:AV235" si="14">IF(AU220=0,0,ROUND(AU220/AT220-1,3))</f>
        <v>0</v>
      </c>
      <c r="AW220" s="917">
        <f ca="1">(AU220-AT220)/$AT$237</f>
        <v>0</v>
      </c>
      <c r="AX220" s="917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5" t="str">
        <f t="shared" si="13"/>
        <v>Conta de Consumo de Combustíveis – CCC</v>
      </c>
      <c r="AT221" s="916">
        <f t="shared" si="13"/>
        <v>0</v>
      </c>
      <c r="AU221" s="916">
        <f>Resultado!D16</f>
        <v>0</v>
      </c>
      <c r="AV221" s="917">
        <f t="shared" si="14"/>
        <v>0</v>
      </c>
      <c r="AW221" s="917">
        <f ca="1">(AU221-AT221)/$AT$237</f>
        <v>0</v>
      </c>
      <c r="AX221" s="917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5" t="str">
        <f t="shared" si="13"/>
        <v>Taxa de Fisc. de Serviços de E.E. – TFSEE</v>
      </c>
      <c r="AT222" s="916">
        <f t="shared" ca="1" si="13"/>
        <v>106358.40848890002</v>
      </c>
      <c r="AU222" s="916">
        <f ca="1">Resultado!D17</f>
        <v>118146.05586998828</v>
      </c>
      <c r="AV222" s="917">
        <f ca="1">IF(AU222=0,0,ROUND(AU222/AT222-1,4))</f>
        <v>0.1108</v>
      </c>
      <c r="AW222" s="917">
        <f ca="1">(AU222-AT222)/$AT$237</f>
        <v>2.5178132817445031E-4</v>
      </c>
      <c r="AX222" s="917">
        <f t="shared" ca="1" si="12"/>
        <v>2.2905084542821598E-3</v>
      </c>
      <c r="AY222" s="318">
        <f t="shared" ca="1" si="15"/>
        <v>1</v>
      </c>
    </row>
    <row r="223" spans="2:54" ht="15" customHeight="1">
      <c r="C223" s="28"/>
      <c r="H223" s="23"/>
      <c r="AS223" s="915" t="str">
        <f t="shared" si="13"/>
        <v>Conta de Desenvolvimento Energético – CDE</v>
      </c>
      <c r="AT223" s="916">
        <f t="shared" ca="1" si="13"/>
        <v>3009438.0217945594</v>
      </c>
      <c r="AU223" s="916">
        <f ca="1">Encargos!I19</f>
        <v>4445152.1190699972</v>
      </c>
      <c r="AV223" s="917">
        <f t="shared" ref="AV223" ca="1" si="16">IF(AU223=0,0,ROUND(AU223/AT223-1,4))</f>
        <v>0.47710000000000002</v>
      </c>
      <c r="AW223" s="917">
        <f ca="1">(AU223-AT223)/$AT$237</f>
        <v>3.0666509660846209E-2</v>
      </c>
      <c r="AX223" s="917">
        <f t="shared" ca="1" si="12"/>
        <v>8.6178573074875309E-2</v>
      </c>
      <c r="AY223" s="318">
        <f t="shared" ca="1" si="15"/>
        <v>1</v>
      </c>
    </row>
    <row r="224" spans="2:54" ht="15" hidden="1" customHeight="1">
      <c r="C224" s="28"/>
      <c r="H224" s="23"/>
      <c r="AS224" s="915" t="s">
        <v>835</v>
      </c>
      <c r="AT224" s="916">
        <f ca="1">J79</f>
        <v>0</v>
      </c>
      <c r="AU224" s="916">
        <f>Encargos!I20</f>
        <v>0</v>
      </c>
      <c r="AV224" s="917">
        <f>IFERROR(IF(AU224=0,0,ROUND(AU224/AT224-1,4)),0)</f>
        <v>0</v>
      </c>
      <c r="AW224" s="917">
        <f ca="1">(AU224-AT224)/$AT$237</f>
        <v>0</v>
      </c>
      <c r="AX224" s="917">
        <f t="shared" ca="1" si="12"/>
        <v>0</v>
      </c>
      <c r="AY224" s="318">
        <f t="shared" ca="1" si="15"/>
        <v>0</v>
      </c>
    </row>
    <row r="225" spans="2:58" ht="15" hidden="1" customHeight="1">
      <c r="C225" s="28"/>
      <c r="H225" s="23"/>
      <c r="AS225" s="915" t="s">
        <v>2071</v>
      </c>
      <c r="AT225" s="916"/>
      <c r="AU225" s="916">
        <f>Encargos!I21</f>
        <v>0</v>
      </c>
      <c r="AV225" s="917">
        <f t="shared" ref="AV225:AV226" si="17">IFERROR(IF(AU225=0,0,ROUND(AU225/AT225-1,4)),0)</f>
        <v>0</v>
      </c>
      <c r="AW225" s="917">
        <f t="shared" ref="AW225:AW226" ca="1" si="18">(AU225-AT225)/$AT$237</f>
        <v>0</v>
      </c>
      <c r="AX225" s="917">
        <f t="shared" ca="1" si="12"/>
        <v>0</v>
      </c>
      <c r="AY225" s="910">
        <f ca="1">IF(AW225=0,0,1)</f>
        <v>0</v>
      </c>
    </row>
    <row r="226" spans="2:58" ht="12.75" hidden="1">
      <c r="C226" s="28"/>
      <c r="H226" s="23"/>
      <c r="AS226" s="915" t="str">
        <f t="shared" ref="AS226:AT229" si="19">I81</f>
        <v>Encargos Serv. Sist. - ESS e Energ. Reserv. – EER</v>
      </c>
      <c r="AT226" s="916">
        <f t="shared" ca="1" si="19"/>
        <v>0</v>
      </c>
      <c r="AU226" s="916">
        <f>Resultado!D20</f>
        <v>0</v>
      </c>
      <c r="AV226" s="917">
        <f t="shared" si="17"/>
        <v>0</v>
      </c>
      <c r="AW226" s="917">
        <f t="shared" ca="1" si="18"/>
        <v>0</v>
      </c>
      <c r="AX226" s="917">
        <f t="shared" ca="1" si="12"/>
        <v>0</v>
      </c>
      <c r="AY226" s="318">
        <f ca="1">IF(AW226=0,0,1)</f>
        <v>0</v>
      </c>
    </row>
    <row r="227" spans="2:58" ht="15" customHeight="1">
      <c r="C227" s="28"/>
      <c r="H227" s="23"/>
      <c r="AS227" s="915" t="str">
        <f t="shared" si="19"/>
        <v>PROINFA</v>
      </c>
      <c r="AT227" s="916">
        <f t="shared" ca="1" si="19"/>
        <v>476417.68021061312</v>
      </c>
      <c r="AU227" s="916">
        <f ca="1">Resultado!D21</f>
        <v>723391.08677999966</v>
      </c>
      <c r="AV227" s="917">
        <f ca="1">IF(AU227=0,0,ROUND(AU227/AT227-1,4))</f>
        <v>0.51839999999999997</v>
      </c>
      <c r="AW227" s="917">
        <f ca="1">(AU227-AT227)/$AT$237</f>
        <v>5.2752928824095656E-3</v>
      </c>
      <c r="AX227" s="917">
        <f t="shared" ref="AX227:AX239" ca="1" si="20">AU227/$AU$237</f>
        <v>1.4024449549507531E-2</v>
      </c>
      <c r="AY227" s="318">
        <f t="shared" ca="1" si="15"/>
        <v>1</v>
      </c>
    </row>
    <row r="228" spans="2:58" ht="15" hidden="1" customHeight="1">
      <c r="B228" s="29"/>
      <c r="C228" s="39"/>
      <c r="H228" s="23"/>
      <c r="AS228" s="915" t="str">
        <f t="shared" si="19"/>
        <v>P&amp;D e Eficiência Energética</v>
      </c>
      <c r="AT228" s="916">
        <f t="shared" ca="1" si="19"/>
        <v>0</v>
      </c>
      <c r="AU228" s="916">
        <f>Resultado!D22</f>
        <v>0</v>
      </c>
      <c r="AV228" s="917">
        <f>IF(AU228=0,0,ROUND(AU228/AT228-1,4))</f>
        <v>0</v>
      </c>
      <c r="AW228" s="917">
        <f ca="1">(AU228-AT228)/$AT$237</f>
        <v>0</v>
      </c>
      <c r="AX228" s="917">
        <f t="shared" ca="1" si="20"/>
        <v>0</v>
      </c>
      <c r="AY228" s="318">
        <v>0</v>
      </c>
    </row>
    <row r="229" spans="2:58" ht="15" hidden="1" customHeight="1">
      <c r="C229" s="340"/>
      <c r="H229" s="23"/>
      <c r="AS229" s="915" t="str">
        <f t="shared" si="19"/>
        <v>ONS</v>
      </c>
      <c r="AT229" s="916">
        <f t="shared" ca="1" si="19"/>
        <v>0</v>
      </c>
      <c r="AU229" s="916">
        <f>Resultado!D23</f>
        <v>0</v>
      </c>
      <c r="AV229" s="917">
        <f t="shared" si="14"/>
        <v>0</v>
      </c>
      <c r="AW229" s="917">
        <f ca="1">(AU229-AT229)/$AT$237</f>
        <v>0</v>
      </c>
      <c r="AX229" s="917">
        <f t="shared" ca="1" si="20"/>
        <v>0</v>
      </c>
      <c r="AY229" s="318">
        <v>0</v>
      </c>
    </row>
    <row r="230" spans="2:58" ht="15" customHeight="1">
      <c r="C230" s="307"/>
      <c r="H230" s="23"/>
      <c r="AS230" s="1093" t="s">
        <v>836</v>
      </c>
      <c r="AT230" s="1094">
        <f ca="1">AT231</f>
        <v>10772016.038426597</v>
      </c>
      <c r="AU230" s="1094">
        <f ca="1">AU231</f>
        <v>9818414.9758875091</v>
      </c>
      <c r="AV230" s="1095">
        <f ca="1">IF(AU230=0,0,ROUND(AU230/AT230-1,4))</f>
        <v>-8.8499999999999995E-2</v>
      </c>
      <c r="AW230" s="1095">
        <f ca="1">AW231</f>
        <v>-2.03686905717816E-2</v>
      </c>
      <c r="AX230" s="1095">
        <f t="shared" ca="1" si="20"/>
        <v>0.19035051440624226</v>
      </c>
      <c r="AY230" s="318">
        <f t="shared" ca="1" si="15"/>
        <v>1</v>
      </c>
    </row>
    <row r="231" spans="2:58" ht="15" customHeight="1">
      <c r="C231" s="307"/>
      <c r="H231" s="23"/>
      <c r="AS231" s="915" t="s">
        <v>796</v>
      </c>
      <c r="AT231" s="916">
        <f ca="1">J86</f>
        <v>10772016.038426597</v>
      </c>
      <c r="AU231" s="916">
        <f ca="1">Resultado!D33</f>
        <v>9818414.9758875091</v>
      </c>
      <c r="AV231" s="917">
        <f ca="1">IF(AU231=0,0,ROUND(AU231/AT231-1,4))</f>
        <v>-8.8499999999999995E-2</v>
      </c>
      <c r="AW231" s="917">
        <f ca="1">(AU231-AT231)/$AT$237</f>
        <v>-2.03686905717816E-2</v>
      </c>
      <c r="AX231" s="917">
        <f t="shared" ca="1" si="20"/>
        <v>0.19035051440624226</v>
      </c>
      <c r="AY231" s="318">
        <f t="shared" ca="1" si="15"/>
        <v>1</v>
      </c>
    </row>
    <row r="232" spans="2:58" ht="15" customHeight="1">
      <c r="AS232" s="1093" t="s">
        <v>837</v>
      </c>
      <c r="AT232" s="1094">
        <f ca="1">SUM(AT233:AT236)</f>
        <v>6110787.8444840517</v>
      </c>
      <c r="AU232" s="1094">
        <f>SUM(AU233:AU236)</f>
        <v>7250869.556640001</v>
      </c>
      <c r="AV232" s="1095">
        <f ca="1">IF(AU232=0,0,ROUND(AU232/AT232-1,4))</f>
        <v>0.18659999999999999</v>
      </c>
      <c r="AW232" s="1095">
        <f ca="1">SUM(AW233:AW236)</f>
        <v>2.4351872636991376E-2</v>
      </c>
      <c r="AX232" s="1095">
        <f t="shared" ca="1" si="20"/>
        <v>0.14057327515577187</v>
      </c>
      <c r="AY232" s="318">
        <f t="shared" ca="1" si="15"/>
        <v>1</v>
      </c>
    </row>
    <row r="233" spans="2:58" ht="15" hidden="1" customHeight="1">
      <c r="AS233" s="915" t="str">
        <f>Resultado!B25</f>
        <v>Rede Básica</v>
      </c>
      <c r="AT233" s="916">
        <f ca="1">J88</f>
        <v>0</v>
      </c>
      <c r="AU233" s="916">
        <f>Resultado!D25</f>
        <v>0</v>
      </c>
      <c r="AV233" s="917">
        <f>IF(AU233=0,0,ROUND(AU233/AT233-1,3))</f>
        <v>0</v>
      </c>
      <c r="AW233" s="917">
        <f ca="1">(AU233-AT233)/$AT$237</f>
        <v>0</v>
      </c>
      <c r="AX233" s="917">
        <f t="shared" ca="1" si="20"/>
        <v>0</v>
      </c>
      <c r="AY233" s="318">
        <f t="shared" ca="1" si="15"/>
        <v>0</v>
      </c>
    </row>
    <row r="234" spans="2:58" ht="15" hidden="1" customHeight="1">
      <c r="AS234" s="915" t="str">
        <f>Resultado!B26</f>
        <v>Rede Básica Fronteira</v>
      </c>
      <c r="AT234" s="916">
        <f ca="1">J89</f>
        <v>0</v>
      </c>
      <c r="AU234" s="916">
        <f>Resultado!D26</f>
        <v>0</v>
      </c>
      <c r="AV234" s="917">
        <f t="shared" si="14"/>
        <v>0</v>
      </c>
      <c r="AW234" s="917">
        <f ca="1">(AU234-AT234)/$AT$237</f>
        <v>0</v>
      </c>
      <c r="AX234" s="917">
        <f t="shared" ca="1" si="20"/>
        <v>0</v>
      </c>
      <c r="AY234" s="318">
        <f t="shared" ca="1" si="15"/>
        <v>0</v>
      </c>
    </row>
    <row r="235" spans="2:58" ht="15" hidden="1" customHeight="1">
      <c r="H235" s="23"/>
      <c r="AS235" s="915" t="str">
        <f>Resultado!B31</f>
        <v>Conexão</v>
      </c>
      <c r="AT235" s="916">
        <f ca="1">J94</f>
        <v>0</v>
      </c>
      <c r="AU235" s="916">
        <f>Resultado!D31</f>
        <v>0</v>
      </c>
      <c r="AV235" s="917">
        <f t="shared" si="14"/>
        <v>0</v>
      </c>
      <c r="AW235" s="917">
        <f ca="1">(AU235-AT235)/$AT$237</f>
        <v>0</v>
      </c>
      <c r="AX235" s="917">
        <f t="shared" ca="1" si="20"/>
        <v>0</v>
      </c>
      <c r="AY235" s="318">
        <f t="shared" ca="1" si="15"/>
        <v>0</v>
      </c>
    </row>
    <row r="236" spans="2:58" ht="15" customHeight="1">
      <c r="H236" s="23"/>
      <c r="AS236" s="915" t="str">
        <f>Resultado!B32</f>
        <v>Uso do sistema de distribuição</v>
      </c>
      <c r="AT236" s="916">
        <f ca="1">J95</f>
        <v>6110787.8444840517</v>
      </c>
      <c r="AU236" s="916">
        <f>Resultado!D32</f>
        <v>7250869.556640001</v>
      </c>
      <c r="AV236" s="917">
        <f ca="1">IF(AU236=0,0,ROUND(AU236/AT236-1,4))</f>
        <v>0.18659999999999999</v>
      </c>
      <c r="AW236" s="917">
        <f ca="1">(AU236-AT236)/$AT$237</f>
        <v>2.4351872636991376E-2</v>
      </c>
      <c r="AX236" s="917">
        <f t="shared" ca="1" si="20"/>
        <v>0.14057327515577187</v>
      </c>
      <c r="AY236" s="318">
        <f t="shared" ca="1" si="15"/>
        <v>1</v>
      </c>
    </row>
    <row r="237" spans="2:58" ht="15" hidden="1" customHeight="1">
      <c r="C237" s="19"/>
      <c r="AS237" s="1093" t="s">
        <v>838</v>
      </c>
      <c r="AT237" s="1094">
        <f ca="1">Mercado_RA0_Reais</f>
        <v>46817003.733180009</v>
      </c>
      <c r="AU237" s="1094">
        <f ca="1">AU219+AU230+AU232+AU239</f>
        <v>51580711.544247493</v>
      </c>
      <c r="AV237" s="1096"/>
      <c r="AW237" s="1096"/>
      <c r="AX237" s="1095">
        <f t="shared" ca="1" si="20"/>
        <v>1</v>
      </c>
      <c r="AY237" s="318">
        <f t="shared" si="15"/>
        <v>0</v>
      </c>
    </row>
    <row r="238" spans="2:58" ht="15" customHeight="1">
      <c r="C238" s="19"/>
      <c r="AS238" s="1097" t="s">
        <v>839</v>
      </c>
      <c r="AT238" s="1098">
        <f ca="1">AT219+AT230+AT232</f>
        <v>20475017.993404724</v>
      </c>
      <c r="AU238" s="1098">
        <f ca="1">AU219+AU230+AU232</f>
        <v>22355973.794247493</v>
      </c>
      <c r="AV238" s="1099">
        <f ca="1">IF(AU238=0,0,ROUND(AU238/AT238-1,4))</f>
        <v>9.1899999999999996E-2</v>
      </c>
      <c r="AW238" s="1099">
        <f ca="1">(AU238-AT238)/AT237</f>
        <v>4.0176765936639894E-2</v>
      </c>
      <c r="AX238" s="1099">
        <f t="shared" ca="1" si="20"/>
        <v>0.43341732064067912</v>
      </c>
      <c r="AY238" s="318">
        <f t="shared" ca="1" si="15"/>
        <v>1</v>
      </c>
      <c r="BA238" s="23">
        <f ca="1">Resultado!D34</f>
        <v>22355973.794247493</v>
      </c>
      <c r="BF238" s="310">
        <f ca="1">AU238-BA238</f>
        <v>0</v>
      </c>
    </row>
    <row r="239" spans="2:58" ht="15" customHeight="1">
      <c r="B239" s="28"/>
      <c r="C239" s="19"/>
      <c r="AS239" s="1097" t="s">
        <v>840</v>
      </c>
      <c r="AT239" s="1098">
        <f ca="1">AT237-AT238</f>
        <v>26341985.739775285</v>
      </c>
      <c r="AU239" s="1098">
        <f>Resultado!D39</f>
        <v>29224737.75</v>
      </c>
      <c r="AV239" s="1099">
        <f ca="1">IF(AU239=0,0,ROUND(AU239/AT239-1,4))</f>
        <v>0.1094</v>
      </c>
      <c r="AW239" s="1099">
        <f ca="1">(AU239-AT239)/AT237</f>
        <v>6.1574893315559605E-2</v>
      </c>
      <c r="AX239" s="1099">
        <f t="shared" ca="1" si="20"/>
        <v>0.56658267935932094</v>
      </c>
      <c r="AY239" s="318">
        <f t="shared" ca="1" si="15"/>
        <v>1</v>
      </c>
      <c r="BA239" s="23">
        <f>LnkTXTIParcelaBcomSub</f>
        <v>29224737.75</v>
      </c>
      <c r="BF239" s="310">
        <f>AU239-BA239</f>
        <v>0</v>
      </c>
    </row>
    <row r="240" spans="2:58" ht="15" customHeight="1">
      <c r="AS240" s="1100" t="str">
        <f>Resultado!B7</f>
        <v>Variação econômica</v>
      </c>
      <c r="AT240" s="1100"/>
      <c r="AU240" s="1100"/>
      <c r="AV240" s="1101"/>
      <c r="AW240" s="1102">
        <f ca="1">ROUND((AU239+AU238)/(AT238+AT239)-1,4)</f>
        <v>0.1018</v>
      </c>
      <c r="AX240" s="1101"/>
      <c r="AY240" s="318">
        <v>1</v>
      </c>
    </row>
    <row r="241" spans="2:51" ht="15" hidden="1" customHeight="1">
      <c r="AS241" s="918"/>
      <c r="AT241" s="918"/>
      <c r="AU241" s="918"/>
      <c r="AV241" s="919"/>
      <c r="AW241" s="920"/>
      <c r="AX241" s="920"/>
      <c r="AY241" s="318">
        <f t="shared" si="15"/>
        <v>0</v>
      </c>
    </row>
    <row r="242" spans="2:51" ht="15" customHeight="1">
      <c r="AS242" s="1093" t="s">
        <v>841</v>
      </c>
      <c r="AT242" s="1103"/>
      <c r="AU242" s="1103"/>
      <c r="AV242" s="1104"/>
      <c r="AW242" s="1095" t="s">
        <v>842</v>
      </c>
      <c r="AX242" s="1095"/>
      <c r="AY242" s="318">
        <v>1</v>
      </c>
    </row>
    <row r="243" spans="2:51" ht="15" customHeight="1">
      <c r="AS243" s="921" t="str">
        <f>AM167</f>
        <v>Repasse de PIS COFINS</v>
      </c>
      <c r="AT243" s="921"/>
      <c r="AU243" s="922">
        <f ca="1">AN167</f>
        <v>611490.42636098247</v>
      </c>
      <c r="AV243" s="923"/>
      <c r="AW243" s="923">
        <f ca="1">AU243/Financeiros!$D$4</f>
        <v>1.3061289224017742E-2</v>
      </c>
      <c r="AX243" s="920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1" t="str">
        <f t="shared" ref="AS244:AS271" si="21">AM168</f>
        <v>Neutralidade Encargos Setoriais</v>
      </c>
      <c r="AT244" s="921"/>
      <c r="AU244" s="922">
        <f t="shared" ref="AU244:AU283" ca="1" si="22">AN168</f>
        <v>-46691.575068666127</v>
      </c>
      <c r="AV244" s="923"/>
      <c r="AW244" s="923">
        <f ca="1">AU244/Financeiros!$D$4</f>
        <v>-9.9732087373150305E-4</v>
      </c>
      <c r="AX244" s="920"/>
      <c r="AY244" s="318">
        <f t="shared" ref="AY244:AY252" ca="1" si="23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1" t="str">
        <f t="shared" si="21"/>
        <v>Neutralidade Financeiros e Encargos Conta Covid</v>
      </c>
      <c r="AT245" s="921"/>
      <c r="AU245" s="922">
        <f t="shared" ca="1" si="22"/>
        <v>0</v>
      </c>
      <c r="AV245" s="923"/>
      <c r="AW245" s="923">
        <f ca="1">AU245/Financeiros!$D$4</f>
        <v>0</v>
      </c>
      <c r="AX245" s="920"/>
      <c r="AY245" s="318">
        <f t="shared" ca="1" si="23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1" t="str">
        <f t="shared" si="21"/>
        <v>Neutralidades Crédito de Pis cofins</v>
      </c>
      <c r="AT246" s="921"/>
      <c r="AU246" s="922">
        <f t="shared" ca="1" si="22"/>
        <v>0</v>
      </c>
      <c r="AV246" s="923"/>
      <c r="AW246" s="923">
        <f ca="1">AU246/Financeiros!$D$4</f>
        <v>0</v>
      </c>
      <c r="AX246" s="920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1" t="str">
        <f t="shared" si="21"/>
        <v>Ajuste CUST RB + PIS Cofins</v>
      </c>
      <c r="AT247" s="921"/>
      <c r="AU247" s="922">
        <f t="shared" si="22"/>
        <v>0</v>
      </c>
      <c r="AV247" s="923"/>
      <c r="AW247" s="923">
        <f ca="1">AU247/Financeiros!$D$4</f>
        <v>0</v>
      </c>
      <c r="AX247" s="920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1">
        <f t="shared" si="21"/>
        <v>0</v>
      </c>
      <c r="AT248" s="921"/>
      <c r="AU248" s="922">
        <f t="shared" si="22"/>
        <v>0</v>
      </c>
      <c r="AV248" s="923"/>
      <c r="AW248" s="923">
        <f ca="1">AU248/Financeiros!$D$4</f>
        <v>0</v>
      </c>
      <c r="AX248" s="920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1">
        <f t="shared" si="21"/>
        <v>0</v>
      </c>
      <c r="AT249" s="921"/>
      <c r="AU249" s="922">
        <f t="shared" si="22"/>
        <v>0</v>
      </c>
      <c r="AV249" s="923"/>
      <c r="AW249" s="923">
        <f ca="1">AU249/Financeiros!$D$4</f>
        <v>0</v>
      </c>
      <c r="AX249" s="920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1" t="str">
        <f t="shared" si="21"/>
        <v>Manual de Contabilidade do Setor Elétrico</v>
      </c>
      <c r="AT250" s="921"/>
      <c r="AU250" s="922">
        <f t="shared" si="22"/>
        <v>0</v>
      </c>
      <c r="AV250" s="923"/>
      <c r="AW250" s="923">
        <f ca="1">AU250/Financeiros!$D$4</f>
        <v>0</v>
      </c>
      <c r="AX250" s="920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1" t="str">
        <f t="shared" si="21"/>
        <v>Financeiro CDE Eletrobras</v>
      </c>
      <c r="AT251" s="921"/>
      <c r="AU251" s="922">
        <f t="shared" si="22"/>
        <v>0</v>
      </c>
      <c r="AV251" s="923"/>
      <c r="AW251" s="923">
        <f ca="1">AU251/Financeiros!$D$4</f>
        <v>0</v>
      </c>
      <c r="AX251" s="920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1" t="str">
        <f t="shared" si="21"/>
        <v>Ajustes Processo Anterior</v>
      </c>
      <c r="AT252" s="921"/>
      <c r="AU252" s="922">
        <f t="shared" si="22"/>
        <v>0</v>
      </c>
      <c r="AV252" s="923"/>
      <c r="AW252" s="923">
        <f ca="1">AU252/Financeiros!$D$4</f>
        <v>0</v>
      </c>
      <c r="AX252" s="920"/>
      <c r="AY252" s="318">
        <f t="shared" ca="1" si="23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1" t="str">
        <f t="shared" si="21"/>
        <v>Compensação DIC FIC</v>
      </c>
      <c r="AT253" s="921"/>
      <c r="AU253" s="922">
        <f t="shared" si="22"/>
        <v>-438582.27763182262</v>
      </c>
      <c r="AV253" s="923"/>
      <c r="AW253" s="923">
        <f ca="1">AU253/Financeiros!$D$4</f>
        <v>-9.3680125309042774E-3</v>
      </c>
      <c r="AX253" s="920"/>
      <c r="AY253" s="910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1" t="str">
        <f t="shared" si="21"/>
        <v>Subvenção CDE</v>
      </c>
      <c r="AT254" s="921"/>
      <c r="AU254" s="922">
        <f t="shared" ca="1" si="22"/>
        <v>-17867394.383257363</v>
      </c>
      <c r="AV254" s="923"/>
      <c r="AW254" s="923">
        <f ca="1">AU254/Financeiros!$D$4</f>
        <v>-0.38164326972070695</v>
      </c>
      <c r="AX254" s="920"/>
      <c r="AY254" s="910">
        <f t="shared" ref="AY254:AY256" ca="1" si="24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1" t="str">
        <f t="shared" si="21"/>
        <v>Retenção de Adicionais de Bandeiras Tarifárias</v>
      </c>
      <c r="AT255" s="921"/>
      <c r="AU255" s="922">
        <f t="shared" si="22"/>
        <v>-494687.61716015736</v>
      </c>
      <c r="AV255" s="923"/>
      <c r="AW255" s="923">
        <f ca="1">AU255/Financeiros!$D$4</f>
        <v>-1.0566409161497958E-2</v>
      </c>
      <c r="AX255" s="920"/>
      <c r="AY255" s="910">
        <f t="shared" ca="1" si="24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1" t="str">
        <f t="shared" si="21"/>
        <v>Multa LPT</v>
      </c>
      <c r="AT256" s="921"/>
      <c r="AU256" s="922">
        <f t="shared" si="22"/>
        <v>0</v>
      </c>
      <c r="AV256" s="923"/>
      <c r="AW256" s="923">
        <f ca="1">AU256/Financeiros!$D$4</f>
        <v>0</v>
      </c>
      <c r="AX256" s="920"/>
      <c r="AY256" s="910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1" t="str">
        <f t="shared" si="21"/>
        <v xml:space="preserve">Repasse de ICMS </v>
      </c>
      <c r="AT257" s="921"/>
      <c r="AU257" s="922">
        <f t="shared" si="22"/>
        <v>0</v>
      </c>
      <c r="AV257" s="923"/>
      <c r="AW257" s="923">
        <f ca="1">AU257/Financeiros!$D$4</f>
        <v>0</v>
      </c>
      <c r="AX257" s="920"/>
      <c r="AY257" s="910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1">
        <f t="shared" si="21"/>
        <v>0</v>
      </c>
      <c r="AT258" s="921"/>
      <c r="AU258" s="922">
        <f t="shared" si="22"/>
        <v>0</v>
      </c>
      <c r="AV258" s="923"/>
      <c r="AW258" s="923">
        <f ca="1">AU258/Financeiros!$D$4</f>
        <v>0</v>
      </c>
      <c r="AX258" s="920"/>
      <c r="AY258" s="910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1" t="str">
        <f t="shared" si="21"/>
        <v>Ressarcimento P&amp;D</v>
      </c>
      <c r="AT259" s="921"/>
      <c r="AU259" s="922">
        <f t="shared" si="22"/>
        <v>0</v>
      </c>
      <c r="AV259" s="923"/>
      <c r="AW259" s="923">
        <f ca="1">AU259/Financeiros!$D$4</f>
        <v>0</v>
      </c>
      <c r="AX259" s="920"/>
      <c r="AY259" s="910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1" t="str">
        <f t="shared" si="21"/>
        <v>Efeito Conta COVID</v>
      </c>
      <c r="AT260" s="921"/>
      <c r="AU260" s="922">
        <f t="shared" si="22"/>
        <v>0</v>
      </c>
      <c r="AV260" s="923"/>
      <c r="AW260" s="923">
        <f ca="1">AU260/Financeiros!$D$4</f>
        <v>0</v>
      </c>
      <c r="AX260" s="920"/>
      <c r="AY260" s="910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1" t="str">
        <f t="shared" si="21"/>
        <v>Diferimento de Parcela B</v>
      </c>
      <c r="AT261" s="921"/>
      <c r="AU261" s="922">
        <f t="shared" si="22"/>
        <v>0</v>
      </c>
      <c r="AV261" s="923"/>
      <c r="AW261" s="923">
        <f ca="1">AU261/Financeiros!$D$4</f>
        <v>0</v>
      </c>
      <c r="AX261" s="920"/>
      <c r="AY261" s="910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1" t="str">
        <f t="shared" si="21"/>
        <v>Efeito COVID da Supridora</v>
      </c>
      <c r="AT262" s="921"/>
      <c r="AU262" s="922">
        <f t="shared" si="22"/>
        <v>0</v>
      </c>
      <c r="AV262" s="923"/>
      <c r="AW262" s="923">
        <f ca="1">AU262/Financeiros!$D$4</f>
        <v>0</v>
      </c>
      <c r="AX262" s="920"/>
      <c r="AY262" s="913">
        <f t="shared" ref="AY262:AY263" ca="1" si="27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1" t="str">
        <f t="shared" si="21"/>
        <v>Crédito de Pis Cofins sobre ICMS</v>
      </c>
      <c r="AT263" s="921"/>
      <c r="AU263" s="922">
        <f t="shared" si="22"/>
        <v>0</v>
      </c>
      <c r="AV263" s="923"/>
      <c r="AW263" s="923">
        <f ca="1">AU263/Financeiros!$D$4</f>
        <v>0</v>
      </c>
      <c r="AX263" s="920"/>
      <c r="AY263" s="913">
        <f t="shared" ca="1" si="27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1" t="str">
        <f t="shared" si="21"/>
        <v>Diferimento de PIS COFINS (2022)</v>
      </c>
      <c r="AT264" s="921"/>
      <c r="AU264" s="922">
        <f t="shared" ca="1" si="22"/>
        <v>-611490.42636098247</v>
      </c>
      <c r="AV264" s="923"/>
      <c r="AW264" s="923">
        <f ca="1">AU264/Financeiros!$D$4</f>
        <v>-1.3061289224017742E-2</v>
      </c>
      <c r="AX264" s="920"/>
      <c r="AY264" s="913">
        <f t="shared" ref="AY264:AY271" ca="1" si="28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1">
        <f t="shared" si="21"/>
        <v>0</v>
      </c>
      <c r="AT265" s="921"/>
      <c r="AU265" s="922">
        <f t="shared" si="22"/>
        <v>0</v>
      </c>
      <c r="AV265" s="923"/>
      <c r="AW265" s="923">
        <f ca="1">AU265/Financeiros!$D$4</f>
        <v>0</v>
      </c>
      <c r="AX265" s="920"/>
      <c r="AY265" s="913">
        <f t="shared" ca="1" si="28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1" t="str">
        <f t="shared" si="21"/>
        <v>Financeiros associados ao §7º do Art. 88 da Ren 414/2021</v>
      </c>
      <c r="AT266" s="921"/>
      <c r="AU266" s="922">
        <f t="shared" si="22"/>
        <v>0</v>
      </c>
      <c r="AV266" s="923"/>
      <c r="AW266" s="923">
        <f ca="1">AU266/Financeiros!$D$4</f>
        <v>0</v>
      </c>
      <c r="AX266" s="920"/>
      <c r="AY266" s="913">
        <f t="shared" ca="1" si="28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1" t="str">
        <f t="shared" si="21"/>
        <v>Spread Conta Covid</v>
      </c>
      <c r="AT267" s="921"/>
      <c r="AU267" s="922">
        <f t="shared" si="22"/>
        <v>0</v>
      </c>
      <c r="AV267" s="923"/>
      <c r="AW267" s="923">
        <f ca="1">AU267/Financeiros!$D$4</f>
        <v>0</v>
      </c>
      <c r="AX267" s="920"/>
      <c r="AY267" s="913">
        <f t="shared" ca="1" si="28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1" t="str">
        <f t="shared" si="21"/>
        <v>Diferimento de Energia</v>
      </c>
      <c r="AT268" s="921"/>
      <c r="AU268" s="922">
        <f t="shared" si="22"/>
        <v>0</v>
      </c>
      <c r="AV268" s="923"/>
      <c r="AW268" s="923">
        <f ca="1">AU268/Financeiros!$D$4</f>
        <v>0</v>
      </c>
      <c r="AX268" s="920"/>
      <c r="AY268" s="913">
        <f t="shared" ca="1" si="28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1" t="str">
        <f t="shared" si="21"/>
        <v xml:space="preserve">Reversão do Diferimento de Compra de Energia </v>
      </c>
      <c r="AT269" s="921"/>
      <c r="AU269" s="922">
        <f t="shared" si="22"/>
        <v>0</v>
      </c>
      <c r="AV269" s="923"/>
      <c r="AW269" s="923">
        <f ca="1">AU269/Financeiros!$D$4</f>
        <v>0</v>
      </c>
      <c r="AX269" s="920"/>
      <c r="AY269" s="913">
        <f t="shared" ca="1" si="28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1" t="str">
        <f t="shared" si="21"/>
        <v>Reversão do Diferimento de Parcela B</v>
      </c>
      <c r="AT270" s="921"/>
      <c r="AU270" s="922">
        <f t="shared" si="22"/>
        <v>0</v>
      </c>
      <c r="AV270" s="923"/>
      <c r="AW270" s="923">
        <f ca="1">AU270/Financeiros!$D$4</f>
        <v>0</v>
      </c>
      <c r="AX270" s="920"/>
      <c r="AY270" s="913">
        <f t="shared" ca="1" si="28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1" t="str">
        <f t="shared" si="21"/>
        <v>Reversão do Diferimento de Pis Cofins TUSD e TE (Processo 2021)</v>
      </c>
      <c r="AT271" s="921"/>
      <c r="AU271" s="922">
        <f t="shared" si="22"/>
        <v>687881.94207505044</v>
      </c>
      <c r="AV271" s="923"/>
      <c r="AW271" s="923">
        <f ca="1">AU271/Financeiros!$D$4</f>
        <v>1.4692993725002884E-2</v>
      </c>
      <c r="AX271" s="920"/>
      <c r="AY271" s="913">
        <f t="shared" ca="1" si="28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1">
        <f t="shared" ref="AS272:AS276" si="29">AM196</f>
        <v>0</v>
      </c>
      <c r="AT272" s="921"/>
      <c r="AU272" s="922">
        <f t="shared" si="22"/>
        <v>0</v>
      </c>
      <c r="AV272" s="923"/>
      <c r="AW272" s="923">
        <f ca="1">AU272/Financeiros!$D$4</f>
        <v>0</v>
      </c>
      <c r="AX272" s="920"/>
      <c r="AY272" s="910">
        <f t="shared" ref="AY272:AY276" ca="1" si="30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1" t="str">
        <f t="shared" si="29"/>
        <v>CVE - Energia</v>
      </c>
      <c r="AT273" s="921"/>
      <c r="AU273" s="922">
        <f t="shared" ca="1" si="22"/>
        <v>0</v>
      </c>
      <c r="AV273" s="923"/>
      <c r="AW273" s="923">
        <f ca="1">AU273/Financeiros!$D$4</f>
        <v>0</v>
      </c>
      <c r="AX273" s="920"/>
      <c r="AY273" s="910">
        <f t="shared" ca="1" si="30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1" t="str">
        <f t="shared" si="29"/>
        <v>CVE - Encargos</v>
      </c>
      <c r="AT274" s="921"/>
      <c r="AU274" s="922">
        <f t="shared" si="22"/>
        <v>0</v>
      </c>
      <c r="AV274" s="923"/>
      <c r="AW274" s="923">
        <f ca="1">AU274/Financeiros!$D$4</f>
        <v>0</v>
      </c>
      <c r="AX274" s="920"/>
      <c r="AY274" s="910">
        <f t="shared" ca="1" si="30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1" t="str">
        <f t="shared" si="29"/>
        <v>Conta Escassez</v>
      </c>
      <c r="AT275" s="921"/>
      <c r="AU275" s="922">
        <f t="shared" ca="1" si="22"/>
        <v>0</v>
      </c>
      <c r="AV275" s="923"/>
      <c r="AW275" s="923">
        <f ca="1">AU275/Financeiros!$D$4</f>
        <v>0</v>
      </c>
      <c r="AX275" s="920"/>
      <c r="AY275" s="910">
        <f t="shared" ca="1" si="30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1">
        <f t="shared" si="29"/>
        <v>0</v>
      </c>
      <c r="AT276" s="921"/>
      <c r="AU276" s="922">
        <f t="shared" si="22"/>
        <v>0</v>
      </c>
      <c r="AV276" s="923"/>
      <c r="AW276" s="923">
        <f ca="1">AU276/Financeiros!$D$4</f>
        <v>0</v>
      </c>
      <c r="AX276" s="920"/>
      <c r="AY276" s="910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1">
        <f t="shared" ref="AS277:AS281" si="31">AM201</f>
        <v>0</v>
      </c>
      <c r="AT277" s="921"/>
      <c r="AU277" s="922">
        <f t="shared" ca="1" si="22"/>
        <v>0</v>
      </c>
      <c r="AV277" s="923"/>
      <c r="AW277" s="923">
        <f ca="1">AU277/Financeiros!$D$4</f>
        <v>0</v>
      </c>
      <c r="AX277" s="920"/>
      <c r="AY277" s="910">
        <f t="shared" ref="AY277:AY281" ca="1" si="32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1" t="str">
        <f t="shared" si="31"/>
        <v>Sobrecontratação/Exposição de Energia</v>
      </c>
      <c r="AT278" s="921"/>
      <c r="AU278" s="922">
        <f t="shared" ca="1" si="22"/>
        <v>0</v>
      </c>
      <c r="AV278" s="923"/>
      <c r="AW278" s="923">
        <f ca="1">AU278/Financeiros!$D$4</f>
        <v>0</v>
      </c>
      <c r="AX278" s="920"/>
      <c r="AY278" s="910">
        <f t="shared" ca="1" si="32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1" t="str">
        <f t="shared" si="31"/>
        <v>Reversão de Risco Hidrológico</v>
      </c>
      <c r="AT279" s="921"/>
      <c r="AU279" s="922">
        <f t="shared" ca="1" si="22"/>
        <v>0</v>
      </c>
      <c r="AV279" s="923"/>
      <c r="AW279" s="923">
        <f ca="1">AU279/Financeiros!$D$4</f>
        <v>0</v>
      </c>
      <c r="AX279" s="920"/>
      <c r="AY279" s="910">
        <f t="shared" ca="1" si="32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1" t="str">
        <f t="shared" si="31"/>
        <v>Previsão de Risco Hidrologico</v>
      </c>
      <c r="AT280" s="921"/>
      <c r="AU280" s="922">
        <f t="shared" ca="1" si="22"/>
        <v>0</v>
      </c>
      <c r="AV280" s="923"/>
      <c r="AW280" s="923">
        <f ca="1">AU280/Financeiros!$D$4</f>
        <v>0</v>
      </c>
      <c r="AX280" s="920"/>
      <c r="AY280" s="910">
        <f t="shared" ca="1" si="32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1" t="str">
        <f t="shared" si="31"/>
        <v>Diferimento da Previsão do Risco Hidrológico</v>
      </c>
      <c r="AT281" s="921"/>
      <c r="AU281" s="922">
        <f t="shared" si="22"/>
        <v>0</v>
      </c>
      <c r="AV281" s="923"/>
      <c r="AW281" s="923">
        <f ca="1">AU281/Financeiros!$D$4</f>
        <v>0</v>
      </c>
      <c r="AX281" s="920"/>
      <c r="AY281" s="910">
        <f t="shared" ca="1" si="32"/>
        <v>0</v>
      </c>
    </row>
    <row r="282" spans="2:53" ht="15" customHeight="1">
      <c r="B282" s="343"/>
      <c r="C282" s="344"/>
      <c r="D282" s="344"/>
      <c r="E282" s="344"/>
      <c r="F282" s="345"/>
      <c r="G282" s="345"/>
      <c r="H282" s="345"/>
      <c r="AS282" s="921" t="str">
        <f t="shared" ref="AS282:AS283" si="33">AM206</f>
        <v>Diferimento CUSD</v>
      </c>
      <c r="AT282" s="921"/>
      <c r="AU282" s="922">
        <f t="shared" si="22"/>
        <v>-1200000</v>
      </c>
      <c r="AV282" s="923"/>
      <c r="AW282" s="923">
        <f ca="1">AU282/Financeiros!$D$4</f>
        <v>-2.563171293146083E-2</v>
      </c>
      <c r="AX282" s="920"/>
      <c r="AY282" s="910">
        <f t="shared" ref="AY282:AY283" ca="1" si="34">IF(AW282=0,0,1)</f>
        <v>1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1">
        <f t="shared" si="33"/>
        <v>0</v>
      </c>
      <c r="AT283" s="921"/>
      <c r="AU283" s="922">
        <f t="shared" si="22"/>
        <v>0</v>
      </c>
      <c r="AV283" s="923"/>
      <c r="AW283" s="923">
        <f ca="1">AU283/Financeiros!$D$4</f>
        <v>0</v>
      </c>
      <c r="AX283" s="920"/>
      <c r="AY283" s="910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0" t="s">
        <v>843</v>
      </c>
      <c r="AT284" s="1100"/>
      <c r="AU284" s="1105">
        <f ca="1">SUM(AU243:AU283)</f>
        <v>-19359473.911042958</v>
      </c>
      <c r="AV284" s="1106"/>
      <c r="AW284" s="1106">
        <f ca="1">ROUND(SUM(AW243:AW283),4)</f>
        <v>-0.41349999999999998</v>
      </c>
      <c r="AX284" s="1106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7" t="str">
        <f>Resultado!B9</f>
        <v>Variação econômica e financeira</v>
      </c>
      <c r="AT285" s="1107"/>
      <c r="AU285" s="1107"/>
      <c r="AV285" s="1108"/>
      <c r="AW285" s="1108">
        <f ca="1">ROUND(AW240+AW284,4)</f>
        <v>-0.31169999999999998</v>
      </c>
      <c r="AX285" s="1108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0" t="s">
        <v>844</v>
      </c>
      <c r="AT286" s="1100"/>
      <c r="AU286" s="1100"/>
      <c r="AV286" s="1100"/>
      <c r="AW286" s="1109">
        <f ca="1">ROUND(AW288-AW285,4)</f>
        <v>0.42830000000000001</v>
      </c>
      <c r="AX286" s="1109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0" t="s">
        <v>845</v>
      </c>
      <c r="AT287" s="1110"/>
      <c r="AU287" s="1105"/>
      <c r="AV287" s="1105"/>
      <c r="AW287" s="1111">
        <v>0</v>
      </c>
      <c r="AX287" s="1112"/>
      <c r="AY287" s="318">
        <f t="shared" si="15"/>
        <v>0</v>
      </c>
      <c r="BA287" s="766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29" t="s">
        <v>846</v>
      </c>
      <c r="AT288" s="1829"/>
      <c r="AU288" s="1829"/>
      <c r="AV288" s="1829"/>
      <c r="AW288" s="1108">
        <f>Resultado!L5</f>
        <v>0.11655023070304948</v>
      </c>
      <c r="AX288" s="1108"/>
      <c r="AY288" s="318"/>
    </row>
    <row r="289" spans="2:84" ht="15" customHeight="1">
      <c r="AW289" s="768">
        <v>-0.1116</v>
      </c>
      <c r="BA289" s="1091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6" t="s">
        <v>849</v>
      </c>
      <c r="BB290" s="926" t="str">
        <f>"Cobertura "&amp;YEAR(CAPA!C14)&amp;"/"&amp;YEAR(CAPA!C14)+1</f>
        <v>Cobertura 2021/2022</v>
      </c>
      <c r="BC290" s="926" t="str">
        <f>"Cobertura "&amp;YEAR(CAPA!C14)&amp;"/"&amp;YEAR(CAPA!C14)+1&amp;" Atualizada"</f>
        <v>Cobertura 2021/2022 Atualizada</v>
      </c>
      <c r="BD290" s="926" t="s">
        <v>850</v>
      </c>
      <c r="BE290" s="926" t="s">
        <v>851</v>
      </c>
      <c r="BF290" s="926" t="s">
        <v>852</v>
      </c>
      <c r="BG290" s="926" t="str">
        <f>"Previsão "&amp;YEAR(CAPA!C14)+1&amp;"/"&amp;YEAR(CAPA!C14)+2</f>
        <v>Previsão 2022/2023</v>
      </c>
      <c r="BH290" s="926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27" t="e">
        <f>Indexador!#REF!</f>
        <v>#REF!</v>
      </c>
      <c r="BC291" s="927" t="e">
        <f>Indexador!#REF!</f>
        <v>#REF!</v>
      </c>
      <c r="BD291" s="927" t="e">
        <f>Indexador!#REF!</f>
        <v>#REF!</v>
      </c>
      <c r="BE291" s="927" t="e">
        <f>Indexador!#REF!</f>
        <v>#REF!</v>
      </c>
      <c r="BF291" s="927">
        <f>BP311</f>
        <v>0</v>
      </c>
      <c r="BG291" s="927">
        <f t="shared" ref="BG291:BH296" si="35">BQ311</f>
        <v>0</v>
      </c>
      <c r="BH291" s="927">
        <f t="shared" si="35"/>
        <v>0</v>
      </c>
      <c r="BI291" s="352" t="e">
        <f>Indexador!#REF!</f>
        <v>#REF!</v>
      </c>
      <c r="BJ291" s="333">
        <f t="shared" ref="BJ291:BJ297" si="36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27" t="e">
        <f>Indexador!#REF!</f>
        <v>#REF!</v>
      </c>
      <c r="BC292" s="927" t="e">
        <f>Indexador!#REF!</f>
        <v>#REF!</v>
      </c>
      <c r="BD292" s="927" t="e">
        <f>Indexador!#REF!</f>
        <v>#REF!</v>
      </c>
      <c r="BE292" s="927" t="e">
        <f>Indexador!#REF!</f>
        <v>#REF!</v>
      </c>
      <c r="BF292" s="928">
        <f t="shared" ref="BF292:BF296" si="38">BP312</f>
        <v>0</v>
      </c>
      <c r="BG292" s="928">
        <f t="shared" si="35"/>
        <v>0</v>
      </c>
      <c r="BH292" s="928">
        <f t="shared" si="35"/>
        <v>0</v>
      </c>
      <c r="BI292" s="352" t="e">
        <f>Indexador!#REF!</f>
        <v>#REF!</v>
      </c>
      <c r="BJ292" s="333">
        <f t="shared" si="36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27" t="e">
        <f>Indexador!#REF!</f>
        <v>#REF!</v>
      </c>
      <c r="BC293" s="927" t="e">
        <f>Indexador!#REF!</f>
        <v>#REF!</v>
      </c>
      <c r="BD293" s="927" t="e">
        <f>Indexador!#REF!</f>
        <v>#REF!</v>
      </c>
      <c r="BE293" s="927" t="e">
        <f>Indexador!#REF!</f>
        <v>#REF!</v>
      </c>
      <c r="BF293" s="928">
        <f t="shared" si="38"/>
        <v>0</v>
      </c>
      <c r="BG293" s="928">
        <f t="shared" si="35"/>
        <v>0</v>
      </c>
      <c r="BH293" s="928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U294" s="23">
        <f ca="1">Financeiros!D7</f>
        <v>-19359473.911042958</v>
      </c>
      <c r="AW294" s="25">
        <f ca="1">lnktxttotalfin</f>
        <v>-0.41351373149329862</v>
      </c>
      <c r="AZ294" s="353"/>
      <c r="BA294" s="436" t="str">
        <f t="shared" si="37"/>
        <v>Subsidio Água, Esgoto e Saneamento</v>
      </c>
      <c r="BB294" s="927" t="e">
        <f>Indexador!#REF!</f>
        <v>#REF!</v>
      </c>
      <c r="BC294" s="927" t="e">
        <f>Indexador!#REF!</f>
        <v>#REF!</v>
      </c>
      <c r="BD294" s="927" t="e">
        <f>Indexador!#REF!</f>
        <v>#REF!</v>
      </c>
      <c r="BE294" s="927" t="e">
        <f>Indexador!#REF!</f>
        <v>#REF!</v>
      </c>
      <c r="BF294" s="928">
        <f t="shared" si="38"/>
        <v>45.43722347698813</v>
      </c>
      <c r="BG294" s="928">
        <f t="shared" si="35"/>
        <v>110.76370964222663</v>
      </c>
      <c r="BH294" s="928">
        <f t="shared" si="35"/>
        <v>156.20093311921477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>
        <f ca="1">AU284-AU294</f>
        <v>0</v>
      </c>
      <c r="AW295" s="25">
        <f ca="1">linktxttotfin-AW294</f>
        <v>1.3731493298640984E-5</v>
      </c>
      <c r="AZ295" s="353"/>
      <c r="BA295" s="436" t="str">
        <f t="shared" si="37"/>
        <v>Subsidio Rural</v>
      </c>
      <c r="BB295" s="927" t="e">
        <f>Indexador!#REF!</f>
        <v>#REF!</v>
      </c>
      <c r="BC295" s="927" t="e">
        <f>Indexador!#REF!</f>
        <v>#REF!</v>
      </c>
      <c r="BD295" s="927" t="e">
        <f>Indexador!#REF!</f>
        <v>#REF!</v>
      </c>
      <c r="BE295" s="927" t="e">
        <f>Indexador!#REF!</f>
        <v>#REF!</v>
      </c>
      <c r="BF295" s="928">
        <f t="shared" si="38"/>
        <v>-2617.2733263836321</v>
      </c>
      <c r="BG295" s="928">
        <f t="shared" si="35"/>
        <v>66546.637120084357</v>
      </c>
      <c r="BH295" s="928">
        <f t="shared" si="35"/>
        <v>63929.363793700722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hidden="1" customHeight="1">
      <c r="AU296" s="413"/>
      <c r="AZ296" s="353"/>
      <c r="BA296" s="436" t="str">
        <f t="shared" si="37"/>
        <v>Subsidio - Irrigante/Aquicultor</v>
      </c>
      <c r="BB296" s="927" t="e">
        <f>Indexador!#REF!</f>
        <v>#REF!</v>
      </c>
      <c r="BC296" s="927" t="e">
        <f>Indexador!#REF!</f>
        <v>#REF!</v>
      </c>
      <c r="BD296" s="927" t="e">
        <f>Indexador!#REF!</f>
        <v>#REF!</v>
      </c>
      <c r="BE296" s="927" t="e">
        <f>Indexador!#REF!</f>
        <v>#REF!</v>
      </c>
      <c r="BF296" s="928">
        <f t="shared" si="38"/>
        <v>0</v>
      </c>
      <c r="BG296" s="928">
        <f t="shared" si="35"/>
        <v>0</v>
      </c>
      <c r="BH296" s="928">
        <f t="shared" si="35"/>
        <v>0</v>
      </c>
      <c r="BI296" s="352" t="e">
        <f>Indexador!#REF!</f>
        <v>#REF!</v>
      </c>
      <c r="BJ296" s="333">
        <f t="shared" si="36"/>
        <v>0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0" t="s">
        <v>760</v>
      </c>
      <c r="BB297" s="1113" t="e">
        <f t="shared" ref="BB297:BI297" si="39">SUM(BB291:BB296)</f>
        <v>#REF!</v>
      </c>
      <c r="BC297" s="1113" t="e">
        <f t="shared" si="39"/>
        <v>#REF!</v>
      </c>
      <c r="BD297" s="1113" t="e">
        <f t="shared" si="39"/>
        <v>#REF!</v>
      </c>
      <c r="BE297" s="1113" t="e">
        <f t="shared" si="39"/>
        <v>#REF!</v>
      </c>
      <c r="BF297" s="1114">
        <f t="shared" si="39"/>
        <v>-2571.8361029066441</v>
      </c>
      <c r="BG297" s="1114">
        <f t="shared" si="39"/>
        <v>66657.400829726583</v>
      </c>
      <c r="BH297" s="1114">
        <f t="shared" si="39"/>
        <v>64085.564726819939</v>
      </c>
      <c r="BI297" s="1115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1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6" t="s">
        <v>853</v>
      </c>
      <c r="BL299" s="1116" t="s">
        <v>793</v>
      </c>
      <c r="BM299" s="1116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7" t="s">
        <v>854</v>
      </c>
      <c r="BL308" s="1115">
        <f ca="1">SUM(BL300:BL307)</f>
        <v>0</v>
      </c>
      <c r="BM308" s="1115">
        <f>SUM(BM300:BM307)</f>
        <v>0</v>
      </c>
      <c r="BN308" s="333">
        <f ca="1">IF(BL308=0,0,1)</f>
        <v>0</v>
      </c>
      <c r="BO308" s="1091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(Cerej).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8" t="s">
        <v>856</v>
      </c>
      <c r="BP310" s="1118" t="s">
        <v>857</v>
      </c>
      <c r="BQ310" s="1118" t="s">
        <v>858</v>
      </c>
      <c r="BR310" s="1119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0" t="s">
        <v>860</v>
      </c>
      <c r="BP311" s="1121">
        <f>IFERROR(Aj.Subsídio!L5,0)</f>
        <v>0</v>
      </c>
      <c r="BQ311" s="1121">
        <f>IFERROR(Aj.Subsídio!M5,0)</f>
        <v>0</v>
      </c>
      <c r="BR311" s="1121">
        <f t="shared" ref="BR311:BR317" si="41">BP311+BQ311</f>
        <v>0</v>
      </c>
      <c r="BS311" s="405">
        <f t="shared" ref="BS311:BS317" si="42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0" t="s">
        <v>861</v>
      </c>
      <c r="BP312" s="1121">
        <f>IFERROR(Aj.Subsídio!L6,0)</f>
        <v>0</v>
      </c>
      <c r="BQ312" s="1121">
        <f>IFERROR(Aj.Subsídio!M6,0)</f>
        <v>0</v>
      </c>
      <c r="BR312" s="1122">
        <f t="shared" si="41"/>
        <v>0</v>
      </c>
      <c r="BS312" s="358">
        <f t="shared" si="42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0" t="s">
        <v>862</v>
      </c>
      <c r="BP313" s="1121">
        <f>IFERROR(Aj.Subsídio!L7,0)</f>
        <v>0</v>
      </c>
      <c r="BQ313" s="1121">
        <f>IFERROR(Aj.Subsídio!M7,0)</f>
        <v>0</v>
      </c>
      <c r="BR313" s="1122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0" t="s">
        <v>863</v>
      </c>
      <c r="BP314" s="1121">
        <f>IFERROR(Aj.Subsídio!L8,0)</f>
        <v>45.43722347698813</v>
      </c>
      <c r="BQ314" s="1121">
        <f>IFERROR(Aj.Subsídio!M8,0)</f>
        <v>110.76370964222663</v>
      </c>
      <c r="BR314" s="1122">
        <f t="shared" si="41"/>
        <v>156.20093311921477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0" t="s">
        <v>864</v>
      </c>
      <c r="BP315" s="1121">
        <f>IFERROR(Aj.Subsídio!L9,0)</f>
        <v>-2617.2733263836321</v>
      </c>
      <c r="BQ315" s="1121">
        <f>IFERROR(Aj.Subsídio!M9,0)</f>
        <v>66546.637120084357</v>
      </c>
      <c r="BR315" s="1122">
        <f t="shared" si="41"/>
        <v>63929.363793700722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0" t="s">
        <v>865</v>
      </c>
      <c r="BP316" s="1121">
        <f>IFERROR(Aj.Subsídio!L10,0)</f>
        <v>0</v>
      </c>
      <c r="BQ316" s="1121">
        <f>IFERROR(Aj.Subsídio!M10,0)</f>
        <v>0</v>
      </c>
      <c r="BR316" s="1122">
        <f t="shared" si="41"/>
        <v>0</v>
      </c>
      <c r="BS316" s="358">
        <f t="shared" si="42"/>
        <v>0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3" t="s">
        <v>769</v>
      </c>
      <c r="BP317" s="1121">
        <f>SUM(BP311:BP316)</f>
        <v>-2571.8361029066441</v>
      </c>
      <c r="BQ317" s="1121">
        <f>SUM(BQ311:BQ316)</f>
        <v>66657.400829726583</v>
      </c>
      <c r="BR317" s="1122">
        <f t="shared" si="41"/>
        <v>64085.564726819939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7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49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0.41699999999999998</v>
      </c>
      <c r="BW320" s="420">
        <f>Energia!F28</f>
        <v>0.41699999999999998</v>
      </c>
      <c r="BY320" s="23">
        <f t="shared" ref="BY320:BY326" si="43">IF(BU320=0,0,1)</f>
        <v>1</v>
      </c>
      <c r="BZ320" s="648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3"/>
        <v>0</v>
      </c>
      <c r="BZ321" s="648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48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48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48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48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0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4" t="s">
        <v>633</v>
      </c>
      <c r="CA327" s="1125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6" t="s">
        <v>871</v>
      </c>
      <c r="CA329" s="1127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2"/>
      <c r="C338" s="1832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2"/>
      <c r="C344" s="1832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2"/>
      <c r="C353" s="1832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X288 AX243" formula="1"/>
    <ignoredError sqref="L81:L84" calculatedColumn="1"/>
    <ignoredError sqref="AN205" formulaRange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zoomScale="85" zoomScaleNormal="85" workbookViewId="0">
      <selection activeCell="D103" sqref="D102:D103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69" bestFit="1" customWidth="1"/>
    <col min="5" max="5" width="16.28515625" style="904" customWidth="1"/>
    <col min="6" max="6" width="31.42578125" style="1592" customWidth="1"/>
    <col min="7" max="7" width="47.85546875" style="1592" bestFit="1" customWidth="1"/>
    <col min="8" max="13" width="16.28515625" style="904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29" t="s">
        <v>724</v>
      </c>
      <c r="D1" s="1761"/>
      <c r="E1" s="1301"/>
      <c r="F1" s="1585"/>
      <c r="G1" s="1691"/>
      <c r="H1" s="1690"/>
      <c r="I1" s="1583"/>
      <c r="J1" s="1594" t="s">
        <v>873</v>
      </c>
      <c r="K1" s="1228">
        <f ca="1">LnkTXTIRTEco</f>
        <v>0.1018</v>
      </c>
      <c r="L1" s="1583"/>
      <c r="M1" s="1583"/>
    </row>
    <row r="2" spans="3:23" ht="16.5">
      <c r="C2" s="620" t="str">
        <f>CAPA!B2</f>
        <v>Cerej</v>
      </c>
      <c r="D2" s="1762"/>
      <c r="E2" s="900"/>
      <c r="F2" s="1586"/>
      <c r="G2" s="1687" t="s">
        <v>2256</v>
      </c>
      <c r="H2" s="1692">
        <f ca="1">LnkTXTEV/LnkTXTER</f>
        <v>0.86209999999999998</v>
      </c>
      <c r="I2" s="900"/>
      <c r="J2" s="1595" t="s">
        <v>877</v>
      </c>
      <c r="K2" s="1596">
        <f ca="1">LnkTXTIRTTotal</f>
        <v>-0.31169999999999998</v>
      </c>
      <c r="L2" s="900"/>
      <c r="M2" s="900"/>
    </row>
    <row r="3" spans="3:23" ht="16.5">
      <c r="C3" s="623"/>
      <c r="D3" s="1762"/>
      <c r="E3" s="900"/>
      <c r="F3" s="1586"/>
      <c r="G3" s="1688" t="s">
        <v>2258</v>
      </c>
      <c r="H3" s="1693">
        <f ca="1">Energia!D10/LnkTXTER</f>
        <v>0</v>
      </c>
      <c r="I3" s="900"/>
      <c r="J3" s="900"/>
      <c r="K3" s="900"/>
      <c r="L3" s="900"/>
      <c r="M3" s="900"/>
    </row>
    <row r="4" spans="3:23" ht="16.5">
      <c r="C4" s="1302" t="s">
        <v>1278</v>
      </c>
      <c r="D4" s="1772">
        <f ca="1">LnkTXTRA0</f>
        <v>46817003.733180009</v>
      </c>
      <c r="E4" s="901"/>
      <c r="F4" s="1587"/>
      <c r="G4" s="1688" t="s">
        <v>2261</v>
      </c>
      <c r="H4" s="1693">
        <f ca="1">Energia!D11/LnkTXTER</f>
        <v>0.13789999999999999</v>
      </c>
      <c r="I4" s="901"/>
      <c r="J4" s="901"/>
      <c r="K4" s="901"/>
      <c r="L4" s="901"/>
      <c r="M4" s="901"/>
    </row>
    <row r="5" spans="3:23" ht="16.5">
      <c r="C5" s="1303" t="s">
        <v>1279</v>
      </c>
      <c r="D5" s="1773">
        <f ca="1">D7</f>
        <v>-19359473.911042958</v>
      </c>
      <c r="E5" s="902"/>
      <c r="F5" s="1588"/>
      <c r="G5" s="1688" t="s">
        <v>2259</v>
      </c>
      <c r="H5" s="1693">
        <f ca="1">Energia!D12/LnkTXTER</f>
        <v>0</v>
      </c>
      <c r="I5" s="902"/>
      <c r="J5" s="902"/>
      <c r="K5" s="902"/>
      <c r="L5" s="902"/>
      <c r="M5" s="902"/>
    </row>
    <row r="6" spans="3:23" ht="16.5">
      <c r="C6" s="622"/>
      <c r="D6" s="1763"/>
      <c r="E6" s="903"/>
      <c r="F6" s="1589"/>
      <c r="G6" s="1689" t="s">
        <v>2260</v>
      </c>
      <c r="H6" s="1694">
        <f ca="1">Energia!D13/LnkTXTER</f>
        <v>0</v>
      </c>
      <c r="I6" s="903"/>
      <c r="J6" s="903"/>
      <c r="K6" s="903"/>
      <c r="L6" s="903"/>
      <c r="M6" s="903"/>
    </row>
    <row r="7" spans="3:23" ht="17.25" thickBot="1">
      <c r="C7" s="1304" t="s">
        <v>1280</v>
      </c>
      <c r="D7" s="1774">
        <f ca="1">SUM(D9:D100)</f>
        <v>-19359473.911042958</v>
      </c>
      <c r="E7" s="1305">
        <f ca="1">SUM(E9:E100)</f>
        <v>-0.41351373149329862</v>
      </c>
      <c r="F7" s="1590"/>
      <c r="G7" s="1590"/>
      <c r="H7" s="1584"/>
      <c r="I7" s="1584"/>
      <c r="J7" s="1584"/>
      <c r="K7" s="1584"/>
      <c r="L7" s="1584"/>
      <c r="M7" s="1584"/>
    </row>
    <row r="8" spans="3:23" ht="16.5">
      <c r="C8" s="1306" t="s">
        <v>1281</v>
      </c>
      <c r="D8" s="1764" t="s">
        <v>37</v>
      </c>
      <c r="E8" s="1307" t="s">
        <v>1282</v>
      </c>
      <c r="F8" s="1591" t="s">
        <v>22</v>
      </c>
      <c r="G8" s="1591" t="s">
        <v>2275</v>
      </c>
      <c r="H8" s="1597" t="s">
        <v>1283</v>
      </c>
      <c r="I8" s="1597" t="s">
        <v>1284</v>
      </c>
      <c r="J8" s="1597" t="s">
        <v>1285</v>
      </c>
      <c r="K8" s="1597" t="s">
        <v>1286</v>
      </c>
      <c r="L8" s="1597" t="s">
        <v>1287</v>
      </c>
      <c r="M8" s="1597" t="s">
        <v>1288</v>
      </c>
      <c r="O8" s="1576" t="s">
        <v>22</v>
      </c>
      <c r="P8" s="1577" t="s">
        <v>1408</v>
      </c>
      <c r="Q8" s="1578" t="s">
        <v>1409</v>
      </c>
      <c r="R8" s="1578" t="s">
        <v>1410</v>
      </c>
      <c r="T8" s="1559" t="s">
        <v>22</v>
      </c>
      <c r="U8" s="1559" t="s">
        <v>1286</v>
      </c>
      <c r="V8" s="1559" t="s">
        <v>1287</v>
      </c>
      <c r="W8" s="1559" t="s">
        <v>1288</v>
      </c>
    </row>
    <row r="9" spans="3:23" ht="16.5">
      <c r="C9" s="1635" t="s">
        <v>1289</v>
      </c>
      <c r="D9" s="1636">
        <f>IFERROR(ABS(Indexador!$D$49)*'Tributos suprimento'!$C$41,0)</f>
        <v>241337.5911946921</v>
      </c>
      <c r="E9" s="1615">
        <f ca="1">IF(ISERROR(D9/$D$4),0,D9/$D$4)</f>
        <v>5.1549132142271643E-3</v>
      </c>
      <c r="F9" s="1605" t="s">
        <v>2236</v>
      </c>
      <c r="G9" s="1618" t="s">
        <v>2268</v>
      </c>
      <c r="H9" s="1606">
        <f>IFERROR(VLOOKUP(Financeiros[[#This Row],[Tipo]],RefTabTipo[],2,FALSE),0)</f>
        <v>22</v>
      </c>
      <c r="I9" s="1624">
        <f>IFERROR(VLOOKUP(Financeiros[[#This Row],[Tipo]],RefTabTipo[],3,FALSE),0)</f>
        <v>60</v>
      </c>
      <c r="J9" s="1607">
        <f>IFERROR(VLOOKUP(Financeiros[[#This Row],[Tipo]],RefTabTipo[],4,FALSE),0)</f>
        <v>999</v>
      </c>
      <c r="K9" s="1630">
        <f>IFERROR(VLOOKUP(Financeiros[[#This Row],[Grupo Tarifário]],RefTabGrupoTarifa[],2,FALSE),0)</f>
        <v>1</v>
      </c>
      <c r="L9" s="1606">
        <f>IFERROR(VLOOKUP(Financeiros[[#This Row],[Grupo Tarifário]],RefTabGrupoTarifa[],3,FALSE),0)</f>
        <v>7</v>
      </c>
      <c r="M9" s="1630">
        <f>IFERROR(VLOOKUP(Financeiros[[#This Row],[Grupo Tarifário]],RefTabGrupoTarifa[],4,FALSE),0)</f>
        <v>9</v>
      </c>
      <c r="O9" s="1579" t="s">
        <v>2229</v>
      </c>
      <c r="P9" s="1580">
        <v>22</v>
      </c>
      <c r="Q9" s="1580">
        <v>60</v>
      </c>
      <c r="R9" s="1581">
        <v>235</v>
      </c>
      <c r="T9" s="844" t="s">
        <v>2240</v>
      </c>
      <c r="U9" s="1451">
        <v>99</v>
      </c>
      <c r="V9" s="1451">
        <v>999</v>
      </c>
      <c r="W9" s="1451">
        <v>2</v>
      </c>
    </row>
    <row r="10" spans="3:23" ht="16.5">
      <c r="C10" s="1635" t="s">
        <v>2287</v>
      </c>
      <c r="D10" s="1636">
        <f ca="1">IFERROR(ABS(Indexador!$D$49)*'Tributos suprimento'!$D$41*H2,0)</f>
        <v>319108.75919685891</v>
      </c>
      <c r="E10" s="1615">
        <f t="shared" ref="E10:E73" ca="1" si="0">IF(ISERROR(D10/$D$4),0,D10/$D$4)</f>
        <v>6.8160867580404575E-3</v>
      </c>
      <c r="F10" s="1605" t="s">
        <v>2236</v>
      </c>
      <c r="G10" s="1618" t="s">
        <v>2256</v>
      </c>
      <c r="H10" s="1606">
        <f>IFERROR(VLOOKUP(Financeiros[[#This Row],[Tipo]],RefTabTipo[],2,FALSE),0)</f>
        <v>22</v>
      </c>
      <c r="I10" s="1624">
        <f>IFERROR(VLOOKUP(Financeiros[[#This Row],[Tipo]],RefTabTipo[],3,FALSE),0)</f>
        <v>60</v>
      </c>
      <c r="J10" s="1607">
        <f>IFERROR(VLOOKUP(Financeiros[[#This Row],[Tipo]],RefTabTipo[],4,FALSE),0)</f>
        <v>999</v>
      </c>
      <c r="K10" s="1630">
        <f>IFERROR(VLOOKUP(Financeiros[[#This Row],[Grupo Tarifário]],RefTabGrupoTarifa[],2,FALSE),0)</f>
        <v>2</v>
      </c>
      <c r="L10" s="1606">
        <f>IFERROR(VLOOKUP(Financeiros[[#This Row],[Grupo Tarifário]],RefTabGrupoTarifa[],3,FALSE),0)</f>
        <v>11</v>
      </c>
      <c r="M10" s="1630">
        <f>IFERROR(VLOOKUP(Financeiros[[#This Row],[Grupo Tarifário]],RefTabGrupoTarifa[],4,FALSE),0)</f>
        <v>9</v>
      </c>
      <c r="O10" s="1579" t="s">
        <v>2230</v>
      </c>
      <c r="P10" s="1580">
        <v>20</v>
      </c>
      <c r="Q10" s="1580">
        <v>60</v>
      </c>
      <c r="R10" s="1581">
        <v>234</v>
      </c>
      <c r="T10" s="844" t="s">
        <v>2241</v>
      </c>
      <c r="U10" s="1451">
        <v>99</v>
      </c>
      <c r="V10" s="1451">
        <v>999</v>
      </c>
      <c r="W10" s="1451">
        <v>1</v>
      </c>
    </row>
    <row r="11" spans="3:23" ht="16.5" hidden="1">
      <c r="C11" s="1635" t="s">
        <v>2288</v>
      </c>
      <c r="D11" s="1636">
        <f ca="1">IFERROR(ABS(Indexador!$D$49)*'Tributos suprimento'!$D$41*H3,0)</f>
        <v>0</v>
      </c>
      <c r="E11" s="1615">
        <f t="shared" ca="1" si="0"/>
        <v>0</v>
      </c>
      <c r="F11" s="1605" t="s">
        <v>2236</v>
      </c>
      <c r="G11" s="1618" t="s">
        <v>2258</v>
      </c>
      <c r="H11" s="1606">
        <f>IFERROR(VLOOKUP(Financeiros[[#This Row],[Tipo]],RefTabTipo[],2,FALSE),0)</f>
        <v>22</v>
      </c>
      <c r="I11" s="1624">
        <f>IFERROR(VLOOKUP(Financeiros[[#This Row],[Tipo]],RefTabTipo[],3,FALSE),0)</f>
        <v>60</v>
      </c>
      <c r="J11" s="1607">
        <f>IFERROR(VLOOKUP(Financeiros[[#This Row],[Tipo]],RefTabTipo[],4,FALSE),0)</f>
        <v>999</v>
      </c>
      <c r="K11" s="1630">
        <f>IFERROR(VLOOKUP(Financeiros[[#This Row],[Grupo Tarifário]],RefTabGrupoTarifa[],2,FALSE),0)</f>
        <v>2</v>
      </c>
      <c r="L11" s="1606">
        <f>IFERROR(VLOOKUP(Financeiros[[#This Row],[Grupo Tarifário]],RefTabGrupoTarifa[],3,FALSE),0)</f>
        <v>9</v>
      </c>
      <c r="M11" s="1630">
        <f>IFERROR(VLOOKUP(Financeiros[[#This Row],[Grupo Tarifário]],RefTabGrupoTarifa[],4,FALSE),0)</f>
        <v>9</v>
      </c>
      <c r="O11" s="1579" t="s">
        <v>2231</v>
      </c>
      <c r="P11" s="1580">
        <v>22</v>
      </c>
      <c r="Q11" s="1580">
        <v>60</v>
      </c>
      <c r="R11" s="1581">
        <v>167</v>
      </c>
      <c r="T11" s="844" t="s">
        <v>2242</v>
      </c>
      <c r="U11" s="1451">
        <v>99</v>
      </c>
      <c r="V11" s="1451">
        <v>999</v>
      </c>
      <c r="W11" s="1451">
        <v>3</v>
      </c>
    </row>
    <row r="12" spans="3:23" ht="16.5">
      <c r="C12" s="1635" t="s">
        <v>2289</v>
      </c>
      <c r="D12" s="1636">
        <f ca="1">IFERROR(ABS(Indexador!$D$49)*'Tributos suprimento'!$D$41*H4,0)</f>
        <v>51044.07596943144</v>
      </c>
      <c r="E12" s="1615">
        <f t="shared" ca="1" si="0"/>
        <v>1.0902892517501207E-3</v>
      </c>
      <c r="F12" s="1605" t="s">
        <v>2236</v>
      </c>
      <c r="G12" s="1618" t="s">
        <v>2261</v>
      </c>
      <c r="H12" s="1606">
        <f>IFERROR(VLOOKUP(Financeiros[[#This Row],[Tipo]],RefTabTipo[],2,FALSE),0)</f>
        <v>22</v>
      </c>
      <c r="I12" s="1624">
        <f>IFERROR(VLOOKUP(Financeiros[[#This Row],[Tipo]],RefTabTipo[],3,FALSE),0)</f>
        <v>60</v>
      </c>
      <c r="J12" s="1607">
        <f>IFERROR(VLOOKUP(Financeiros[[#This Row],[Tipo]],RefTabTipo[],4,FALSE),0)</f>
        <v>999</v>
      </c>
      <c r="K12" s="1630">
        <f>IFERROR(VLOOKUP(Financeiros[[#This Row],[Grupo Tarifário]],RefTabGrupoTarifa[],2,FALSE),0)</f>
        <v>2</v>
      </c>
      <c r="L12" s="1606">
        <f>IFERROR(VLOOKUP(Financeiros[[#This Row],[Grupo Tarifário]],RefTabGrupoTarifa[],3,FALSE),0)</f>
        <v>8</v>
      </c>
      <c r="M12" s="1630">
        <f>IFERROR(VLOOKUP(Financeiros[[#This Row],[Grupo Tarifário]],RefTabGrupoTarifa[],4,FALSE),0)</f>
        <v>9</v>
      </c>
      <c r="O12" s="1579" t="s">
        <v>2232</v>
      </c>
      <c r="P12" s="1580">
        <v>22</v>
      </c>
      <c r="Q12" s="1580">
        <v>60</v>
      </c>
      <c r="R12" s="1581">
        <v>241</v>
      </c>
      <c r="T12" s="844" t="s">
        <v>2243</v>
      </c>
      <c r="U12" s="844">
        <v>3</v>
      </c>
      <c r="V12" s="844">
        <v>17</v>
      </c>
      <c r="W12" s="844">
        <v>9</v>
      </c>
    </row>
    <row r="13" spans="3:23" ht="16.5" hidden="1">
      <c r="C13" s="1635" t="s">
        <v>2290</v>
      </c>
      <c r="D13" s="1636">
        <f ca="1">IFERROR(ABS(Indexador!$D$49)*'Tributos suprimento'!$D$41*H5,0)</f>
        <v>0</v>
      </c>
      <c r="E13" s="1615">
        <f t="shared" ca="1" si="0"/>
        <v>0</v>
      </c>
      <c r="F13" s="1605" t="s">
        <v>2236</v>
      </c>
      <c r="G13" s="1618" t="s">
        <v>2259</v>
      </c>
      <c r="H13" s="1606">
        <f>IFERROR(VLOOKUP(Financeiros[[#This Row],[Tipo]],RefTabTipo[],2,FALSE),0)</f>
        <v>22</v>
      </c>
      <c r="I13" s="1624">
        <f>IFERROR(VLOOKUP(Financeiros[[#This Row],[Tipo]],RefTabTipo[],3,FALSE),0)</f>
        <v>60</v>
      </c>
      <c r="J13" s="1607">
        <f>IFERROR(VLOOKUP(Financeiros[[#This Row],[Tipo]],RefTabTipo[],4,FALSE),0)</f>
        <v>999</v>
      </c>
      <c r="K13" s="1630">
        <f>IFERROR(VLOOKUP(Financeiros[[#This Row],[Grupo Tarifário]],RefTabGrupoTarifa[],2,FALSE),0)</f>
        <v>2</v>
      </c>
      <c r="L13" s="1606">
        <f>IFERROR(VLOOKUP(Financeiros[[#This Row],[Grupo Tarifário]],RefTabGrupoTarifa[],3,FALSE),0)</f>
        <v>10</v>
      </c>
      <c r="M13" s="1630">
        <f>IFERROR(VLOOKUP(Financeiros[[#This Row],[Grupo Tarifário]],RefTabGrupoTarifa[],4,FALSE),0)</f>
        <v>9</v>
      </c>
      <c r="O13" s="1579" t="s">
        <v>2233</v>
      </c>
      <c r="P13" s="1580">
        <v>22</v>
      </c>
      <c r="Q13" s="1580">
        <v>60</v>
      </c>
      <c r="R13" s="1581">
        <v>120</v>
      </c>
      <c r="T13" s="844" t="s">
        <v>2244</v>
      </c>
      <c r="U13" s="844">
        <v>3</v>
      </c>
      <c r="V13" s="844">
        <v>13</v>
      </c>
      <c r="W13" s="844">
        <v>9</v>
      </c>
    </row>
    <row r="14" spans="3:23" ht="16.5" hidden="1">
      <c r="C14" s="1635" t="s">
        <v>2291</v>
      </c>
      <c r="D14" s="1636">
        <f ca="1">IFERROR(ABS(Indexador!$D$49)*'Tributos suprimento'!$D$41*H6,0)</f>
        <v>0</v>
      </c>
      <c r="E14" s="1615">
        <f t="shared" ca="1" si="0"/>
        <v>0</v>
      </c>
      <c r="F14" s="1605" t="s">
        <v>2236</v>
      </c>
      <c r="G14" s="1618" t="s">
        <v>2260</v>
      </c>
      <c r="H14" s="1606">
        <f>IFERROR(VLOOKUP(Financeiros[[#This Row],[Tipo]],RefTabTipo[],2,FALSE),0)</f>
        <v>22</v>
      </c>
      <c r="I14" s="1624">
        <f>IFERROR(VLOOKUP(Financeiros[[#This Row],[Tipo]],RefTabTipo[],3,FALSE),0)</f>
        <v>60</v>
      </c>
      <c r="J14" s="1607">
        <f>IFERROR(VLOOKUP(Financeiros[[#This Row],[Tipo]],RefTabTipo[],4,FALSE),0)</f>
        <v>999</v>
      </c>
      <c r="K14" s="1630">
        <f>IFERROR(VLOOKUP(Financeiros[[#This Row],[Grupo Tarifário]],RefTabGrupoTarifa[],2,FALSE),0)</f>
        <v>2</v>
      </c>
      <c r="L14" s="1606">
        <f>IFERROR(VLOOKUP(Financeiros[[#This Row],[Grupo Tarifário]],RefTabGrupoTarifa[],3,FALSE),0)</f>
        <v>24</v>
      </c>
      <c r="M14" s="1630">
        <f>IFERROR(VLOOKUP(Financeiros[[#This Row],[Grupo Tarifário]],RefTabGrupoTarifa[],4,FALSE),0)</f>
        <v>9</v>
      </c>
      <c r="O14" s="1579" t="s">
        <v>2234</v>
      </c>
      <c r="P14" s="1580">
        <v>22</v>
      </c>
      <c r="Q14" s="1580">
        <v>60</v>
      </c>
      <c r="R14" s="1581">
        <v>240</v>
      </c>
      <c r="T14" s="844" t="s">
        <v>2245</v>
      </c>
      <c r="U14" s="844">
        <v>3</v>
      </c>
      <c r="V14" s="844">
        <v>25</v>
      </c>
      <c r="W14" s="844">
        <v>9</v>
      </c>
    </row>
    <row r="15" spans="3:23" ht="16.5">
      <c r="C15" s="1612" t="str">
        <f>"(Neutralidade) "&amp;Encargos!L31</f>
        <v>(Neutralidade) TFSEE</v>
      </c>
      <c r="D15" s="1608">
        <f ca="1">Encargos!$M$31</f>
        <v>-1345.2444493490764</v>
      </c>
      <c r="E15" s="1615">
        <f t="shared" ca="1" si="0"/>
        <v>-2.8734099623630522E-5</v>
      </c>
      <c r="F15" s="1609" t="s">
        <v>107</v>
      </c>
      <c r="G15" s="1616" t="s">
        <v>2255</v>
      </c>
      <c r="H15" s="1610">
        <f>IFERROR(VLOOKUP(Financeiros[[#This Row],[Tipo]],RefTabTipo[],2,FALSE),0)</f>
        <v>20</v>
      </c>
      <c r="I15" s="1622">
        <f>IFERROR(VLOOKUP(Financeiros[[#This Row],[Tipo]],RefTabTipo[],3,FALSE),0)</f>
        <v>60</v>
      </c>
      <c r="J15" s="1611">
        <f>IFERROR(VLOOKUP(Financeiros[[#This Row],[Tipo]],RefTabTipo[],4,FALSE),0)</f>
        <v>999</v>
      </c>
      <c r="K15" s="1629">
        <f>IFERROR(VLOOKUP(Financeiros[[#This Row],[Grupo Tarifário]],RefTabGrupoTarifa[],2,FALSE),0)</f>
        <v>3</v>
      </c>
      <c r="L15" s="1610">
        <f>IFERROR(VLOOKUP(Financeiros[[#This Row],[Grupo Tarifário]],RefTabGrupoTarifa[],3,FALSE),0)</f>
        <v>14</v>
      </c>
      <c r="M15" s="1629">
        <f>IFERROR(VLOOKUP(Financeiros[[#This Row],[Grupo Tarifário]],RefTabGrupoTarifa[],4,FALSE),0)</f>
        <v>9</v>
      </c>
      <c r="O15" s="1579" t="s">
        <v>2235</v>
      </c>
      <c r="P15" s="1580">
        <v>22</v>
      </c>
      <c r="Q15" s="1580">
        <v>60</v>
      </c>
      <c r="R15" s="1581">
        <v>179</v>
      </c>
      <c r="T15" s="844" t="s">
        <v>2246</v>
      </c>
      <c r="U15" s="844">
        <v>3</v>
      </c>
      <c r="V15" s="844">
        <v>15</v>
      </c>
      <c r="W15" s="844">
        <v>9</v>
      </c>
    </row>
    <row r="16" spans="3:23" ht="16.5">
      <c r="C16" s="1612" t="str">
        <f>"(Neutralidade) "&amp;Encargos!L32</f>
        <v>(Neutralidade) CDE</v>
      </c>
      <c r="D16" s="1608">
        <f ca="1">IFERROR(Encargos!$M$32,0)</f>
        <v>-38909.608864024849</v>
      </c>
      <c r="E16" s="1615">
        <f t="shared" ca="1" si="0"/>
        <v>-8.3109993723175723E-4</v>
      </c>
      <c r="F16" s="1609" t="s">
        <v>107</v>
      </c>
      <c r="G16" s="1616" t="s">
        <v>2246</v>
      </c>
      <c r="H16" s="1610">
        <f>IFERROR(VLOOKUP(Financeiros[[#This Row],[Tipo]],RefTabTipo[],2,FALSE),0)</f>
        <v>20</v>
      </c>
      <c r="I16" s="1622">
        <f>IFERROR(VLOOKUP(Financeiros[[#This Row],[Tipo]],RefTabTipo[],3,FALSE),0)</f>
        <v>60</v>
      </c>
      <c r="J16" s="1611">
        <f>IFERROR(VLOOKUP(Financeiros[[#This Row],[Tipo]],RefTabTipo[],4,FALSE),0)</f>
        <v>999</v>
      </c>
      <c r="K16" s="1629">
        <f>IFERROR(VLOOKUP(Financeiros[[#This Row],[Grupo Tarifário]],RefTabGrupoTarifa[],2,FALSE),0)</f>
        <v>3</v>
      </c>
      <c r="L16" s="1610">
        <f>IFERROR(VLOOKUP(Financeiros[[#This Row],[Grupo Tarifário]],RefTabGrupoTarifa[],3,FALSE),0)</f>
        <v>15</v>
      </c>
      <c r="M16" s="1629">
        <f>IFERROR(VLOOKUP(Financeiros[[#This Row],[Grupo Tarifário]],RefTabGrupoTarifa[],4,FALSE),0)</f>
        <v>9</v>
      </c>
      <c r="O16" s="1579" t="s">
        <v>2236</v>
      </c>
      <c r="P16" s="1580">
        <v>22</v>
      </c>
      <c r="Q16" s="1580">
        <v>60</v>
      </c>
      <c r="R16" s="1581">
        <v>999</v>
      </c>
      <c r="T16" s="844" t="s">
        <v>2247</v>
      </c>
      <c r="U16" s="1451">
        <v>3</v>
      </c>
      <c r="V16" s="1451">
        <v>25</v>
      </c>
      <c r="W16" s="1451">
        <v>9</v>
      </c>
    </row>
    <row r="17" spans="3:23" ht="16.5" hidden="1">
      <c r="C17" s="1612" t="str">
        <f>"(Neutralidade) "&amp;Encargos!L33</f>
        <v>(Neutralidade) CFURH</v>
      </c>
      <c r="D17" s="1608">
        <f>Encargos!$M$33</f>
        <v>0</v>
      </c>
      <c r="E17" s="1615">
        <f t="shared" ca="1" si="0"/>
        <v>0</v>
      </c>
      <c r="F17" s="1609" t="s">
        <v>107</v>
      </c>
      <c r="G17" s="1616" t="s">
        <v>2250</v>
      </c>
      <c r="H17" s="1610">
        <f>IFERROR(VLOOKUP(Financeiros[[#This Row],[Tipo]],RefTabTipo[],2,FALSE),0)</f>
        <v>20</v>
      </c>
      <c r="I17" s="1622">
        <f>IFERROR(VLOOKUP(Financeiros[[#This Row],[Tipo]],RefTabTipo[],3,FALSE),0)</f>
        <v>60</v>
      </c>
      <c r="J17" s="1611">
        <f>IFERROR(VLOOKUP(Financeiros[[#This Row],[Tipo]],RefTabTipo[],4,FALSE),0)</f>
        <v>999</v>
      </c>
      <c r="K17" s="1629">
        <f>IFERROR(VLOOKUP(Financeiros[[#This Row],[Grupo Tarifário]],RefTabGrupoTarifa[],2,FALSE),0)</f>
        <v>3</v>
      </c>
      <c r="L17" s="1610">
        <f>IFERROR(VLOOKUP(Financeiros[[#This Row],[Grupo Tarifário]],RefTabGrupoTarifa[],3,FALSE),0)</f>
        <v>16</v>
      </c>
      <c r="M17" s="1629">
        <f>IFERROR(VLOOKUP(Financeiros[[#This Row],[Grupo Tarifário]],RefTabGrupoTarifa[],4,FALSE),0)</f>
        <v>9</v>
      </c>
      <c r="O17" s="1579" t="s">
        <v>107</v>
      </c>
      <c r="P17" s="1580">
        <v>20</v>
      </c>
      <c r="Q17" s="1580">
        <v>60</v>
      </c>
      <c r="R17" s="1581">
        <v>999</v>
      </c>
      <c r="T17" s="844" t="s">
        <v>2248</v>
      </c>
      <c r="U17" s="1451">
        <v>3</v>
      </c>
      <c r="V17" s="1451">
        <v>12</v>
      </c>
      <c r="W17" s="1451">
        <v>9</v>
      </c>
    </row>
    <row r="18" spans="3:23" ht="16.5" hidden="1">
      <c r="C18" s="1612" t="str">
        <f>"(Neutralidade) "&amp;Encargos!L34</f>
        <v>(Neutralidade) ESS/ERR</v>
      </c>
      <c r="D18" s="1608">
        <f ca="1">Encargos!$M$34</f>
        <v>0</v>
      </c>
      <c r="E18" s="1615">
        <f t="shared" ca="1" si="0"/>
        <v>0</v>
      </c>
      <c r="F18" s="1609" t="s">
        <v>107</v>
      </c>
      <c r="G18" s="1616" t="s">
        <v>2243</v>
      </c>
      <c r="H18" s="1610">
        <f>IFERROR(VLOOKUP(Financeiros[[#This Row],[Tipo]],RefTabTipo[],2,FALSE),0)</f>
        <v>20</v>
      </c>
      <c r="I18" s="1622">
        <f>IFERROR(VLOOKUP(Financeiros[[#This Row],[Tipo]],RefTabTipo[],3,FALSE),0)</f>
        <v>60</v>
      </c>
      <c r="J18" s="1611">
        <f>IFERROR(VLOOKUP(Financeiros[[#This Row],[Tipo]],RefTabTipo[],4,FALSE),0)</f>
        <v>999</v>
      </c>
      <c r="K18" s="1629">
        <f>IFERROR(VLOOKUP(Financeiros[[#This Row],[Grupo Tarifário]],RefTabGrupoTarifa[],2,FALSE),0)</f>
        <v>3</v>
      </c>
      <c r="L18" s="1610">
        <f>IFERROR(VLOOKUP(Financeiros[[#This Row],[Grupo Tarifário]],RefTabGrupoTarifa[],3,FALSE),0)</f>
        <v>17</v>
      </c>
      <c r="M18" s="1629">
        <f>IFERROR(VLOOKUP(Financeiros[[#This Row],[Grupo Tarifário]],RefTabGrupoTarifa[],4,FALSE),0)</f>
        <v>9</v>
      </c>
      <c r="O18" s="1579" t="s">
        <v>2237</v>
      </c>
      <c r="P18" s="1580">
        <v>20</v>
      </c>
      <c r="Q18" s="1580">
        <v>60</v>
      </c>
      <c r="R18" s="1581">
        <v>179</v>
      </c>
      <c r="T18" s="844" t="s">
        <v>2249</v>
      </c>
      <c r="U18" s="1451">
        <v>3</v>
      </c>
      <c r="V18" s="1451">
        <v>28</v>
      </c>
      <c r="W18" s="1451">
        <v>9</v>
      </c>
    </row>
    <row r="19" spans="3:23" ht="16.5">
      <c r="C19" s="1612" t="str">
        <f>"(Neutralidade) "&amp;Encargos!L35</f>
        <v>(Neutralidade) PROINFA</v>
      </c>
      <c r="D19" s="1608">
        <f ca="1">Encargos!$M$35</f>
        <v>-6436.7217552921993</v>
      </c>
      <c r="E19" s="1615">
        <f t="shared" ca="1" si="0"/>
        <v>-1.3748683687611526E-4</v>
      </c>
      <c r="F19" s="1609" t="s">
        <v>107</v>
      </c>
      <c r="G19" s="1616" t="s">
        <v>2253</v>
      </c>
      <c r="H19" s="1610">
        <f>IFERROR(VLOOKUP(Financeiros[[#This Row],[Tipo]],RefTabTipo[],2,FALSE),0)</f>
        <v>20</v>
      </c>
      <c r="I19" s="1622">
        <f>IFERROR(VLOOKUP(Financeiros[[#This Row],[Tipo]],RefTabTipo[],3,FALSE),0)</f>
        <v>60</v>
      </c>
      <c r="J19" s="1611">
        <f>IFERROR(VLOOKUP(Financeiros[[#This Row],[Tipo]],RefTabTipo[],4,FALSE),0)</f>
        <v>999</v>
      </c>
      <c r="K19" s="1629">
        <f>IFERROR(VLOOKUP(Financeiros[[#This Row],[Grupo Tarifário]],RefTabGrupoTarifa[],2,FALSE),0)</f>
        <v>3</v>
      </c>
      <c r="L19" s="1610">
        <f>IFERROR(VLOOKUP(Financeiros[[#This Row],[Grupo Tarifário]],RefTabGrupoTarifa[],3,FALSE),0)</f>
        <v>18</v>
      </c>
      <c r="M19" s="1629">
        <f>IFERROR(VLOOKUP(Financeiros[[#This Row],[Grupo Tarifário]],RefTabGrupoTarifa[],4,FALSE),0)</f>
        <v>9</v>
      </c>
      <c r="O19" s="68" t="s">
        <v>2277</v>
      </c>
      <c r="P19" s="1645">
        <v>22</v>
      </c>
      <c r="Q19" s="1645">
        <v>60</v>
      </c>
      <c r="R19" s="1645">
        <v>220</v>
      </c>
      <c r="T19" s="844" t="s">
        <v>2250</v>
      </c>
      <c r="U19" s="844">
        <v>3</v>
      </c>
      <c r="V19" s="844">
        <v>16</v>
      </c>
      <c r="W19" s="844">
        <v>9</v>
      </c>
    </row>
    <row r="20" spans="3:23" ht="16.5" hidden="1">
      <c r="C20" s="1612" t="str">
        <f>"(Neutralidade) "&amp;Encargos!L36</f>
        <v>(Neutralidade) CDE COVID</v>
      </c>
      <c r="D20" s="1608">
        <f ca="1">Encargos!$M$36</f>
        <v>0</v>
      </c>
      <c r="E20" s="1615">
        <f t="shared" ca="1" si="0"/>
        <v>0</v>
      </c>
      <c r="F20" s="1609" t="s">
        <v>107</v>
      </c>
      <c r="G20" s="1616" t="s">
        <v>2248</v>
      </c>
      <c r="H20" s="1610">
        <f>IFERROR(VLOOKUP(Financeiros[[#This Row],[Tipo]],RefTabTipo[],2,FALSE),0)</f>
        <v>20</v>
      </c>
      <c r="I20" s="1622">
        <f>IFERROR(VLOOKUP(Financeiros[[#This Row],[Tipo]],RefTabTipo[],3,FALSE),0)</f>
        <v>60</v>
      </c>
      <c r="J20" s="1611">
        <f>IFERROR(VLOOKUP(Financeiros[[#This Row],[Tipo]],RefTabTipo[],4,FALSE),0)</f>
        <v>999</v>
      </c>
      <c r="K20" s="1629">
        <f>IFERROR(VLOOKUP(Financeiros[[#This Row],[Grupo Tarifário]],RefTabGrupoTarifa[],2,FALSE),0)</f>
        <v>3</v>
      </c>
      <c r="L20" s="1610">
        <f>IFERROR(VLOOKUP(Financeiros[[#This Row],[Grupo Tarifário]],RefTabGrupoTarifa[],3,FALSE),0)</f>
        <v>12</v>
      </c>
      <c r="M20" s="1629">
        <f>IFERROR(VLOOKUP(Financeiros[[#This Row],[Grupo Tarifário]],RefTabGrupoTarifa[],4,FALSE),0)</f>
        <v>9</v>
      </c>
      <c r="O20" s="1646" t="s">
        <v>2238</v>
      </c>
      <c r="P20" s="1647">
        <v>22</v>
      </c>
      <c r="Q20" s="1647">
        <v>60</v>
      </c>
      <c r="R20" s="1647">
        <v>178</v>
      </c>
      <c r="T20" s="844" t="s">
        <v>2251</v>
      </c>
      <c r="U20" s="844">
        <v>3</v>
      </c>
      <c r="V20" s="844">
        <v>20</v>
      </c>
      <c r="W20" s="844">
        <v>9</v>
      </c>
    </row>
    <row r="21" spans="3:23" ht="16.5" hidden="1">
      <c r="C21" s="1612" t="str">
        <f>"(Neutralidade) "&amp;Encargos!L37</f>
        <v>(Neutralidade) P&amp;D</v>
      </c>
      <c r="D21" s="1608">
        <f ca="1">Encargos!$M$37</f>
        <v>0</v>
      </c>
      <c r="E21" s="1615">
        <f t="shared" ca="1" si="0"/>
        <v>0</v>
      </c>
      <c r="F21" s="1609" t="s">
        <v>107</v>
      </c>
      <c r="G21" s="1616" t="s">
        <v>2252</v>
      </c>
      <c r="H21" s="1610">
        <f>IFERROR(VLOOKUP(Financeiros[[#This Row],[Tipo]],RefTabTipo[],2,FALSE),0)</f>
        <v>20</v>
      </c>
      <c r="I21" s="1622">
        <f>IFERROR(VLOOKUP(Financeiros[[#This Row],[Tipo]],RefTabTipo[],3,FALSE),0)</f>
        <v>60</v>
      </c>
      <c r="J21" s="1611">
        <f>IFERROR(VLOOKUP(Financeiros[[#This Row],[Tipo]],RefTabTipo[],4,FALSE),0)</f>
        <v>999</v>
      </c>
      <c r="K21" s="1629">
        <f>IFERROR(VLOOKUP(Financeiros[[#This Row],[Grupo Tarifário]],RefTabGrupoTarifa[],2,FALSE),0)</f>
        <v>3</v>
      </c>
      <c r="L21" s="1610">
        <f>IFERROR(VLOOKUP(Financeiros[[#This Row],[Grupo Tarifário]],RefTabGrupoTarifa[],3,FALSE),0)</f>
        <v>19</v>
      </c>
      <c r="M21" s="1629">
        <f>IFERROR(VLOOKUP(Financeiros[[#This Row],[Grupo Tarifário]],RefTabGrupoTarifa[],4,FALSE),0)</f>
        <v>9</v>
      </c>
      <c r="O21" s="1646" t="s">
        <v>1305</v>
      </c>
      <c r="P21" s="1647">
        <v>22</v>
      </c>
      <c r="Q21" s="1647">
        <v>62</v>
      </c>
      <c r="R21" s="1647">
        <v>220</v>
      </c>
      <c r="T21" s="844" t="s">
        <v>2252</v>
      </c>
      <c r="U21" s="844">
        <v>3</v>
      </c>
      <c r="V21" s="844">
        <v>19</v>
      </c>
      <c r="W21" s="844">
        <v>9</v>
      </c>
    </row>
    <row r="22" spans="3:23" ht="16.5" hidden="1">
      <c r="C22" s="1612" t="str">
        <f>"(Neutralidade)" &amp; Encargos!L41</f>
        <v>(Neutralidade)Financeiro Covid</v>
      </c>
      <c r="D22" s="1608">
        <f ca="1">Encargos!$M$41</f>
        <v>0</v>
      </c>
      <c r="E22" s="1615">
        <f t="shared" ca="1" si="0"/>
        <v>0</v>
      </c>
      <c r="F22" s="1609" t="s">
        <v>107</v>
      </c>
      <c r="G22" s="1616" t="s">
        <v>104</v>
      </c>
      <c r="H22" s="1610">
        <f>IFERROR(VLOOKUP(Financeiros[[#This Row],[Tipo]],RefTabTipo[],2,FALSE),0)</f>
        <v>20</v>
      </c>
      <c r="I22" s="1622">
        <f>IFERROR(VLOOKUP(Financeiros[[#This Row],[Tipo]],RefTabTipo[],3,FALSE),0)</f>
        <v>60</v>
      </c>
      <c r="J22" s="1611">
        <f>IFERROR(VLOOKUP(Financeiros[[#This Row],[Tipo]],RefTabTipo[],4,FALSE),0)</f>
        <v>999</v>
      </c>
      <c r="K22" s="1629">
        <f>IFERROR(VLOOKUP(Financeiros[[#This Row],[Grupo Tarifário]],RefTabGrupoTarifa[],2,FALSE),0)</f>
        <v>4</v>
      </c>
      <c r="L22" s="1610">
        <f>IFERROR(VLOOKUP(Financeiros[[#This Row],[Grupo Tarifário]],RefTabGrupoTarifa[],3,FALSE),0)</f>
        <v>999</v>
      </c>
      <c r="M22" s="1629">
        <f>IFERROR(VLOOKUP(Financeiros[[#This Row],[Grupo Tarifário]],RefTabGrupoTarifa[],4,FALSE),0)</f>
        <v>9</v>
      </c>
      <c r="O22" s="1579" t="s">
        <v>2239</v>
      </c>
      <c r="P22" s="1582">
        <v>22</v>
      </c>
      <c r="Q22" s="1582">
        <v>60</v>
      </c>
      <c r="R22" s="1582">
        <v>106</v>
      </c>
      <c r="T22" s="844" t="s">
        <v>2253</v>
      </c>
      <c r="U22" s="844">
        <v>3</v>
      </c>
      <c r="V22" s="844">
        <v>18</v>
      </c>
      <c r="W22" s="844">
        <v>9</v>
      </c>
    </row>
    <row r="23" spans="3:23" ht="16.5" hidden="1">
      <c r="C23" s="1612" t="str">
        <f>"(Neutralidade)" &amp; Encargos!L42</f>
        <v>(Neutralidade)Crédito Pis Cofins</v>
      </c>
      <c r="D23" s="1608">
        <f ca="1">Encargos!$M$42</f>
        <v>0</v>
      </c>
      <c r="E23" s="1615">
        <f t="shared" ca="1" si="0"/>
        <v>0</v>
      </c>
      <c r="F23" s="1609" t="s">
        <v>2237</v>
      </c>
      <c r="G23" s="1616" t="s">
        <v>2242</v>
      </c>
      <c r="H23" s="1610">
        <f>IFERROR(VLOOKUP(Financeiros[[#This Row],[Tipo]],RefTabTipo[],2,FALSE),0)</f>
        <v>20</v>
      </c>
      <c r="I23" s="1622">
        <f>IFERROR(VLOOKUP(Financeiros[[#This Row],[Tipo]],RefTabTipo[],3,FALSE),0)</f>
        <v>60</v>
      </c>
      <c r="J23" s="1611">
        <f>IFERROR(VLOOKUP(Financeiros[[#This Row],[Tipo]],RefTabTipo[],4,FALSE),0)</f>
        <v>179</v>
      </c>
      <c r="K23" s="1629">
        <f>IFERROR(VLOOKUP(Financeiros[[#This Row],[Grupo Tarifário]],RefTabGrupoTarifa[],2,FALSE),0)</f>
        <v>99</v>
      </c>
      <c r="L23" s="1610">
        <f>IFERROR(VLOOKUP(Financeiros[[#This Row],[Grupo Tarifário]],RefTabGrupoTarifa[],3,FALSE),0)</f>
        <v>999</v>
      </c>
      <c r="M23" s="1629">
        <f>IFERROR(VLOOKUP(Financeiros[[#This Row],[Grupo Tarifário]],RefTabGrupoTarifa[],4,FALSE),0)</f>
        <v>3</v>
      </c>
      <c r="O23" s="68" t="s">
        <v>2627</v>
      </c>
      <c r="P23" s="68">
        <v>22</v>
      </c>
      <c r="Q23" s="68">
        <v>60</v>
      </c>
      <c r="R23" s="68">
        <v>242</v>
      </c>
      <c r="T23" s="844" t="s">
        <v>2254</v>
      </c>
      <c r="U23" s="844">
        <v>3</v>
      </c>
      <c r="V23" s="844">
        <v>12</v>
      </c>
      <c r="W23" s="844">
        <v>9</v>
      </c>
    </row>
    <row r="24" spans="3:23" ht="16.5" hidden="1">
      <c r="C24" s="1637" t="s">
        <v>1291</v>
      </c>
      <c r="D24" s="1638">
        <f>IFERROR((Indexador!J49+Indexador!P49)*Resultado!D25/(Resultado!D25+Resultado!D26),0)</f>
        <v>0</v>
      </c>
      <c r="E24" s="1615">
        <f t="shared" ca="1" si="0"/>
        <v>0</v>
      </c>
      <c r="F24" s="1639" t="s">
        <v>2236</v>
      </c>
      <c r="G24" s="1640" t="s">
        <v>2271</v>
      </c>
      <c r="H24" s="1641">
        <f>IFERROR(VLOOKUP(Financeiros[[#This Row],[Tipo]],RefTabTipo[],2,FALSE),0)</f>
        <v>22</v>
      </c>
      <c r="I24" s="1642">
        <f>IFERROR(VLOOKUP(Financeiros[[#This Row],[Tipo]],RefTabTipo[],3,FALSE),0)</f>
        <v>60</v>
      </c>
      <c r="J24" s="1643">
        <f>IFERROR(VLOOKUP(Financeiros[[#This Row],[Tipo]],RefTabTipo[],4,FALSE),0)</f>
        <v>999</v>
      </c>
      <c r="K24" s="1644">
        <f>IFERROR(VLOOKUP(Financeiros[[#This Row],[Grupo Tarifário]],RefTabGrupoTarifa[],2,FALSE),0)</f>
        <v>1</v>
      </c>
      <c r="L24" s="1641">
        <f>IFERROR(VLOOKUP(Financeiros[[#This Row],[Grupo Tarifário]],RefTabGrupoTarifa[],3,FALSE),0)</f>
        <v>1</v>
      </c>
      <c r="M24" s="1644">
        <f>IFERROR(VLOOKUP(Financeiros[[#This Row],[Grupo Tarifário]],RefTabGrupoTarifa[],4,FALSE),0)</f>
        <v>9</v>
      </c>
      <c r="T24" s="844" t="s">
        <v>2255</v>
      </c>
      <c r="U24" s="844">
        <v>3</v>
      </c>
      <c r="V24" s="844">
        <v>14</v>
      </c>
      <c r="W24" s="844">
        <v>9</v>
      </c>
    </row>
    <row r="25" spans="3:23" ht="16.5" hidden="1">
      <c r="C25" s="1637" t="s">
        <v>1292</v>
      </c>
      <c r="D25" s="1638">
        <f>IFERROR((Indexador!J49+Indexador!P49)*Resultado!D26/(Resultado!D25+Resultado!D26),0)</f>
        <v>0</v>
      </c>
      <c r="E25" s="1615">
        <f t="shared" ca="1" si="0"/>
        <v>0</v>
      </c>
      <c r="F25" s="1639" t="s">
        <v>2236</v>
      </c>
      <c r="G25" s="1640" t="s">
        <v>2270</v>
      </c>
      <c r="H25" s="1641">
        <f>IFERROR(VLOOKUP(Financeiros[[#This Row],[Tipo]],RefTabTipo[],2,FALSE),0)</f>
        <v>22</v>
      </c>
      <c r="I25" s="1642">
        <f>IFERROR(VLOOKUP(Financeiros[[#This Row],[Tipo]],RefTabTipo[],3,FALSE),0)</f>
        <v>60</v>
      </c>
      <c r="J25" s="1643">
        <f>IFERROR(VLOOKUP(Financeiros[[#This Row],[Tipo]],RefTabTipo[],4,FALSE),0)</f>
        <v>999</v>
      </c>
      <c r="K25" s="1644">
        <f>IFERROR(VLOOKUP(Financeiros[[#This Row],[Grupo Tarifário]],RefTabGrupoTarifa[],2,FALSE),0)</f>
        <v>1</v>
      </c>
      <c r="L25" s="1641">
        <f>IFERROR(VLOOKUP(Financeiros[[#This Row],[Grupo Tarifário]],RefTabGrupoTarifa[],3,FALSE),0)</f>
        <v>2</v>
      </c>
      <c r="M25" s="1644">
        <f>IFERROR(VLOOKUP(Financeiros[[#This Row],[Grupo Tarifário]],RefTabGrupoTarifa[],4,FALSE),0)</f>
        <v>9</v>
      </c>
      <c r="T25" s="844" t="s">
        <v>2256</v>
      </c>
      <c r="U25" s="844">
        <v>2</v>
      </c>
      <c r="V25" s="844">
        <v>11</v>
      </c>
      <c r="W25" s="844">
        <v>9</v>
      </c>
    </row>
    <row r="26" spans="3:23" ht="16.5" hidden="1">
      <c r="C26" s="1648" t="s">
        <v>1293</v>
      </c>
      <c r="D26" s="1649">
        <v>0</v>
      </c>
      <c r="E26" s="1615">
        <f t="shared" ca="1" si="0"/>
        <v>0</v>
      </c>
      <c r="F26" s="1599" t="s">
        <v>2231</v>
      </c>
      <c r="G26" s="1620" t="s">
        <v>104</v>
      </c>
      <c r="H26" s="1600">
        <f>IFERROR(VLOOKUP(Financeiros[[#This Row],[Tipo]],RefTabTipo[],2,FALSE),0)</f>
        <v>22</v>
      </c>
      <c r="I26" s="1626">
        <f>IFERROR(VLOOKUP(Financeiros[[#This Row],[Tipo]],RefTabTipo[],3,FALSE),0)</f>
        <v>60</v>
      </c>
      <c r="J26" s="1601">
        <f>IFERROR(VLOOKUP(Financeiros[[#This Row],[Tipo]],RefTabTipo[],4,FALSE),0)</f>
        <v>167</v>
      </c>
      <c r="K26" s="1632">
        <f>IFERROR(VLOOKUP(Financeiros[[#This Row],[Grupo Tarifário]],RefTabGrupoTarifa[],2,FALSE),0)</f>
        <v>4</v>
      </c>
      <c r="L26" s="1600">
        <f>IFERROR(VLOOKUP(Financeiros[[#This Row],[Grupo Tarifário]],RefTabGrupoTarifa[],3,FALSE),0)</f>
        <v>999</v>
      </c>
      <c r="M26" s="1632">
        <f>IFERROR(VLOOKUP(Financeiros[[#This Row],[Grupo Tarifário]],RefTabGrupoTarifa[],4,FALSE),0)</f>
        <v>9</v>
      </c>
      <c r="T26" s="844" t="s">
        <v>2257</v>
      </c>
      <c r="U26" s="844">
        <v>2</v>
      </c>
      <c r="V26" s="844">
        <v>30</v>
      </c>
      <c r="W26" s="844">
        <v>9</v>
      </c>
    </row>
    <row r="27" spans="3:23" ht="16.5" hidden="1">
      <c r="C27" s="1648" t="s">
        <v>2068</v>
      </c>
      <c r="D27" s="1649"/>
      <c r="E27" s="1615">
        <f t="shared" ca="1" si="0"/>
        <v>0</v>
      </c>
      <c r="F27" s="1599" t="s">
        <v>2236</v>
      </c>
      <c r="G27" s="1620" t="s">
        <v>2249</v>
      </c>
      <c r="H27" s="1600">
        <f>IFERROR(VLOOKUP(Financeiros[[#This Row],[Tipo]],RefTabTipo[],2,FALSE),0)</f>
        <v>22</v>
      </c>
      <c r="I27" s="1626">
        <f>IFERROR(VLOOKUP(Financeiros[[#This Row],[Tipo]],RefTabTipo[],3,FALSE),0)</f>
        <v>60</v>
      </c>
      <c r="J27" s="1601">
        <f>IFERROR(VLOOKUP(Financeiros[[#This Row],[Tipo]],RefTabTipo[],4,FALSE),0)</f>
        <v>999</v>
      </c>
      <c r="K27" s="1632">
        <f>IFERROR(VLOOKUP(Financeiros[[#This Row],[Grupo Tarifário]],RefTabGrupoTarifa[],2,FALSE),0)</f>
        <v>3</v>
      </c>
      <c r="L27" s="1600">
        <f>IFERROR(VLOOKUP(Financeiros[[#This Row],[Grupo Tarifário]],RefTabGrupoTarifa[],3,FALSE),0)</f>
        <v>28</v>
      </c>
      <c r="M27" s="1632">
        <f>IFERROR(VLOOKUP(Financeiros[[#This Row],[Grupo Tarifário]],RefTabGrupoTarifa[],4,FALSE),0)</f>
        <v>9</v>
      </c>
      <c r="T27" s="844" t="s">
        <v>2258</v>
      </c>
      <c r="U27" s="844">
        <v>2</v>
      </c>
      <c r="V27" s="844">
        <v>9</v>
      </c>
      <c r="W27" s="844">
        <v>9</v>
      </c>
    </row>
    <row r="28" spans="3:23" ht="16.5" hidden="1">
      <c r="C28" s="1613" t="s">
        <v>2046</v>
      </c>
      <c r="D28" s="1441"/>
      <c r="E28" s="1615">
        <f t="shared" ca="1" si="0"/>
        <v>0</v>
      </c>
      <c r="F28" s="1593" t="s">
        <v>2236</v>
      </c>
      <c r="G28" s="1617" t="s">
        <v>2257</v>
      </c>
      <c r="H28" s="1598">
        <f>IFERROR(VLOOKUP(Financeiros[[#This Row],[Tipo]],RefTabTipo[],2,FALSE),0)</f>
        <v>22</v>
      </c>
      <c r="I28" s="1623">
        <f>IFERROR(VLOOKUP(Financeiros[[#This Row],[Tipo]],RefTabTipo[],3,FALSE),0)</f>
        <v>60</v>
      </c>
      <c r="J28" s="1598">
        <f>IFERROR(VLOOKUP(Financeiros[[#This Row],[Tipo]],RefTabTipo[],4,FALSE),0)</f>
        <v>999</v>
      </c>
      <c r="K28" s="1623">
        <f>IFERROR(VLOOKUP(Financeiros[[#This Row],[Grupo Tarifário]],RefTabGrupoTarifa[],2,FALSE),0)</f>
        <v>2</v>
      </c>
      <c r="L28" s="1598">
        <f>IFERROR(VLOOKUP(Financeiros[[#This Row],[Grupo Tarifário]],RefTabGrupoTarifa[],3,FALSE),0)</f>
        <v>30</v>
      </c>
      <c r="M28" s="1623">
        <f>IFERROR(VLOOKUP(Financeiros[[#This Row],[Grupo Tarifário]],RefTabGrupoTarifa[],4,FALSE),0)</f>
        <v>9</v>
      </c>
      <c r="T28" s="844" t="s">
        <v>2259</v>
      </c>
      <c r="U28" s="844">
        <v>2</v>
      </c>
      <c r="V28" s="844">
        <v>10</v>
      </c>
      <c r="W28" s="844">
        <v>9</v>
      </c>
    </row>
    <row r="29" spans="3:23" ht="16.5">
      <c r="C29" s="1614" t="s">
        <v>1294</v>
      </c>
      <c r="D29" s="1441">
        <f>(Indexador!H49)</f>
        <v>-438582.27763182262</v>
      </c>
      <c r="E29" s="1615">
        <f t="shared" ca="1" si="0"/>
        <v>-9.3680125309042774E-3</v>
      </c>
      <c r="F29" s="1654" t="s">
        <v>2238</v>
      </c>
      <c r="G29" s="1655" t="s">
        <v>2268</v>
      </c>
      <c r="H29" s="1656">
        <f>IFERROR(VLOOKUP(Financeiros[[#This Row],[Tipo]],RefTabTipo[],2,FALSE),0)</f>
        <v>22</v>
      </c>
      <c r="I29" s="1623">
        <f>IFERROR(VLOOKUP(Financeiros[[#This Row],[Tipo]],RefTabTipo[],3,FALSE),0)</f>
        <v>60</v>
      </c>
      <c r="J29" s="1598">
        <f>IFERROR(VLOOKUP(Financeiros[[#This Row],[Tipo]],RefTabTipo[],4,FALSE),0)</f>
        <v>178</v>
      </c>
      <c r="K29" s="1657">
        <f>IFERROR(VLOOKUP(Financeiros[[#This Row],[Grupo Tarifário]],RefTabGrupoTarifa[],2,FALSE),0)</f>
        <v>1</v>
      </c>
      <c r="L29" s="1656">
        <f>IFERROR(VLOOKUP(Financeiros[[#This Row],[Grupo Tarifário]],RefTabGrupoTarifa[],3,FALSE),0)</f>
        <v>7</v>
      </c>
      <c r="M29" s="1657">
        <f>IFERROR(VLOOKUP(Financeiros[[#This Row],[Grupo Tarifário]],RefTabGrupoTarifa[],4,FALSE),0)</f>
        <v>9</v>
      </c>
      <c r="T29" s="844" t="s">
        <v>2260</v>
      </c>
      <c r="U29" s="844">
        <v>2</v>
      </c>
      <c r="V29" s="844">
        <v>24</v>
      </c>
      <c r="W29" s="844">
        <v>9</v>
      </c>
    </row>
    <row r="30" spans="3:23" ht="16.5">
      <c r="C30" s="1614" t="s">
        <v>1295</v>
      </c>
      <c r="D30" s="1441">
        <f ca="1">-LnkTXTISubvencaoPB</f>
        <v>-17867394.383257363</v>
      </c>
      <c r="E30" s="1615">
        <f t="shared" ca="1" si="0"/>
        <v>-0.38164326972070695</v>
      </c>
      <c r="F30" s="1654" t="s">
        <v>2627</v>
      </c>
      <c r="G30" s="1655" t="s">
        <v>104</v>
      </c>
      <c r="H30" s="1656">
        <f>IFERROR(VLOOKUP(Financeiros[[#This Row],[Tipo]],RefTabTipo[],2,FALSE),0)</f>
        <v>22</v>
      </c>
      <c r="I30" s="1623">
        <f>IFERROR(VLOOKUP(Financeiros[[#This Row],[Tipo]],RefTabTipo[],3,FALSE),0)</f>
        <v>60</v>
      </c>
      <c r="J30" s="1598">
        <f>IFERROR(VLOOKUP(Financeiros[[#This Row],[Tipo]],RefTabTipo[],4,FALSE),0)</f>
        <v>242</v>
      </c>
      <c r="K30" s="1657">
        <f>IFERROR(VLOOKUP(Financeiros[[#This Row],[Grupo Tarifário]],RefTabGrupoTarifa[],2,FALSE),0)</f>
        <v>4</v>
      </c>
      <c r="L30" s="1656">
        <f>IFERROR(VLOOKUP(Financeiros[[#This Row],[Grupo Tarifário]],RefTabGrupoTarifa[],3,FALSE),0)</f>
        <v>999</v>
      </c>
      <c r="M30" s="1657">
        <f>IFERROR(VLOOKUP(Financeiros[[#This Row],[Grupo Tarifário]],RefTabGrupoTarifa[],4,FALSE),0)</f>
        <v>9</v>
      </c>
      <c r="T30" s="844" t="s">
        <v>2261</v>
      </c>
      <c r="U30" s="844">
        <v>2</v>
      </c>
      <c r="V30" s="844">
        <v>8</v>
      </c>
      <c r="W30" s="844">
        <v>9</v>
      </c>
    </row>
    <row r="31" spans="3:23" ht="16.5">
      <c r="C31" s="1613" t="s">
        <v>1296</v>
      </c>
      <c r="D31" s="1441">
        <f>IFERROR(-ABS(Indexador!$L$49),0)</f>
        <v>-494687.61716015736</v>
      </c>
      <c r="E31" s="1615">
        <f t="shared" ca="1" si="0"/>
        <v>-1.0566409161497958E-2</v>
      </c>
      <c r="F31" s="1654" t="s">
        <v>2236</v>
      </c>
      <c r="G31" s="1655" t="s">
        <v>2257</v>
      </c>
      <c r="H31" s="1656">
        <f>IFERROR(VLOOKUP(Financeiros[[#This Row],[Tipo]],RefTabTipo[],2,FALSE),0)</f>
        <v>22</v>
      </c>
      <c r="I31" s="1623">
        <f>IFERROR(VLOOKUP(Financeiros[[#This Row],[Tipo]],RefTabTipo[],3,FALSE),0)</f>
        <v>60</v>
      </c>
      <c r="J31" s="1598">
        <f>IFERROR(VLOOKUP(Financeiros[[#This Row],[Tipo]],RefTabTipo[],4,FALSE),0)</f>
        <v>999</v>
      </c>
      <c r="K31" s="1657">
        <f>IFERROR(VLOOKUP(Financeiros[[#This Row],[Grupo Tarifário]],RefTabGrupoTarifa[],2,FALSE),0)</f>
        <v>2</v>
      </c>
      <c r="L31" s="1656">
        <f>IFERROR(VLOOKUP(Financeiros[[#This Row],[Grupo Tarifário]],RefTabGrupoTarifa[],3,FALSE),0)</f>
        <v>30</v>
      </c>
      <c r="M31" s="1657">
        <f>IFERROR(VLOOKUP(Financeiros[[#This Row],[Grupo Tarifário]],RefTabGrupoTarifa[],4,FALSE),0)</f>
        <v>9</v>
      </c>
      <c r="N31" s="92"/>
      <c r="T31" s="844" t="s">
        <v>2262</v>
      </c>
      <c r="U31" s="844">
        <v>3</v>
      </c>
      <c r="V31" s="844">
        <v>40</v>
      </c>
      <c r="W31" s="844">
        <v>9</v>
      </c>
    </row>
    <row r="32" spans="3:23" ht="16.5" hidden="1">
      <c r="C32" s="1613" t="s">
        <v>1297</v>
      </c>
      <c r="D32" s="1441"/>
      <c r="E32" s="1615">
        <f t="shared" ca="1" si="0"/>
        <v>0</v>
      </c>
      <c r="F32" s="1654" t="s">
        <v>2233</v>
      </c>
      <c r="G32" s="1655" t="s">
        <v>104</v>
      </c>
      <c r="H32" s="1656">
        <f>IFERROR(VLOOKUP(Financeiros[[#This Row],[Tipo]],RefTabTipo[],2,FALSE),0)</f>
        <v>22</v>
      </c>
      <c r="I32" s="1623">
        <f>IFERROR(VLOOKUP(Financeiros[[#This Row],[Tipo]],RefTabTipo[],3,FALSE),0)</f>
        <v>60</v>
      </c>
      <c r="J32" s="1598">
        <f>IFERROR(VLOOKUP(Financeiros[[#This Row],[Tipo]],RefTabTipo[],4,FALSE),0)</f>
        <v>120</v>
      </c>
      <c r="K32" s="1657">
        <f>IFERROR(VLOOKUP(Financeiros[[#This Row],[Grupo Tarifário]],RefTabGrupoTarifa[],2,FALSE),0)</f>
        <v>4</v>
      </c>
      <c r="L32" s="1656">
        <f>IFERROR(VLOOKUP(Financeiros[[#This Row],[Grupo Tarifário]],RefTabGrupoTarifa[],3,FALSE),0)</f>
        <v>999</v>
      </c>
      <c r="M32" s="1657">
        <f>IFERROR(VLOOKUP(Financeiros[[#This Row],[Grupo Tarifário]],RefTabGrupoTarifa[],4,FALSE),0)</f>
        <v>9</v>
      </c>
      <c r="N32" s="92"/>
      <c r="T32" s="844" t="s">
        <v>104</v>
      </c>
      <c r="U32" s="844">
        <v>4</v>
      </c>
      <c r="V32" s="844">
        <v>999</v>
      </c>
      <c r="W32" s="844">
        <v>9</v>
      </c>
    </row>
    <row r="33" spans="3:23" ht="16.5" hidden="1">
      <c r="C33" s="1614" t="s">
        <v>1298</v>
      </c>
      <c r="D33" s="1441">
        <f>'Tributos suprimento'!$E$18</f>
        <v>0</v>
      </c>
      <c r="E33" s="1615">
        <f t="shared" ca="1" si="0"/>
        <v>0</v>
      </c>
      <c r="F33" s="1654" t="s">
        <v>2236</v>
      </c>
      <c r="G33" s="1655" t="s">
        <v>2268</v>
      </c>
      <c r="H33" s="1656">
        <f>IFERROR(VLOOKUP(Financeiros[[#This Row],[Tipo]],RefTabTipo[],2,FALSE),0)</f>
        <v>22</v>
      </c>
      <c r="I33" s="1623">
        <f>IFERROR(VLOOKUP(Financeiros[[#This Row],[Tipo]],RefTabTipo[],3,FALSE),0)</f>
        <v>60</v>
      </c>
      <c r="J33" s="1598">
        <f>IFERROR(VLOOKUP(Financeiros[[#This Row],[Tipo]],RefTabTipo[],4,FALSE),0)</f>
        <v>999</v>
      </c>
      <c r="K33" s="1657">
        <f>IFERROR(VLOOKUP(Financeiros[[#This Row],[Grupo Tarifário]],RefTabGrupoTarifa[],2,FALSE),0)</f>
        <v>1</v>
      </c>
      <c r="L33" s="1656">
        <f>IFERROR(VLOOKUP(Financeiros[[#This Row],[Grupo Tarifário]],RefTabGrupoTarifa[],3,FALSE),0)</f>
        <v>7</v>
      </c>
      <c r="M33" s="1657">
        <f>IFERROR(VLOOKUP(Financeiros[[#This Row],[Grupo Tarifário]],RefTabGrupoTarifa[],4,FALSE),0)</f>
        <v>9</v>
      </c>
      <c r="N33" s="92"/>
      <c r="T33" s="844" t="s">
        <v>2263</v>
      </c>
      <c r="U33" s="844">
        <v>5</v>
      </c>
      <c r="V33" s="844">
        <v>999</v>
      </c>
      <c r="W33" s="844">
        <v>9</v>
      </c>
    </row>
    <row r="34" spans="3:23" ht="16.5" hidden="1">
      <c r="C34" s="1614" t="s">
        <v>1299</v>
      </c>
      <c r="D34" s="1441">
        <f>'Tributos suprimento'!$E$19</f>
        <v>0</v>
      </c>
      <c r="E34" s="1615">
        <f t="shared" ca="1" si="0"/>
        <v>0</v>
      </c>
      <c r="F34" s="1654" t="s">
        <v>2236</v>
      </c>
      <c r="G34" s="1655" t="s">
        <v>2257</v>
      </c>
      <c r="H34" s="1656">
        <f>IFERROR(VLOOKUP(Financeiros[[#This Row],[Tipo]],RefTabTipo[],2,FALSE),0)</f>
        <v>22</v>
      </c>
      <c r="I34" s="1623">
        <f>IFERROR(VLOOKUP(Financeiros[[#This Row],[Tipo]],RefTabTipo[],3,FALSE),0)</f>
        <v>60</v>
      </c>
      <c r="J34" s="1598">
        <f>IFERROR(VLOOKUP(Financeiros[[#This Row],[Tipo]],RefTabTipo[],4,FALSE),0)</f>
        <v>999</v>
      </c>
      <c r="K34" s="1657">
        <f>IFERROR(VLOOKUP(Financeiros[[#This Row],[Grupo Tarifário]],RefTabGrupoTarifa[],2,FALSE),0)</f>
        <v>2</v>
      </c>
      <c r="L34" s="1656">
        <f>IFERROR(VLOOKUP(Financeiros[[#This Row],[Grupo Tarifário]],RefTabGrupoTarifa[],3,FALSE),0)</f>
        <v>30</v>
      </c>
      <c r="M34" s="1657">
        <f>IFERROR(VLOOKUP(Financeiros[[#This Row],[Grupo Tarifário]],RefTabGrupoTarifa[],4,FALSE),0)</f>
        <v>9</v>
      </c>
      <c r="T34" s="844" t="s">
        <v>2264</v>
      </c>
      <c r="U34" s="844">
        <v>1</v>
      </c>
      <c r="V34" s="844">
        <v>1</v>
      </c>
      <c r="W34" s="844">
        <v>9</v>
      </c>
    </row>
    <row r="35" spans="3:23" ht="16.5" hidden="1">
      <c r="C35" s="1614" t="s">
        <v>1300</v>
      </c>
      <c r="D35" s="1441"/>
      <c r="E35" s="1615">
        <f t="shared" ca="1" si="0"/>
        <v>0</v>
      </c>
      <c r="F35" s="1654" t="s">
        <v>2236</v>
      </c>
      <c r="G35" s="1655" t="s">
        <v>2252</v>
      </c>
      <c r="H35" s="1656">
        <f>IFERROR(VLOOKUP(Financeiros[[#This Row],[Tipo]],RefTabTipo[],2,FALSE),0)</f>
        <v>22</v>
      </c>
      <c r="I35" s="1623">
        <f>IFERROR(VLOOKUP(Financeiros[[#This Row],[Tipo]],RefTabTipo[],3,FALSE),0)</f>
        <v>60</v>
      </c>
      <c r="J35" s="1598">
        <f>IFERROR(VLOOKUP(Financeiros[[#This Row],[Tipo]],RefTabTipo[],4,FALSE),0)</f>
        <v>999</v>
      </c>
      <c r="K35" s="1657">
        <f>IFERROR(VLOOKUP(Financeiros[[#This Row],[Grupo Tarifário]],RefTabGrupoTarifa[],2,FALSE),0)</f>
        <v>3</v>
      </c>
      <c r="L35" s="1656">
        <f>IFERROR(VLOOKUP(Financeiros[[#This Row],[Grupo Tarifário]],RefTabGrupoTarifa[],3,FALSE),0)</f>
        <v>19</v>
      </c>
      <c r="M35" s="1657">
        <f>IFERROR(VLOOKUP(Financeiros[[#This Row],[Grupo Tarifário]],RefTabGrupoTarifa[],4,FALSE),0)</f>
        <v>9</v>
      </c>
      <c r="T35" s="844" t="s">
        <v>2265</v>
      </c>
      <c r="U35" s="844">
        <v>1</v>
      </c>
      <c r="V35" s="844">
        <v>22</v>
      </c>
      <c r="W35" s="844">
        <v>9</v>
      </c>
    </row>
    <row r="36" spans="3:23" ht="16.5" hidden="1">
      <c r="C36" s="1614" t="s">
        <v>1301</v>
      </c>
      <c r="D36" s="1658"/>
      <c r="E36" s="1615">
        <f t="shared" ca="1" si="0"/>
        <v>0</v>
      </c>
      <c r="F36" s="1654" t="s">
        <v>2236</v>
      </c>
      <c r="G36" s="1655" t="s">
        <v>104</v>
      </c>
      <c r="H36" s="1656">
        <f>IFERROR(VLOOKUP(Financeiros[[#This Row],[Tipo]],RefTabTipo[],2,FALSE),0)</f>
        <v>22</v>
      </c>
      <c r="I36" s="1623">
        <f>IFERROR(VLOOKUP(Financeiros[[#This Row],[Tipo]],RefTabTipo[],3,FALSE),0)</f>
        <v>60</v>
      </c>
      <c r="J36" s="1598">
        <f>IFERROR(VLOOKUP(Financeiros[[#This Row],[Tipo]],RefTabTipo[],4,FALSE),0)</f>
        <v>999</v>
      </c>
      <c r="K36" s="1657">
        <f>IFERROR(VLOOKUP(Financeiros[[#This Row],[Grupo Tarifário]],RefTabGrupoTarifa[],2,FALSE),0)</f>
        <v>4</v>
      </c>
      <c r="L36" s="1656">
        <f>IFERROR(VLOOKUP(Financeiros[[#This Row],[Grupo Tarifário]],RefTabGrupoTarifa[],3,FALSE),0)</f>
        <v>999</v>
      </c>
      <c r="M36" s="1657">
        <f>IFERROR(VLOOKUP(Financeiros[[#This Row],[Grupo Tarifário]],RefTabGrupoTarifa[],4,FALSE),0)</f>
        <v>9</v>
      </c>
      <c r="T36" s="844" t="s">
        <v>2266</v>
      </c>
      <c r="U36" s="844">
        <v>1</v>
      </c>
      <c r="V36" s="844">
        <v>4</v>
      </c>
      <c r="W36" s="844">
        <v>9</v>
      </c>
    </row>
    <row r="37" spans="3:23" ht="16.5" hidden="1">
      <c r="C37" s="1614" t="s">
        <v>2615</v>
      </c>
      <c r="D37" s="1765"/>
      <c r="E37" s="1615">
        <f t="shared" ca="1" si="0"/>
        <v>0</v>
      </c>
      <c r="F37" s="1654"/>
      <c r="G37" s="1655"/>
      <c r="H37" s="1656"/>
      <c r="I37" s="1623"/>
      <c r="J37" s="1598"/>
      <c r="K37" s="1657"/>
      <c r="L37" s="1656"/>
      <c r="M37" s="1657"/>
      <c r="T37" s="844" t="s">
        <v>2267</v>
      </c>
      <c r="U37" s="844">
        <v>1</v>
      </c>
      <c r="V37" s="844">
        <v>3</v>
      </c>
      <c r="W37" s="844">
        <v>9</v>
      </c>
    </row>
    <row r="38" spans="3:23" ht="16.5" hidden="1">
      <c r="C38" s="1614" t="s">
        <v>1302</v>
      </c>
      <c r="D38" s="1441"/>
      <c r="E38" s="1615">
        <f t="shared" ca="1" si="0"/>
        <v>0</v>
      </c>
      <c r="F38" s="1654" t="s">
        <v>2236</v>
      </c>
      <c r="G38" s="1655" t="s">
        <v>2257</v>
      </c>
      <c r="H38" s="1656">
        <f>IFERROR(VLOOKUP(Financeiros[[#This Row],[Tipo]],RefTabTipo[],2,FALSE),0)</f>
        <v>22</v>
      </c>
      <c r="I38" s="1623">
        <f>IFERROR(VLOOKUP(Financeiros[[#This Row],[Tipo]],RefTabTipo[],3,FALSE),0)</f>
        <v>60</v>
      </c>
      <c r="J38" s="1598">
        <f>IFERROR(VLOOKUP(Financeiros[[#This Row],[Tipo]],RefTabTipo[],4,FALSE),0)</f>
        <v>999</v>
      </c>
      <c r="K38" s="1657">
        <f>IFERROR(VLOOKUP(Financeiros[[#This Row],[Grupo Tarifário]],RefTabGrupoTarifa[],2,FALSE),0)</f>
        <v>2</v>
      </c>
      <c r="L38" s="1656">
        <f>IFERROR(VLOOKUP(Financeiros[[#This Row],[Grupo Tarifário]],RefTabGrupoTarifa[],3,FALSE),0)</f>
        <v>30</v>
      </c>
      <c r="M38" s="1657">
        <f>IFERROR(VLOOKUP(Financeiros[[#This Row],[Grupo Tarifário]],RefTabGrupoTarifa[],4,FALSE),0)</f>
        <v>9</v>
      </c>
      <c r="T38" s="844" t="s">
        <v>2268</v>
      </c>
      <c r="U38" s="844">
        <v>1</v>
      </c>
      <c r="V38" s="844">
        <v>7</v>
      </c>
      <c r="W38" s="844">
        <v>9</v>
      </c>
    </row>
    <row r="39" spans="3:23" ht="16.5" hidden="1">
      <c r="C39" s="1614" t="s">
        <v>1303</v>
      </c>
      <c r="D39" s="1441">
        <f>-ABS(PIS_COFINS!$R$4)</f>
        <v>0</v>
      </c>
      <c r="E39" s="1615">
        <f t="shared" ca="1" si="0"/>
        <v>0</v>
      </c>
      <c r="F39" s="1654" t="s">
        <v>2235</v>
      </c>
      <c r="G39" s="1655" t="s">
        <v>2242</v>
      </c>
      <c r="H39" s="1656">
        <f>IFERROR(VLOOKUP(Financeiros[[#This Row],[Tipo]],RefTabTipo[],2,FALSE),0)</f>
        <v>22</v>
      </c>
      <c r="I39" s="1623">
        <f>IFERROR(VLOOKUP(Financeiros[[#This Row],[Tipo]],RefTabTipo[],3,FALSE),0)</f>
        <v>60</v>
      </c>
      <c r="J39" s="1598">
        <f>IFERROR(VLOOKUP(Financeiros[[#This Row],[Tipo]],RefTabTipo[],4,FALSE),0)</f>
        <v>179</v>
      </c>
      <c r="K39" s="1657">
        <f>IFERROR(VLOOKUP(Financeiros[[#This Row],[Grupo Tarifário]],RefTabGrupoTarifa[],2,FALSE),0)</f>
        <v>99</v>
      </c>
      <c r="L39" s="1656">
        <f>IFERROR(VLOOKUP(Financeiros[[#This Row],[Grupo Tarifário]],RefTabGrupoTarifa[],3,FALSE),0)</f>
        <v>999</v>
      </c>
      <c r="M39" s="1657">
        <f>IFERROR(VLOOKUP(Financeiros[[#This Row],[Grupo Tarifário]],RefTabGrupoTarifa[],4,FALSE),0)</f>
        <v>3</v>
      </c>
      <c r="T39" s="844" t="s">
        <v>2269</v>
      </c>
      <c r="U39" s="844">
        <v>1</v>
      </c>
      <c r="V39" s="844">
        <v>23</v>
      </c>
      <c r="W39" s="844">
        <v>9</v>
      </c>
    </row>
    <row r="40" spans="3:23" ht="16.5">
      <c r="C40" s="1614" t="s">
        <v>2617</v>
      </c>
      <c r="D40" s="1441">
        <f>-D9</f>
        <v>-241337.5911946921</v>
      </c>
      <c r="E40" s="1615">
        <f t="shared" ca="1" si="0"/>
        <v>-5.1549132142271643E-3</v>
      </c>
      <c r="F40" s="1654" t="s">
        <v>2236</v>
      </c>
      <c r="G40" s="1655" t="s">
        <v>2268</v>
      </c>
      <c r="H40" s="1656">
        <f>IFERROR(VLOOKUP(Financeiros[[#This Row],[Tipo]],RefTabTipo[],2,FALSE),0)</f>
        <v>22</v>
      </c>
      <c r="I40" s="1623">
        <f>IFERROR(VLOOKUP(Financeiros[[#This Row],[Tipo]],RefTabTipo[],3,FALSE),0)</f>
        <v>60</v>
      </c>
      <c r="J40" s="1598">
        <f>IFERROR(VLOOKUP(Financeiros[[#This Row],[Tipo]],RefTabTipo[],4,FALSE),0)</f>
        <v>999</v>
      </c>
      <c r="K40" s="1657">
        <f>IFERROR(VLOOKUP(Financeiros[[#This Row],[Grupo Tarifário]],RefTabGrupoTarifa[],2,FALSE),0)</f>
        <v>1</v>
      </c>
      <c r="L40" s="1656">
        <f>IFERROR(VLOOKUP(Financeiros[[#This Row],[Grupo Tarifário]],RefTabGrupoTarifa[],3,FALSE),0)</f>
        <v>7</v>
      </c>
      <c r="M40" s="1657">
        <f>IFERROR(VLOOKUP(Financeiros[[#This Row],[Grupo Tarifário]],RefTabGrupoTarifa[],4,FALSE),0)</f>
        <v>9</v>
      </c>
      <c r="T40" s="844" t="s">
        <v>2270</v>
      </c>
      <c r="U40" s="844">
        <v>1</v>
      </c>
      <c r="V40" s="844">
        <v>2</v>
      </c>
      <c r="W40" s="844">
        <v>9</v>
      </c>
    </row>
    <row r="41" spans="3:23" ht="16.5">
      <c r="C41" s="1614" t="s">
        <v>2618</v>
      </c>
      <c r="D41" s="1441">
        <f ca="1">-(D10+D12)</f>
        <v>-370152.83516629034</v>
      </c>
      <c r="E41" s="1615">
        <f t="shared" ca="1" si="0"/>
        <v>-7.9063760097905778E-3</v>
      </c>
      <c r="F41" s="1654" t="s">
        <v>2236</v>
      </c>
      <c r="G41" s="1655" t="s">
        <v>2257</v>
      </c>
      <c r="H41" s="1656">
        <f>IFERROR(VLOOKUP(Financeiros[[#This Row],[Tipo]],RefTabTipo[],2,FALSE),0)</f>
        <v>22</v>
      </c>
      <c r="I41" s="1623">
        <f>IFERROR(VLOOKUP(Financeiros[[#This Row],[Tipo]],RefTabTipo[],3,FALSE),0)</f>
        <v>60</v>
      </c>
      <c r="J41" s="1598">
        <f>IFERROR(VLOOKUP(Financeiros[[#This Row],[Tipo]],RefTabTipo[],4,FALSE),0)</f>
        <v>999</v>
      </c>
      <c r="K41" s="1657">
        <f>IFERROR(VLOOKUP(Financeiros[[#This Row],[Grupo Tarifário]],RefTabGrupoTarifa[],2,FALSE),0)</f>
        <v>2</v>
      </c>
      <c r="L41" s="1656">
        <f>IFERROR(VLOOKUP(Financeiros[[#This Row],[Grupo Tarifário]],RefTabGrupoTarifa[],3,FALSE),0)</f>
        <v>30</v>
      </c>
      <c r="M41" s="1657">
        <f>IFERROR(VLOOKUP(Financeiros[[#This Row],[Grupo Tarifário]],RefTabGrupoTarifa[],4,FALSE),0)</f>
        <v>9</v>
      </c>
      <c r="T41" s="844" t="s">
        <v>2271</v>
      </c>
      <c r="U41" s="844">
        <v>1</v>
      </c>
      <c r="V41" s="844">
        <v>1</v>
      </c>
      <c r="W41" s="844">
        <v>9</v>
      </c>
    </row>
    <row r="42" spans="3:23" ht="16.5" hidden="1">
      <c r="C42" s="1614" t="s">
        <v>1304</v>
      </c>
      <c r="D42" s="1441">
        <f>'Financeiros Mitigação'!$D$12</f>
        <v>0</v>
      </c>
      <c r="E42" s="1615">
        <f t="shared" ca="1" si="0"/>
        <v>0</v>
      </c>
      <c r="F42" s="1654" t="s">
        <v>2236</v>
      </c>
      <c r="G42" s="1655" t="s">
        <v>104</v>
      </c>
      <c r="H42" s="1656">
        <f>IFERROR(VLOOKUP(Financeiros[[#This Row],[Tipo]],RefTabTipo[],2,FALSE),0)</f>
        <v>22</v>
      </c>
      <c r="I42" s="1623">
        <f>IFERROR(VLOOKUP(Financeiros[[#This Row],[Tipo]],RefTabTipo[],3,FALSE),0)</f>
        <v>60</v>
      </c>
      <c r="J42" s="1598">
        <f>IFERROR(VLOOKUP(Financeiros[[#This Row],[Tipo]],RefTabTipo[],4,FALSE),0)</f>
        <v>999</v>
      </c>
      <c r="K42" s="1657">
        <f>IFERROR(VLOOKUP(Financeiros[[#This Row],[Grupo Tarifário]],RefTabGrupoTarifa[],2,FALSE),0)</f>
        <v>4</v>
      </c>
      <c r="L42" s="1656">
        <f>IFERROR(VLOOKUP(Financeiros[[#This Row],[Grupo Tarifário]],RefTabGrupoTarifa[],3,FALSE),0)</f>
        <v>999</v>
      </c>
      <c r="M42" s="1657">
        <f>IFERROR(VLOOKUP(Financeiros[[#This Row],[Grupo Tarifário]],RefTabGrupoTarifa[],4,FALSE),0)</f>
        <v>9</v>
      </c>
      <c r="T42" s="844" t="s">
        <v>2272</v>
      </c>
      <c r="U42" s="844">
        <v>1</v>
      </c>
      <c r="V42" s="844">
        <v>21</v>
      </c>
      <c r="W42" s="844">
        <v>9</v>
      </c>
    </row>
    <row r="43" spans="3:23" ht="16.5" hidden="1">
      <c r="C43" s="1614" t="s">
        <v>2276</v>
      </c>
      <c r="D43" s="1441"/>
      <c r="E43" s="1615">
        <f t="shared" ca="1" si="0"/>
        <v>0</v>
      </c>
      <c r="F43" s="1654" t="s">
        <v>2229</v>
      </c>
      <c r="G43" s="1655" t="s">
        <v>104</v>
      </c>
      <c r="H43" s="1659">
        <f>IFERROR(VLOOKUP(Financeiros[[#This Row],[Tipo]],RefTabTipo[],2,FALSE),0)</f>
        <v>22</v>
      </c>
      <c r="I43" s="1623">
        <f>IFERROR(VLOOKUP(Financeiros[[#This Row],[Tipo]],RefTabTipo[],3,FALSE),0)</f>
        <v>60</v>
      </c>
      <c r="J43" s="1598">
        <f>IFERROR(VLOOKUP(Financeiros[[#This Row],[Tipo]],RefTabTipo[],4,FALSE),0)</f>
        <v>235</v>
      </c>
      <c r="K43" s="1660">
        <f>IFERROR(VLOOKUP(Financeiros[[#This Row],[Grupo Tarifário]],RefTabGrupoTarifa[],2,FALSE),0)</f>
        <v>4</v>
      </c>
      <c r="L43" s="1659">
        <f>IFERROR(VLOOKUP(Financeiros[[#This Row],[Grupo Tarifário]],RefTabGrupoTarifa[],3,FALSE),0)</f>
        <v>999</v>
      </c>
      <c r="M43" s="1660">
        <f>IFERROR(VLOOKUP(Financeiros[[#This Row],[Grupo Tarifário]],RefTabGrupoTarifa[],4,FALSE),0)</f>
        <v>9</v>
      </c>
      <c r="T43" s="844" t="s">
        <v>2273</v>
      </c>
      <c r="U43" s="844">
        <v>1</v>
      </c>
      <c r="V43" s="844">
        <v>5</v>
      </c>
      <c r="W43" s="844">
        <v>9</v>
      </c>
    </row>
    <row r="44" spans="3:23" ht="16.5" hidden="1">
      <c r="C44" s="1614" t="s">
        <v>2614</v>
      </c>
      <c r="D44" s="1441"/>
      <c r="E44" s="1615">
        <f t="shared" ca="1" si="0"/>
        <v>0</v>
      </c>
      <c r="F44" s="1742" t="s">
        <v>2236</v>
      </c>
      <c r="G44" s="1743" t="s">
        <v>104</v>
      </c>
      <c r="H44" s="1744">
        <f>IFERROR(VLOOKUP(Financeiros[[#This Row],[Tipo]],RefTabTipo[],2,FALSE),0)</f>
        <v>22</v>
      </c>
      <c r="I44" s="1745">
        <f>IFERROR(VLOOKUP(Financeiros[[#This Row],[Tipo]],RefTabTipo[],3,FALSE),0)</f>
        <v>60</v>
      </c>
      <c r="J44" s="1746">
        <f>IFERROR(VLOOKUP(Financeiros[[#This Row],[Tipo]],RefTabTipo[],4,FALSE),0)</f>
        <v>999</v>
      </c>
      <c r="K44" s="1747">
        <f>IFERROR(VLOOKUP(Financeiros[[#This Row],[Grupo Tarifário]],RefTabGrupoTarifa[],2,FALSE),0)</f>
        <v>4</v>
      </c>
      <c r="L44" s="1744">
        <f>IFERROR(VLOOKUP(Financeiros[[#This Row],[Grupo Tarifário]],RefTabGrupoTarifa[],3,FALSE),0)</f>
        <v>999</v>
      </c>
      <c r="M44" s="1747">
        <f>IFERROR(VLOOKUP(Financeiros[[#This Row],[Grupo Tarifário]],RefTabGrupoTarifa[],4,FALSE),0)</f>
        <v>9</v>
      </c>
      <c r="T44" s="844" t="s">
        <v>2274</v>
      </c>
      <c r="U44" s="844">
        <v>1</v>
      </c>
      <c r="V44" s="844">
        <v>6</v>
      </c>
      <c r="W44" s="844">
        <v>9</v>
      </c>
    </row>
    <row r="45" spans="3:23" ht="16.5" hidden="1">
      <c r="C45" s="1614" t="s">
        <v>2619</v>
      </c>
      <c r="D45" s="1441"/>
      <c r="E45" s="1615">
        <f t="shared" ca="1" si="0"/>
        <v>0</v>
      </c>
      <c r="F45" s="1742" t="s">
        <v>2236</v>
      </c>
      <c r="G45" s="1743" t="s">
        <v>104</v>
      </c>
      <c r="H45" s="1659">
        <f>IFERROR(VLOOKUP(Financeiros[[#This Row],[Tipo]],RefTabTipo[],2,FALSE),0)</f>
        <v>22</v>
      </c>
      <c r="I45" s="1623">
        <f>IFERROR(VLOOKUP(Financeiros[[#This Row],[Tipo]],RefTabTipo[],3,FALSE),0)</f>
        <v>60</v>
      </c>
      <c r="J45" s="1598">
        <f>IFERROR(VLOOKUP(Financeiros[[#This Row],[Tipo]],RefTabTipo[],4,FALSE),0)</f>
        <v>999</v>
      </c>
      <c r="K45" s="1660">
        <f>IFERROR(VLOOKUP(Financeiros[[#This Row],[Grupo Tarifário]],RefTabGrupoTarifa[],2,FALSE),0)</f>
        <v>4</v>
      </c>
      <c r="L45" s="1659">
        <f>IFERROR(VLOOKUP(Financeiros[[#This Row],[Grupo Tarifário]],RefTabGrupoTarifa[],3,FALSE),0)</f>
        <v>999</v>
      </c>
      <c r="M45" s="1660">
        <f>IFERROR(VLOOKUP(Financeiros[[#This Row],[Grupo Tarifário]],RefTabGrupoTarifa[],4,FALSE),0)</f>
        <v>9</v>
      </c>
      <c r="T45" s="844"/>
      <c r="U45" s="844"/>
      <c r="V45" s="844"/>
      <c r="W45" s="844"/>
    </row>
    <row r="46" spans="3:23" ht="16.5" hidden="1">
      <c r="C46" s="1614" t="s">
        <v>2620</v>
      </c>
      <c r="D46" s="1441"/>
      <c r="E46" s="1615">
        <f t="shared" ca="1" si="0"/>
        <v>0</v>
      </c>
      <c r="F46" s="1742" t="s">
        <v>2236</v>
      </c>
      <c r="G46" s="1743" t="s">
        <v>104</v>
      </c>
      <c r="H46" s="1656">
        <f>IFERROR(VLOOKUP(Financeiros[[#This Row],[Tipo]],RefTabTipo[],2,FALSE),0)</f>
        <v>22</v>
      </c>
      <c r="I46" s="1623">
        <f>IFERROR(VLOOKUP(Financeiros[[#This Row],[Tipo]],RefTabTipo[],3,FALSE),0)</f>
        <v>60</v>
      </c>
      <c r="J46" s="1598">
        <f>IFERROR(VLOOKUP(Financeiros[[#This Row],[Tipo]],RefTabTipo[],4,FALSE),0)</f>
        <v>999</v>
      </c>
      <c r="K46" s="1657">
        <f>IFERROR(VLOOKUP(Financeiros[[#This Row],[Grupo Tarifário]],RefTabGrupoTarifa[],2,FALSE),0)</f>
        <v>4</v>
      </c>
      <c r="L46" s="1656">
        <f>IFERROR(VLOOKUP(Financeiros[[#This Row],[Grupo Tarifário]],RefTabGrupoTarifa[],3,FALSE),0)</f>
        <v>999</v>
      </c>
      <c r="M46" s="1657">
        <f>IFERROR(VLOOKUP(Financeiros[[#This Row],[Grupo Tarifário]],RefTabGrupoTarifa[],4,FALSE),0)</f>
        <v>9</v>
      </c>
      <c r="T46" s="844"/>
      <c r="U46" s="844"/>
      <c r="V46" s="844"/>
      <c r="W46" s="844"/>
    </row>
    <row r="47" spans="3:23" ht="16.5">
      <c r="C47" s="1614" t="s">
        <v>2623</v>
      </c>
      <c r="D47" s="1441">
        <f>Indexador!G17</f>
        <v>349379.40685705538</v>
      </c>
      <c r="E47" s="1615">
        <f t="shared" ca="1" si="0"/>
        <v>7.4626605506034173E-3</v>
      </c>
      <c r="F47" s="1654" t="s">
        <v>2236</v>
      </c>
      <c r="G47" s="1655" t="s">
        <v>2268</v>
      </c>
      <c r="H47" s="1656">
        <f>IFERROR(VLOOKUP(Financeiros[[#This Row],[Tipo]],RefTabTipo[],2,FALSE),0)</f>
        <v>22</v>
      </c>
      <c r="I47" s="1623">
        <f>IFERROR(VLOOKUP(Financeiros[[#This Row],[Tipo]],RefTabTipo[],3,FALSE),0)</f>
        <v>60</v>
      </c>
      <c r="J47" s="1598">
        <f>IFERROR(VLOOKUP(Financeiros[[#This Row],[Tipo]],RefTabTipo[],4,FALSE),0)</f>
        <v>999</v>
      </c>
      <c r="K47" s="1657">
        <f>IFERROR(VLOOKUP(Financeiros[[#This Row],[Grupo Tarifário]],RefTabGrupoTarifa[],2,FALSE),0)</f>
        <v>1</v>
      </c>
      <c r="L47" s="1656">
        <f>IFERROR(VLOOKUP(Financeiros[[#This Row],[Grupo Tarifário]],RefTabGrupoTarifa[],3,FALSE),0)</f>
        <v>7</v>
      </c>
      <c r="M47" s="1657">
        <f>IFERROR(VLOOKUP(Financeiros[[#This Row],[Grupo Tarifário]],RefTabGrupoTarifa[],4,FALSE),0)</f>
        <v>9</v>
      </c>
    </row>
    <row r="48" spans="3:23" ht="16.5">
      <c r="C48" s="1614" t="s">
        <v>2624</v>
      </c>
      <c r="D48" s="1441">
        <f>Indexador!H17</f>
        <v>338502.53521799512</v>
      </c>
      <c r="E48" s="1615">
        <f t="shared" ca="1" si="0"/>
        <v>7.2303331743994673E-3</v>
      </c>
      <c r="F48" s="1654" t="s">
        <v>2236</v>
      </c>
      <c r="G48" s="1655" t="s">
        <v>2257</v>
      </c>
      <c r="H48" s="1656">
        <f>IFERROR(VLOOKUP(Financeiros[[#This Row],[Tipo]],RefTabTipo[],2,FALSE),0)</f>
        <v>22</v>
      </c>
      <c r="I48" s="1623">
        <f>IFERROR(VLOOKUP(Financeiros[[#This Row],[Tipo]],RefTabTipo[],3,FALSE),0)</f>
        <v>60</v>
      </c>
      <c r="J48" s="1598">
        <f>IFERROR(VLOOKUP(Financeiros[[#This Row],[Tipo]],RefTabTipo[],4,FALSE),0)</f>
        <v>999</v>
      </c>
      <c r="K48" s="1657">
        <f>IFERROR(VLOOKUP(Financeiros[[#This Row],[Grupo Tarifário]],RefTabGrupoTarifa[],2,FALSE),0)</f>
        <v>2</v>
      </c>
      <c r="L48" s="1656">
        <f>IFERROR(VLOOKUP(Financeiros[[#This Row],[Grupo Tarifário]],RefTabGrupoTarifa[],3,FALSE),0)</f>
        <v>30</v>
      </c>
      <c r="M48" s="1657">
        <f>IFERROR(VLOOKUP(Financeiros[[#This Row],[Grupo Tarifário]],RefTabGrupoTarifa[],4,FALSE),0)</f>
        <v>9</v>
      </c>
    </row>
    <row r="49" spans="3:13" ht="16.5" hidden="1">
      <c r="C49" s="1650" t="s">
        <v>2103</v>
      </c>
      <c r="D49" s="1766">
        <f>CVE!$D$9</f>
        <v>0</v>
      </c>
      <c r="E49" s="1615">
        <f t="shared" ca="1" si="0"/>
        <v>0</v>
      </c>
      <c r="F49" s="1605" t="s">
        <v>2232</v>
      </c>
      <c r="G49" s="1618" t="s">
        <v>2244</v>
      </c>
      <c r="H49" s="1606">
        <f>IFERROR(VLOOKUP(Financeiros[[#This Row],[Tipo]],RefTabTipo[],2,FALSE),0)</f>
        <v>22</v>
      </c>
      <c r="I49" s="1624">
        <f>IFERROR(VLOOKUP(Financeiros[[#This Row],[Tipo]],RefTabTipo[],3,FALSE),0)</f>
        <v>60</v>
      </c>
      <c r="J49" s="1607">
        <f>IFERROR(VLOOKUP(Financeiros[[#This Row],[Tipo]],RefTabTipo[],4,FALSE),0)</f>
        <v>241</v>
      </c>
      <c r="K49" s="1630">
        <f>IFERROR(VLOOKUP(Financeiros[[#This Row],[Grupo Tarifário]],RefTabGrupoTarifa[],2,FALSE),0)</f>
        <v>3</v>
      </c>
      <c r="L49" s="1606">
        <f>IFERROR(VLOOKUP(Financeiros[[#This Row],[Grupo Tarifário]],RefTabGrupoTarifa[],3,FALSE),0)</f>
        <v>13</v>
      </c>
      <c r="M49" s="1630">
        <f>IFERROR(VLOOKUP(Financeiros[[#This Row],[Grupo Tarifário]],RefTabGrupoTarifa[],4,FALSE),0)</f>
        <v>9</v>
      </c>
    </row>
    <row r="50" spans="3:13" ht="16.5" hidden="1">
      <c r="C50" s="1650" t="s">
        <v>2104</v>
      </c>
      <c r="D50" s="1766">
        <f>CVE!$D$10</f>
        <v>0</v>
      </c>
      <c r="E50" s="1615">
        <f t="shared" ca="1" si="0"/>
        <v>0</v>
      </c>
      <c r="F50" s="1605" t="s">
        <v>2232</v>
      </c>
      <c r="G50" s="1618" t="s">
        <v>2246</v>
      </c>
      <c r="H50" s="1606">
        <f>IFERROR(VLOOKUP(Financeiros[[#This Row],[Tipo]],RefTabTipo[],2,FALSE),0)</f>
        <v>22</v>
      </c>
      <c r="I50" s="1624">
        <f>IFERROR(VLOOKUP(Financeiros[[#This Row],[Tipo]],RefTabTipo[],3,FALSE),0)</f>
        <v>60</v>
      </c>
      <c r="J50" s="1607">
        <f>IFERROR(VLOOKUP(Financeiros[[#This Row],[Tipo]],RefTabTipo[],4,FALSE),0)</f>
        <v>241</v>
      </c>
      <c r="K50" s="1630">
        <f>IFERROR(VLOOKUP(Financeiros[[#This Row],[Grupo Tarifário]],RefTabGrupoTarifa[],2,FALSE),0)</f>
        <v>3</v>
      </c>
      <c r="L50" s="1606">
        <f>IFERROR(VLOOKUP(Financeiros[[#This Row],[Grupo Tarifário]],RefTabGrupoTarifa[],3,FALSE),0)</f>
        <v>15</v>
      </c>
      <c r="M50" s="1630">
        <f>IFERROR(VLOOKUP(Financeiros[[#This Row],[Grupo Tarifário]],RefTabGrupoTarifa[],4,FALSE),0)</f>
        <v>9</v>
      </c>
    </row>
    <row r="51" spans="3:13" ht="16.5" hidden="1">
      <c r="C51" s="1650" t="s">
        <v>2105</v>
      </c>
      <c r="D51" s="1766">
        <f>CVE!$D$11</f>
        <v>0</v>
      </c>
      <c r="E51" s="1615">
        <f t="shared" ca="1" si="0"/>
        <v>0</v>
      </c>
      <c r="F51" s="1605" t="s">
        <v>2232</v>
      </c>
      <c r="G51" s="1618" t="s">
        <v>2245</v>
      </c>
      <c r="H51" s="1606">
        <f>IFERROR(VLOOKUP(Financeiros[[#This Row],[Tipo]],RefTabTipo[],2,FALSE),0)</f>
        <v>22</v>
      </c>
      <c r="I51" s="1624">
        <f>IFERROR(VLOOKUP(Financeiros[[#This Row],[Tipo]],RefTabTipo[],3,FALSE),0)</f>
        <v>60</v>
      </c>
      <c r="J51" s="1607">
        <f>IFERROR(VLOOKUP(Financeiros[[#This Row],[Tipo]],RefTabTipo[],4,FALSE),0)</f>
        <v>241</v>
      </c>
      <c r="K51" s="1630">
        <f>IFERROR(VLOOKUP(Financeiros[[#This Row],[Grupo Tarifário]],RefTabGrupoTarifa[],2,FALSE),0)</f>
        <v>3</v>
      </c>
      <c r="L51" s="1606">
        <f>IFERROR(VLOOKUP(Financeiros[[#This Row],[Grupo Tarifário]],RefTabGrupoTarifa[],3,FALSE),0)</f>
        <v>25</v>
      </c>
      <c r="M51" s="1630">
        <f>IFERROR(VLOOKUP(Financeiros[[#This Row],[Grupo Tarifário]],RefTabGrupoTarifa[],4,FALSE),0)</f>
        <v>9</v>
      </c>
    </row>
    <row r="52" spans="3:13" ht="16.5" hidden="1">
      <c r="C52" s="1650" t="s">
        <v>2106</v>
      </c>
      <c r="D52" s="1766">
        <f>IFERROR(CVE!$D$12*Resultado!D25/SUM(Resultado!$D$25:$D$29),0)</f>
        <v>0</v>
      </c>
      <c r="E52" s="1615">
        <f t="shared" ca="1" si="0"/>
        <v>0</v>
      </c>
      <c r="F52" s="1605" t="s">
        <v>2232</v>
      </c>
      <c r="G52" s="1618" t="s">
        <v>2264</v>
      </c>
      <c r="H52" s="1606">
        <f>IFERROR(VLOOKUP(Financeiros[[#This Row],[Tipo]],RefTabTipo[],2,FALSE),0)</f>
        <v>22</v>
      </c>
      <c r="I52" s="1624">
        <f>IFERROR(VLOOKUP(Financeiros[[#This Row],[Tipo]],RefTabTipo[],3,FALSE),0)</f>
        <v>60</v>
      </c>
      <c r="J52" s="1607">
        <f>IFERROR(VLOOKUP(Financeiros[[#This Row],[Tipo]],RefTabTipo[],4,FALSE),0)</f>
        <v>241</v>
      </c>
      <c r="K52" s="1630">
        <f>IFERROR(VLOOKUP(Financeiros[[#This Row],[Grupo Tarifário]],RefTabGrupoTarifa[],2,FALSE),0)</f>
        <v>1</v>
      </c>
      <c r="L52" s="1606">
        <f>IFERROR(VLOOKUP(Financeiros[[#This Row],[Grupo Tarifário]],RefTabGrupoTarifa[],3,FALSE),0)</f>
        <v>1</v>
      </c>
      <c r="M52" s="1630">
        <f>IFERROR(VLOOKUP(Financeiros[[#This Row],[Grupo Tarifário]],RefTabGrupoTarifa[],4,FALSE),0)</f>
        <v>9</v>
      </c>
    </row>
    <row r="53" spans="3:13" ht="16.5" hidden="1">
      <c r="C53" s="1650" t="s">
        <v>2107</v>
      </c>
      <c r="D53" s="1766">
        <f>IFERROR(CVE!$D$12*Resultado!D26/SUM(Resultado!$D$25:$D$29),0)</f>
        <v>0</v>
      </c>
      <c r="E53" s="1615">
        <f t="shared" ca="1" si="0"/>
        <v>0</v>
      </c>
      <c r="F53" s="1605" t="s">
        <v>2232</v>
      </c>
      <c r="G53" s="1618" t="s">
        <v>2264</v>
      </c>
      <c r="H53" s="1606">
        <f>IFERROR(VLOOKUP(Financeiros[[#This Row],[Tipo]],RefTabTipo[],2,FALSE),0)</f>
        <v>22</v>
      </c>
      <c r="I53" s="1624">
        <f>IFERROR(VLOOKUP(Financeiros[[#This Row],[Tipo]],RefTabTipo[],3,FALSE),0)</f>
        <v>60</v>
      </c>
      <c r="J53" s="1607">
        <f>IFERROR(VLOOKUP(Financeiros[[#This Row],[Tipo]],RefTabTipo[],4,FALSE),0)</f>
        <v>241</v>
      </c>
      <c r="K53" s="1630">
        <f>IFERROR(VLOOKUP(Financeiros[[#This Row],[Grupo Tarifário]],RefTabGrupoTarifa[],2,FALSE),0)</f>
        <v>1</v>
      </c>
      <c r="L53" s="1606">
        <f>IFERROR(VLOOKUP(Financeiros[[#This Row],[Grupo Tarifário]],RefTabGrupoTarifa[],3,FALSE),0)</f>
        <v>1</v>
      </c>
      <c r="M53" s="1630">
        <f>IFERROR(VLOOKUP(Financeiros[[#This Row],[Grupo Tarifário]],RefTabGrupoTarifa[],4,FALSE),0)</f>
        <v>9</v>
      </c>
    </row>
    <row r="54" spans="3:13" ht="16.5" hidden="1">
      <c r="C54" s="1650" t="s">
        <v>2108</v>
      </c>
      <c r="D54" s="1766">
        <f>IFERROR(CVE!$D$12*Resultado!D28/SUM(Resultado!$D$25:$D$29),0)</f>
        <v>0</v>
      </c>
      <c r="E54" s="1615">
        <f t="shared" ca="1" si="0"/>
        <v>0</v>
      </c>
      <c r="F54" s="1605" t="s">
        <v>2232</v>
      </c>
      <c r="G54" s="1618" t="s">
        <v>2264</v>
      </c>
      <c r="H54" s="1606">
        <f>IFERROR(VLOOKUP(Financeiros[[#This Row],[Tipo]],RefTabTipo[],2,FALSE),0)</f>
        <v>22</v>
      </c>
      <c r="I54" s="1624">
        <f>IFERROR(VLOOKUP(Financeiros[[#This Row],[Tipo]],RefTabTipo[],3,FALSE),0)</f>
        <v>60</v>
      </c>
      <c r="J54" s="1607">
        <f>IFERROR(VLOOKUP(Financeiros[[#This Row],[Tipo]],RefTabTipo[],4,FALSE),0)</f>
        <v>241</v>
      </c>
      <c r="K54" s="1630">
        <f>IFERROR(VLOOKUP(Financeiros[[#This Row],[Grupo Tarifário]],RefTabGrupoTarifa[],2,FALSE),0)</f>
        <v>1</v>
      </c>
      <c r="L54" s="1606">
        <f>IFERROR(VLOOKUP(Financeiros[[#This Row],[Grupo Tarifário]],RefTabGrupoTarifa[],3,FALSE),0)</f>
        <v>1</v>
      </c>
      <c r="M54" s="1630">
        <f>IFERROR(VLOOKUP(Financeiros[[#This Row],[Grupo Tarifário]],RefTabGrupoTarifa[],4,FALSE),0)</f>
        <v>9</v>
      </c>
    </row>
    <row r="55" spans="3:13" ht="16.5" hidden="1">
      <c r="C55" s="1650" t="s">
        <v>2109</v>
      </c>
      <c r="D55" s="1766">
        <f>IFERROR(CVE!$D$12*Resultado!D27/SUM(Resultado!$D$25:$D$29),0)</f>
        <v>0</v>
      </c>
      <c r="E55" s="1615">
        <f t="shared" ca="1" si="0"/>
        <v>0</v>
      </c>
      <c r="F55" s="1605" t="s">
        <v>2232</v>
      </c>
      <c r="G55" s="1618" t="s">
        <v>2264</v>
      </c>
      <c r="H55" s="1606">
        <f>IFERROR(VLOOKUP(Financeiros[[#This Row],[Tipo]],RefTabTipo[],2,FALSE),0)</f>
        <v>22</v>
      </c>
      <c r="I55" s="1624">
        <f>IFERROR(VLOOKUP(Financeiros[[#This Row],[Tipo]],RefTabTipo[],3,FALSE),0)</f>
        <v>60</v>
      </c>
      <c r="J55" s="1607">
        <f>IFERROR(VLOOKUP(Financeiros[[#This Row],[Tipo]],RefTabTipo[],4,FALSE),0)</f>
        <v>241</v>
      </c>
      <c r="K55" s="1630">
        <f>IFERROR(VLOOKUP(Financeiros[[#This Row],[Grupo Tarifário]],RefTabGrupoTarifa[],2,FALSE),0)</f>
        <v>1</v>
      </c>
      <c r="L55" s="1606">
        <f>IFERROR(VLOOKUP(Financeiros[[#This Row],[Grupo Tarifário]],RefTabGrupoTarifa[],3,FALSE),0)</f>
        <v>1</v>
      </c>
      <c r="M55" s="1630">
        <f>IFERROR(VLOOKUP(Financeiros[[#This Row],[Grupo Tarifário]],RefTabGrupoTarifa[],4,FALSE),0)</f>
        <v>9</v>
      </c>
    </row>
    <row r="56" spans="3:13" ht="16.5" hidden="1">
      <c r="C56" s="1650" t="s">
        <v>2110</v>
      </c>
      <c r="D56" s="1766">
        <f>IFERROR(CVE!$D$12*Resultado!D29/SUM(Resultado!$D$25:$D$29),0)</f>
        <v>0</v>
      </c>
      <c r="E56" s="1615">
        <f t="shared" ca="1" si="0"/>
        <v>0</v>
      </c>
      <c r="F56" s="1605" t="s">
        <v>2232</v>
      </c>
      <c r="G56" s="1618" t="s">
        <v>2264</v>
      </c>
      <c r="H56" s="1606">
        <f>IFERROR(VLOOKUP(Financeiros[[#This Row],[Tipo]],RefTabTipo[],2,FALSE),0)</f>
        <v>22</v>
      </c>
      <c r="I56" s="1624">
        <f>IFERROR(VLOOKUP(Financeiros[[#This Row],[Tipo]],RefTabTipo[],3,FALSE),0)</f>
        <v>60</v>
      </c>
      <c r="J56" s="1607">
        <f>IFERROR(VLOOKUP(Financeiros[[#This Row],[Tipo]],RefTabTipo[],4,FALSE),0)</f>
        <v>241</v>
      </c>
      <c r="K56" s="1630">
        <f>IFERROR(VLOOKUP(Financeiros[[#This Row],[Grupo Tarifário]],RefTabGrupoTarifa[],2,FALSE),0)</f>
        <v>1</v>
      </c>
      <c r="L56" s="1606">
        <f>IFERROR(VLOOKUP(Financeiros[[#This Row],[Grupo Tarifário]],RefTabGrupoTarifa[],3,FALSE),0)</f>
        <v>1</v>
      </c>
      <c r="M56" s="1630">
        <f>IFERROR(VLOOKUP(Financeiros[[#This Row],[Grupo Tarifário]],RefTabGrupoTarifa[],4,FALSE),0)</f>
        <v>9</v>
      </c>
    </row>
    <row r="57" spans="3:13" ht="16.5" hidden="1">
      <c r="C57" s="1650" t="s">
        <v>2111</v>
      </c>
      <c r="D57" s="1766">
        <f>CVE!D15</f>
        <v>0</v>
      </c>
      <c r="E57" s="1615">
        <f t="shared" ca="1" si="0"/>
        <v>0</v>
      </c>
      <c r="F57" s="1605" t="s">
        <v>2232</v>
      </c>
      <c r="G57" s="1618" t="s">
        <v>2272</v>
      </c>
      <c r="H57" s="1606">
        <f>IFERROR(VLOOKUP(Financeiros[[#This Row],[Tipo]],RefTabTipo[],2,FALSE),0)</f>
        <v>22</v>
      </c>
      <c r="I57" s="1624">
        <f>IFERROR(VLOOKUP(Financeiros[[#This Row],[Tipo]],RefTabTipo[],3,FALSE),0)</f>
        <v>60</v>
      </c>
      <c r="J57" s="1607">
        <f>IFERROR(VLOOKUP(Financeiros[[#This Row],[Tipo]],RefTabTipo[],4,FALSE),0)</f>
        <v>241</v>
      </c>
      <c r="K57" s="1630">
        <f>IFERROR(VLOOKUP(Financeiros[[#This Row],[Grupo Tarifário]],RefTabGrupoTarifa[],2,FALSE),0)</f>
        <v>1</v>
      </c>
      <c r="L57" s="1606">
        <f>IFERROR(VLOOKUP(Financeiros[[#This Row],[Grupo Tarifário]],RefTabGrupoTarifa[],3,FALSE),0)</f>
        <v>21</v>
      </c>
      <c r="M57" s="1630">
        <f>IFERROR(VLOOKUP(Financeiros[[#This Row],[Grupo Tarifário]],RefTabGrupoTarifa[],4,FALSE),0)</f>
        <v>9</v>
      </c>
    </row>
    <row r="58" spans="3:13" ht="16.5" hidden="1">
      <c r="C58" s="1650" t="s">
        <v>2112</v>
      </c>
      <c r="D58" s="1766">
        <f ca="1">IFERROR(CVE!$D$13*H2,0)</f>
        <v>0</v>
      </c>
      <c r="E58" s="1615">
        <f t="shared" ca="1" si="0"/>
        <v>0</v>
      </c>
      <c r="F58" s="1605" t="s">
        <v>2232</v>
      </c>
      <c r="G58" s="1618" t="s">
        <v>2256</v>
      </c>
      <c r="H58" s="1606">
        <f>IFERROR(VLOOKUP(Financeiros[[#This Row],[Tipo]],RefTabTipo[],2,FALSE),0)</f>
        <v>22</v>
      </c>
      <c r="I58" s="1624">
        <f>IFERROR(VLOOKUP(Financeiros[[#This Row],[Tipo]],RefTabTipo[],3,FALSE),0)</f>
        <v>60</v>
      </c>
      <c r="J58" s="1607">
        <f>IFERROR(VLOOKUP(Financeiros[[#This Row],[Tipo]],RefTabTipo[],4,FALSE),0)</f>
        <v>241</v>
      </c>
      <c r="K58" s="1630">
        <f>IFERROR(VLOOKUP(Financeiros[[#This Row],[Grupo Tarifário]],RefTabGrupoTarifa[],2,FALSE),0)</f>
        <v>2</v>
      </c>
      <c r="L58" s="1606">
        <f>IFERROR(VLOOKUP(Financeiros[[#This Row],[Grupo Tarifário]],RefTabGrupoTarifa[],3,FALSE),0)</f>
        <v>11</v>
      </c>
      <c r="M58" s="1630">
        <f>IFERROR(VLOOKUP(Financeiros[[#This Row],[Grupo Tarifário]],RefTabGrupoTarifa[],4,FALSE),0)</f>
        <v>9</v>
      </c>
    </row>
    <row r="59" spans="3:13" ht="16.5" hidden="1">
      <c r="C59" s="1650" t="s">
        <v>2113</v>
      </c>
      <c r="D59" s="1766">
        <f ca="1">IFERROR(CVE!$D$13*H3,0)</f>
        <v>0</v>
      </c>
      <c r="E59" s="1615">
        <f t="shared" ca="1" si="0"/>
        <v>0</v>
      </c>
      <c r="F59" s="1605" t="s">
        <v>2232</v>
      </c>
      <c r="G59" s="1618" t="s">
        <v>2258</v>
      </c>
      <c r="H59" s="1606">
        <f>IFERROR(VLOOKUP(Financeiros[[#This Row],[Tipo]],RefTabTipo[],2,FALSE),0)</f>
        <v>22</v>
      </c>
      <c r="I59" s="1624">
        <f>IFERROR(VLOOKUP(Financeiros[[#This Row],[Tipo]],RefTabTipo[],3,FALSE),0)</f>
        <v>60</v>
      </c>
      <c r="J59" s="1607">
        <f>IFERROR(VLOOKUP(Financeiros[[#This Row],[Tipo]],RefTabTipo[],4,FALSE),0)</f>
        <v>241</v>
      </c>
      <c r="K59" s="1630">
        <f>IFERROR(VLOOKUP(Financeiros[[#This Row],[Grupo Tarifário]],RefTabGrupoTarifa[],2,FALSE),0)</f>
        <v>2</v>
      </c>
      <c r="L59" s="1606">
        <f>IFERROR(VLOOKUP(Financeiros[[#This Row],[Grupo Tarifário]],RefTabGrupoTarifa[],3,FALSE),0)</f>
        <v>9</v>
      </c>
      <c r="M59" s="1630">
        <f>IFERROR(VLOOKUP(Financeiros[[#This Row],[Grupo Tarifário]],RefTabGrupoTarifa[],4,FALSE),0)</f>
        <v>9</v>
      </c>
    </row>
    <row r="60" spans="3:13" ht="16.5" hidden="1">
      <c r="C60" s="1650" t="s">
        <v>2114</v>
      </c>
      <c r="D60" s="1766">
        <f ca="1">IFERROR(CVE!$D$13*H4,0)</f>
        <v>0</v>
      </c>
      <c r="E60" s="1615">
        <f t="shared" ca="1" si="0"/>
        <v>0</v>
      </c>
      <c r="F60" s="1605" t="s">
        <v>2232</v>
      </c>
      <c r="G60" s="1618" t="s">
        <v>2261</v>
      </c>
      <c r="H60" s="1606">
        <f>IFERROR(VLOOKUP(Financeiros[[#This Row],[Tipo]],RefTabTipo[],2,FALSE),0)</f>
        <v>22</v>
      </c>
      <c r="I60" s="1624">
        <f>IFERROR(VLOOKUP(Financeiros[[#This Row],[Tipo]],RefTabTipo[],3,FALSE),0)</f>
        <v>60</v>
      </c>
      <c r="J60" s="1607">
        <f>IFERROR(VLOOKUP(Financeiros[[#This Row],[Tipo]],RefTabTipo[],4,FALSE),0)</f>
        <v>241</v>
      </c>
      <c r="K60" s="1630">
        <f>IFERROR(VLOOKUP(Financeiros[[#This Row],[Grupo Tarifário]],RefTabGrupoTarifa[],2,FALSE),0)</f>
        <v>2</v>
      </c>
      <c r="L60" s="1606">
        <f>IFERROR(VLOOKUP(Financeiros[[#This Row],[Grupo Tarifário]],RefTabGrupoTarifa[],3,FALSE),0)</f>
        <v>8</v>
      </c>
      <c r="M60" s="1630">
        <f>IFERROR(VLOOKUP(Financeiros[[#This Row],[Grupo Tarifário]],RefTabGrupoTarifa[],4,FALSE),0)</f>
        <v>9</v>
      </c>
    </row>
    <row r="61" spans="3:13" ht="16.5" hidden="1">
      <c r="C61" s="1650" t="s">
        <v>2115</v>
      </c>
      <c r="D61" s="1766">
        <f ca="1">IFERROR(CVE!$D$13*H5,0)</f>
        <v>0</v>
      </c>
      <c r="E61" s="1615">
        <f t="shared" ca="1" si="0"/>
        <v>0</v>
      </c>
      <c r="F61" s="1605" t="s">
        <v>2232</v>
      </c>
      <c r="G61" s="1618" t="s">
        <v>2259</v>
      </c>
      <c r="H61" s="1606">
        <f>IFERROR(VLOOKUP(Financeiros[[#This Row],[Tipo]],RefTabTipo[],2,FALSE),0)</f>
        <v>22</v>
      </c>
      <c r="I61" s="1624">
        <f>IFERROR(VLOOKUP(Financeiros[[#This Row],[Tipo]],RefTabTipo[],3,FALSE),0)</f>
        <v>60</v>
      </c>
      <c r="J61" s="1607">
        <f>IFERROR(VLOOKUP(Financeiros[[#This Row],[Tipo]],RefTabTipo[],4,FALSE),0)</f>
        <v>241</v>
      </c>
      <c r="K61" s="1630">
        <f>IFERROR(VLOOKUP(Financeiros[[#This Row],[Grupo Tarifário]],RefTabGrupoTarifa[],2,FALSE),0)</f>
        <v>2</v>
      </c>
      <c r="L61" s="1606">
        <f>IFERROR(VLOOKUP(Financeiros[[#This Row],[Grupo Tarifário]],RefTabGrupoTarifa[],3,FALSE),0)</f>
        <v>10</v>
      </c>
      <c r="M61" s="1630">
        <f>IFERROR(VLOOKUP(Financeiros[[#This Row],[Grupo Tarifário]],RefTabGrupoTarifa[],4,FALSE),0)</f>
        <v>9</v>
      </c>
    </row>
    <row r="62" spans="3:13" ht="16.5" hidden="1">
      <c r="C62" s="1650" t="s">
        <v>2116</v>
      </c>
      <c r="D62" s="1766">
        <f ca="1">IFERROR(CVE!$D$13*H6,0)</f>
        <v>0</v>
      </c>
      <c r="E62" s="1615">
        <f t="shared" ca="1" si="0"/>
        <v>0</v>
      </c>
      <c r="F62" s="1605" t="s">
        <v>2232</v>
      </c>
      <c r="G62" s="1618" t="s">
        <v>2260</v>
      </c>
      <c r="H62" s="1606">
        <f>IFERROR(VLOOKUP(Financeiros[[#This Row],[Tipo]],RefTabTipo[],2,FALSE),0)</f>
        <v>22</v>
      </c>
      <c r="I62" s="1624">
        <f>IFERROR(VLOOKUP(Financeiros[[#This Row],[Tipo]],RefTabTipo[],3,FALSE),0)</f>
        <v>60</v>
      </c>
      <c r="J62" s="1607">
        <f>IFERROR(VLOOKUP(Financeiros[[#This Row],[Tipo]],RefTabTipo[],4,FALSE),0)</f>
        <v>241</v>
      </c>
      <c r="K62" s="1630">
        <f>IFERROR(VLOOKUP(Financeiros[[#This Row],[Grupo Tarifário]],RefTabGrupoTarifa[],2,FALSE),0)</f>
        <v>2</v>
      </c>
      <c r="L62" s="1606">
        <f>IFERROR(VLOOKUP(Financeiros[[#This Row],[Grupo Tarifário]],RefTabGrupoTarifa[],3,FALSE),0)</f>
        <v>24</v>
      </c>
      <c r="M62" s="1630">
        <f>IFERROR(VLOOKUP(Financeiros[[#This Row],[Grupo Tarifário]],RefTabGrupoTarifa[],4,FALSE),0)</f>
        <v>9</v>
      </c>
    </row>
    <row r="63" spans="3:13" ht="16.5" hidden="1">
      <c r="C63" s="1650" t="s">
        <v>2117</v>
      </c>
      <c r="D63" s="1766">
        <f>IFERROR(CVE!$D$16,0)</f>
        <v>0</v>
      </c>
      <c r="E63" s="1615">
        <f t="shared" ca="1" si="0"/>
        <v>0</v>
      </c>
      <c r="F63" s="1605" t="s">
        <v>2232</v>
      </c>
      <c r="G63" s="1618" t="s">
        <v>2253</v>
      </c>
      <c r="H63" s="1606">
        <f>IFERROR(VLOOKUP(Financeiros[[#This Row],[Tipo]],RefTabTipo[],2,FALSE),0)</f>
        <v>22</v>
      </c>
      <c r="I63" s="1624">
        <f>IFERROR(VLOOKUP(Financeiros[[#This Row],[Tipo]],RefTabTipo[],3,FALSE),0)</f>
        <v>60</v>
      </c>
      <c r="J63" s="1607">
        <f>IFERROR(VLOOKUP(Financeiros[[#This Row],[Tipo]],RefTabTipo[],4,FALSE),0)</f>
        <v>241</v>
      </c>
      <c r="K63" s="1630">
        <f>IFERROR(VLOOKUP(Financeiros[[#This Row],[Grupo Tarifário]],RefTabGrupoTarifa[],2,FALSE),0)</f>
        <v>3</v>
      </c>
      <c r="L63" s="1606">
        <f>IFERROR(VLOOKUP(Financeiros[[#This Row],[Grupo Tarifário]],RefTabGrupoTarifa[],3,FALSE),0)</f>
        <v>18</v>
      </c>
      <c r="M63" s="1630">
        <f>IFERROR(VLOOKUP(Financeiros[[#This Row],[Grupo Tarifário]],RefTabGrupoTarifa[],4,FALSE),0)</f>
        <v>9</v>
      </c>
    </row>
    <row r="64" spans="3:13" ht="16.5" hidden="1">
      <c r="C64" s="1650" t="s">
        <v>2118</v>
      </c>
      <c r="D64" s="1766">
        <f>CVE!D14</f>
        <v>0</v>
      </c>
      <c r="E64" s="1615">
        <f t="shared" ca="1" si="0"/>
        <v>0</v>
      </c>
      <c r="F64" s="1605" t="s">
        <v>2232</v>
      </c>
      <c r="G64" s="1618" t="s">
        <v>2250</v>
      </c>
      <c r="H64" s="1606">
        <f>IFERROR(VLOOKUP(Financeiros[[#This Row],[Tipo]],RefTabTipo[],2,FALSE),0)</f>
        <v>22</v>
      </c>
      <c r="I64" s="1624">
        <f>IFERROR(VLOOKUP(Financeiros[[#This Row],[Tipo]],RefTabTipo[],3,FALSE),0)</f>
        <v>60</v>
      </c>
      <c r="J64" s="1607">
        <f>IFERROR(VLOOKUP(Financeiros[[#This Row],[Tipo]],RefTabTipo[],4,FALSE),0)</f>
        <v>241</v>
      </c>
      <c r="K64" s="1630">
        <f>IFERROR(VLOOKUP(Financeiros[[#This Row],[Grupo Tarifário]],RefTabGrupoTarifa[],2,FALSE),0)</f>
        <v>3</v>
      </c>
      <c r="L64" s="1606">
        <f>IFERROR(VLOOKUP(Financeiros[[#This Row],[Grupo Tarifário]],RefTabGrupoTarifa[],3,FALSE),0)</f>
        <v>16</v>
      </c>
      <c r="M64" s="1630">
        <f>IFERROR(VLOOKUP(Financeiros[[#This Row],[Grupo Tarifário]],RefTabGrupoTarifa[],4,FALSE),0)</f>
        <v>9</v>
      </c>
    </row>
    <row r="65" spans="3:13" ht="16.5" hidden="1">
      <c r="C65" s="1650" t="s">
        <v>2119</v>
      </c>
      <c r="D65" s="1766">
        <f>CVE!D17</f>
        <v>0</v>
      </c>
      <c r="E65" s="1615">
        <f t="shared" ca="1" si="0"/>
        <v>0</v>
      </c>
      <c r="F65" s="1605" t="s">
        <v>2232</v>
      </c>
      <c r="G65" s="1618" t="s">
        <v>2243</v>
      </c>
      <c r="H65" s="1606">
        <f>IFERROR(VLOOKUP(Financeiros[[#This Row],[Tipo]],RefTabTipo[],2,FALSE),0)</f>
        <v>22</v>
      </c>
      <c r="I65" s="1624">
        <f>IFERROR(VLOOKUP(Financeiros[[#This Row],[Tipo]],RefTabTipo[],3,FALSE),0)</f>
        <v>60</v>
      </c>
      <c r="J65" s="1607">
        <f>IFERROR(VLOOKUP(Financeiros[[#This Row],[Tipo]],RefTabTipo[],4,FALSE),0)</f>
        <v>241</v>
      </c>
      <c r="K65" s="1630">
        <f>IFERROR(VLOOKUP(Financeiros[[#This Row],[Grupo Tarifário]],RefTabGrupoTarifa[],2,FALSE),0)</f>
        <v>3</v>
      </c>
      <c r="L65" s="1606">
        <f>IFERROR(VLOOKUP(Financeiros[[#This Row],[Grupo Tarifário]],RefTabGrupoTarifa[],3,FALSE),0)</f>
        <v>17</v>
      </c>
      <c r="M65" s="1630">
        <f>IFERROR(VLOOKUP(Financeiros[[#This Row],[Grupo Tarifário]],RefTabGrupoTarifa[],4,FALSE),0)</f>
        <v>9</v>
      </c>
    </row>
    <row r="66" spans="3:13" ht="16.5" hidden="1">
      <c r="C66" s="1651" t="s">
        <v>2091</v>
      </c>
      <c r="D66" s="1767">
        <f ca="1">IFERROR('Financeiros Mitigação'!$D$5*H2,0)</f>
        <v>0</v>
      </c>
      <c r="E66" s="1615">
        <f t="shared" ca="1" si="0"/>
        <v>0</v>
      </c>
      <c r="F66" s="1602" t="s">
        <v>2234</v>
      </c>
      <c r="G66" s="1619" t="s">
        <v>2256</v>
      </c>
      <c r="H66" s="1603">
        <f>IFERROR(VLOOKUP(Financeiros[[#This Row],[Tipo]],RefTabTipo[],2,FALSE),0)</f>
        <v>22</v>
      </c>
      <c r="I66" s="1625">
        <f>IFERROR(VLOOKUP(Financeiros[[#This Row],[Tipo]],RefTabTipo[],3,FALSE),0)</f>
        <v>60</v>
      </c>
      <c r="J66" s="1604">
        <f>IFERROR(VLOOKUP(Financeiros[[#This Row],[Tipo]],RefTabTipo[],4,FALSE),0)</f>
        <v>240</v>
      </c>
      <c r="K66" s="1631">
        <f>IFERROR(VLOOKUP(Financeiros[[#This Row],[Grupo Tarifário]],RefTabGrupoTarifa[],2,FALSE),0)</f>
        <v>2</v>
      </c>
      <c r="L66" s="1603">
        <f>IFERROR(VLOOKUP(Financeiros[[#This Row],[Grupo Tarifário]],RefTabGrupoTarifa[],3,FALSE),0)</f>
        <v>11</v>
      </c>
      <c r="M66" s="1631">
        <f>IFERROR(VLOOKUP(Financeiros[[#This Row],[Grupo Tarifário]],RefTabGrupoTarifa[],4,FALSE),0)</f>
        <v>9</v>
      </c>
    </row>
    <row r="67" spans="3:13" ht="16.5" hidden="1">
      <c r="C67" s="1651" t="s">
        <v>2092</v>
      </c>
      <c r="D67" s="1767">
        <f ca="1">IFERROR('Financeiros Mitigação'!$D$5*H3,0)</f>
        <v>0</v>
      </c>
      <c r="E67" s="1615">
        <f t="shared" ca="1" si="0"/>
        <v>0</v>
      </c>
      <c r="F67" s="1602" t="s">
        <v>2234</v>
      </c>
      <c r="G67" s="1619" t="s">
        <v>2258</v>
      </c>
      <c r="H67" s="1603">
        <f>IFERROR(VLOOKUP(Financeiros[[#This Row],[Tipo]],RefTabTipo[],2,FALSE),0)</f>
        <v>22</v>
      </c>
      <c r="I67" s="1625">
        <f>IFERROR(VLOOKUP(Financeiros[[#This Row],[Tipo]],RefTabTipo[],3,FALSE),0)</f>
        <v>60</v>
      </c>
      <c r="J67" s="1604">
        <f>IFERROR(VLOOKUP(Financeiros[[#This Row],[Tipo]],RefTabTipo[],4,FALSE),0)</f>
        <v>240</v>
      </c>
      <c r="K67" s="1631">
        <f>IFERROR(VLOOKUP(Financeiros[[#This Row],[Grupo Tarifário]],RefTabGrupoTarifa[],2,FALSE),0)</f>
        <v>2</v>
      </c>
      <c r="L67" s="1603">
        <f>IFERROR(VLOOKUP(Financeiros[[#This Row],[Grupo Tarifário]],RefTabGrupoTarifa[],3,FALSE),0)</f>
        <v>9</v>
      </c>
      <c r="M67" s="1631">
        <f>IFERROR(VLOOKUP(Financeiros[[#This Row],[Grupo Tarifário]],RefTabGrupoTarifa[],4,FALSE),0)</f>
        <v>9</v>
      </c>
    </row>
    <row r="68" spans="3:13" ht="16.5" hidden="1">
      <c r="C68" s="1651" t="s">
        <v>2093</v>
      </c>
      <c r="D68" s="1767">
        <f ca="1">IFERROR('Financeiros Mitigação'!$D$5*H4,0)</f>
        <v>0</v>
      </c>
      <c r="E68" s="1615">
        <f t="shared" ca="1" si="0"/>
        <v>0</v>
      </c>
      <c r="F68" s="1602" t="s">
        <v>2234</v>
      </c>
      <c r="G68" s="1619" t="s">
        <v>2261</v>
      </c>
      <c r="H68" s="1603">
        <f>IFERROR(VLOOKUP(Financeiros[[#This Row],[Tipo]],RefTabTipo[],2,FALSE),0)</f>
        <v>22</v>
      </c>
      <c r="I68" s="1625">
        <f>IFERROR(VLOOKUP(Financeiros[[#This Row],[Tipo]],RefTabTipo[],3,FALSE),0)</f>
        <v>60</v>
      </c>
      <c r="J68" s="1604">
        <f>IFERROR(VLOOKUP(Financeiros[[#This Row],[Tipo]],RefTabTipo[],4,FALSE),0)</f>
        <v>240</v>
      </c>
      <c r="K68" s="1631">
        <f>IFERROR(VLOOKUP(Financeiros[[#This Row],[Grupo Tarifário]],RefTabGrupoTarifa[],2,FALSE),0)</f>
        <v>2</v>
      </c>
      <c r="L68" s="1603">
        <f>IFERROR(VLOOKUP(Financeiros[[#This Row],[Grupo Tarifário]],RefTabGrupoTarifa[],3,FALSE),0)</f>
        <v>8</v>
      </c>
      <c r="M68" s="1631">
        <f>IFERROR(VLOOKUP(Financeiros[[#This Row],[Grupo Tarifário]],RefTabGrupoTarifa[],4,FALSE),0)</f>
        <v>9</v>
      </c>
    </row>
    <row r="69" spans="3:13" ht="16.5" hidden="1">
      <c r="C69" s="1651" t="s">
        <v>2094</v>
      </c>
      <c r="D69" s="1767">
        <f ca="1">IFERROR('Financeiros Mitigação'!$D$5*H5,0)</f>
        <v>0</v>
      </c>
      <c r="E69" s="1615">
        <f t="shared" ca="1" si="0"/>
        <v>0</v>
      </c>
      <c r="F69" s="1602" t="s">
        <v>2234</v>
      </c>
      <c r="G69" s="1619" t="s">
        <v>2259</v>
      </c>
      <c r="H69" s="1603">
        <f>IFERROR(VLOOKUP(Financeiros[[#This Row],[Tipo]],RefTabTipo[],2,FALSE),0)</f>
        <v>22</v>
      </c>
      <c r="I69" s="1625">
        <f>IFERROR(VLOOKUP(Financeiros[[#This Row],[Tipo]],RefTabTipo[],3,FALSE),0)</f>
        <v>60</v>
      </c>
      <c r="J69" s="1604">
        <f>IFERROR(VLOOKUP(Financeiros[[#This Row],[Tipo]],RefTabTipo[],4,FALSE),0)</f>
        <v>240</v>
      </c>
      <c r="K69" s="1631">
        <f>IFERROR(VLOOKUP(Financeiros[[#This Row],[Grupo Tarifário]],RefTabGrupoTarifa[],2,FALSE),0)</f>
        <v>2</v>
      </c>
      <c r="L69" s="1603">
        <f>IFERROR(VLOOKUP(Financeiros[[#This Row],[Grupo Tarifário]],RefTabGrupoTarifa[],3,FALSE),0)</f>
        <v>10</v>
      </c>
      <c r="M69" s="1631">
        <f>IFERROR(VLOOKUP(Financeiros[[#This Row],[Grupo Tarifário]],RefTabGrupoTarifa[],4,FALSE),0)</f>
        <v>9</v>
      </c>
    </row>
    <row r="70" spans="3:13" ht="16.5" hidden="1">
      <c r="C70" s="1651" t="s">
        <v>2095</v>
      </c>
      <c r="D70" s="1767">
        <f ca="1">IFERROR('Financeiros Mitigação'!$D$5*H6,0)</f>
        <v>0</v>
      </c>
      <c r="E70" s="1615">
        <f t="shared" ca="1" si="0"/>
        <v>0</v>
      </c>
      <c r="F70" s="1602" t="s">
        <v>2234</v>
      </c>
      <c r="G70" s="1619" t="s">
        <v>2260</v>
      </c>
      <c r="H70" s="1603">
        <f>IFERROR(VLOOKUP(Financeiros[[#This Row],[Tipo]],RefTabTipo[],2,FALSE),0)</f>
        <v>22</v>
      </c>
      <c r="I70" s="1625">
        <f>IFERROR(VLOOKUP(Financeiros[[#This Row],[Tipo]],RefTabTipo[],3,FALSE),0)</f>
        <v>60</v>
      </c>
      <c r="J70" s="1604">
        <f>IFERROR(VLOOKUP(Financeiros[[#This Row],[Tipo]],RefTabTipo[],4,FALSE),0)</f>
        <v>240</v>
      </c>
      <c r="K70" s="1631">
        <f>IFERROR(VLOOKUP(Financeiros[[#This Row],[Grupo Tarifário]],RefTabGrupoTarifa[],2,FALSE),0)</f>
        <v>2</v>
      </c>
      <c r="L70" s="1603">
        <f>IFERROR(VLOOKUP(Financeiros[[#This Row],[Grupo Tarifário]],RefTabGrupoTarifa[],3,FALSE),0)</f>
        <v>24</v>
      </c>
      <c r="M70" s="1631">
        <f>IFERROR(VLOOKUP(Financeiros[[#This Row],[Grupo Tarifário]],RefTabGrupoTarifa[],4,FALSE),0)</f>
        <v>9</v>
      </c>
    </row>
    <row r="71" spans="3:13" ht="16.5" hidden="1">
      <c r="C71" s="1651" t="s">
        <v>2096</v>
      </c>
      <c r="D71" s="1767">
        <f>IFERROR('Financeiros Mitigação'!D6,0)</f>
        <v>0</v>
      </c>
      <c r="E71" s="1615">
        <f t="shared" ca="1" si="0"/>
        <v>0</v>
      </c>
      <c r="F71" s="1602" t="s">
        <v>2234</v>
      </c>
      <c r="G71" s="1619" t="s">
        <v>2243</v>
      </c>
      <c r="H71" s="1603">
        <f>IFERROR(VLOOKUP(Financeiros[[#This Row],[Tipo]],RefTabTipo[],2,FALSE),0)</f>
        <v>22</v>
      </c>
      <c r="I71" s="1625">
        <f>IFERROR(VLOOKUP(Financeiros[[#This Row],[Tipo]],RefTabTipo[],3,FALSE),0)</f>
        <v>60</v>
      </c>
      <c r="J71" s="1604">
        <f>IFERROR(VLOOKUP(Financeiros[[#This Row],[Tipo]],RefTabTipo[],4,FALSE),0)</f>
        <v>240</v>
      </c>
      <c r="K71" s="1631">
        <f>IFERROR(VLOOKUP(Financeiros[[#This Row],[Grupo Tarifário]],RefTabGrupoTarifa[],2,FALSE),0)</f>
        <v>3</v>
      </c>
      <c r="L71" s="1603">
        <f>IFERROR(VLOOKUP(Financeiros[[#This Row],[Grupo Tarifário]],RefTabGrupoTarifa[],3,FALSE),0)</f>
        <v>17</v>
      </c>
      <c r="M71" s="1631">
        <f>IFERROR(VLOOKUP(Financeiros[[#This Row],[Grupo Tarifário]],RefTabGrupoTarifa[],4,FALSE),0)</f>
        <v>9</v>
      </c>
    </row>
    <row r="72" spans="3:13" ht="16.5" hidden="1">
      <c r="C72" s="1651" t="s">
        <v>2097</v>
      </c>
      <c r="D72" s="1767">
        <f ca="1">IFERROR('Financeiros Mitigação'!$D$7*H2,0)</f>
        <v>0</v>
      </c>
      <c r="E72" s="1615">
        <f t="shared" ca="1" si="0"/>
        <v>0</v>
      </c>
      <c r="F72" s="1602" t="s">
        <v>2234</v>
      </c>
      <c r="G72" s="1619" t="s">
        <v>2256</v>
      </c>
      <c r="H72" s="1603">
        <f>IFERROR(VLOOKUP(Financeiros[[#This Row],[Tipo]],RefTabTipo[],2,FALSE),0)</f>
        <v>22</v>
      </c>
      <c r="I72" s="1625">
        <f>IFERROR(VLOOKUP(Financeiros[[#This Row],[Tipo]],RefTabTipo[],3,FALSE),0)</f>
        <v>60</v>
      </c>
      <c r="J72" s="1604">
        <f>IFERROR(VLOOKUP(Financeiros[[#This Row],[Tipo]],RefTabTipo[],4,FALSE),0)</f>
        <v>240</v>
      </c>
      <c r="K72" s="1631">
        <f>IFERROR(VLOOKUP(Financeiros[[#This Row],[Grupo Tarifário]],RefTabGrupoTarifa[],2,FALSE),0)</f>
        <v>2</v>
      </c>
      <c r="L72" s="1603">
        <f>IFERROR(VLOOKUP(Financeiros[[#This Row],[Grupo Tarifário]],RefTabGrupoTarifa[],3,FALSE),0)</f>
        <v>11</v>
      </c>
      <c r="M72" s="1631">
        <f>IFERROR(VLOOKUP(Financeiros[[#This Row],[Grupo Tarifário]],RefTabGrupoTarifa[],4,FALSE),0)</f>
        <v>9</v>
      </c>
    </row>
    <row r="73" spans="3:13" ht="16.5" hidden="1">
      <c r="C73" s="1651" t="s">
        <v>2098</v>
      </c>
      <c r="D73" s="1767">
        <f ca="1">IFERROR('Financeiros Mitigação'!$D$7*H3,0)</f>
        <v>0</v>
      </c>
      <c r="E73" s="1615">
        <f t="shared" ca="1" si="0"/>
        <v>0</v>
      </c>
      <c r="F73" s="1602" t="s">
        <v>2234</v>
      </c>
      <c r="G73" s="1619" t="s">
        <v>2258</v>
      </c>
      <c r="H73" s="1603">
        <f>IFERROR(VLOOKUP(Financeiros[[#This Row],[Tipo]],RefTabTipo[],2,FALSE),0)</f>
        <v>22</v>
      </c>
      <c r="I73" s="1625">
        <f>IFERROR(VLOOKUP(Financeiros[[#This Row],[Tipo]],RefTabTipo[],3,FALSE),0)</f>
        <v>60</v>
      </c>
      <c r="J73" s="1604">
        <f>IFERROR(VLOOKUP(Financeiros[[#This Row],[Tipo]],RefTabTipo[],4,FALSE),0)</f>
        <v>240</v>
      </c>
      <c r="K73" s="1631">
        <f>IFERROR(VLOOKUP(Financeiros[[#This Row],[Grupo Tarifário]],RefTabGrupoTarifa[],2,FALSE),0)</f>
        <v>2</v>
      </c>
      <c r="L73" s="1603">
        <f>IFERROR(VLOOKUP(Financeiros[[#This Row],[Grupo Tarifário]],RefTabGrupoTarifa[],3,FALSE),0)</f>
        <v>9</v>
      </c>
      <c r="M73" s="1631">
        <f>IFERROR(VLOOKUP(Financeiros[[#This Row],[Grupo Tarifário]],RefTabGrupoTarifa[],4,FALSE),0)</f>
        <v>9</v>
      </c>
    </row>
    <row r="74" spans="3:13" ht="16.5" hidden="1">
      <c r="C74" s="1651" t="s">
        <v>2099</v>
      </c>
      <c r="D74" s="1767">
        <f ca="1">IFERROR('Financeiros Mitigação'!$D$7*H4,0)</f>
        <v>0</v>
      </c>
      <c r="E74" s="1615">
        <f t="shared" ref="E74:E100" ca="1" si="1">IF(ISERROR(D74/$D$4),0,D74/$D$4)</f>
        <v>0</v>
      </c>
      <c r="F74" s="1602" t="s">
        <v>2234</v>
      </c>
      <c r="G74" s="1619" t="s">
        <v>2261</v>
      </c>
      <c r="H74" s="1603">
        <f>IFERROR(VLOOKUP(Financeiros[[#This Row],[Tipo]],RefTabTipo[],2,FALSE),0)</f>
        <v>22</v>
      </c>
      <c r="I74" s="1625">
        <f>IFERROR(VLOOKUP(Financeiros[[#This Row],[Tipo]],RefTabTipo[],3,FALSE),0)</f>
        <v>60</v>
      </c>
      <c r="J74" s="1604">
        <f>IFERROR(VLOOKUP(Financeiros[[#This Row],[Tipo]],RefTabTipo[],4,FALSE),0)</f>
        <v>240</v>
      </c>
      <c r="K74" s="1631">
        <f>IFERROR(VLOOKUP(Financeiros[[#This Row],[Grupo Tarifário]],RefTabGrupoTarifa[],2,FALSE),0)</f>
        <v>2</v>
      </c>
      <c r="L74" s="1603">
        <f>IFERROR(VLOOKUP(Financeiros[[#This Row],[Grupo Tarifário]],RefTabGrupoTarifa[],3,FALSE),0)</f>
        <v>8</v>
      </c>
      <c r="M74" s="1631">
        <f>IFERROR(VLOOKUP(Financeiros[[#This Row],[Grupo Tarifário]],RefTabGrupoTarifa[],4,FALSE),0)</f>
        <v>9</v>
      </c>
    </row>
    <row r="75" spans="3:13" ht="16.5" hidden="1">
      <c r="C75" s="1651" t="s">
        <v>2100</v>
      </c>
      <c r="D75" s="1767">
        <f ca="1">IFERROR('Financeiros Mitigação'!$D$7*H5,0)</f>
        <v>0</v>
      </c>
      <c r="E75" s="1615">
        <f t="shared" ca="1" si="1"/>
        <v>0</v>
      </c>
      <c r="F75" s="1602" t="s">
        <v>2234</v>
      </c>
      <c r="G75" s="1619" t="s">
        <v>2259</v>
      </c>
      <c r="H75" s="1603">
        <f>IFERROR(VLOOKUP(Financeiros[[#This Row],[Tipo]],RefTabTipo[],2,FALSE),0)</f>
        <v>22</v>
      </c>
      <c r="I75" s="1625">
        <f>IFERROR(VLOOKUP(Financeiros[[#This Row],[Tipo]],RefTabTipo[],3,FALSE),0)</f>
        <v>60</v>
      </c>
      <c r="J75" s="1604">
        <f>IFERROR(VLOOKUP(Financeiros[[#This Row],[Tipo]],RefTabTipo[],4,FALSE),0)</f>
        <v>240</v>
      </c>
      <c r="K75" s="1631">
        <f>IFERROR(VLOOKUP(Financeiros[[#This Row],[Grupo Tarifário]],RefTabGrupoTarifa[],2,FALSE),0)</f>
        <v>2</v>
      </c>
      <c r="L75" s="1603">
        <f>IFERROR(VLOOKUP(Financeiros[[#This Row],[Grupo Tarifário]],RefTabGrupoTarifa[],3,FALSE),0)</f>
        <v>10</v>
      </c>
      <c r="M75" s="1631">
        <f>IFERROR(VLOOKUP(Financeiros[[#This Row],[Grupo Tarifário]],RefTabGrupoTarifa[],4,FALSE),0)</f>
        <v>9</v>
      </c>
    </row>
    <row r="76" spans="3:13" ht="16.5" hidden="1">
      <c r="C76" s="1651" t="s">
        <v>2101</v>
      </c>
      <c r="D76" s="1767">
        <f ca="1">IFERROR('Financeiros Mitigação'!$D$7*H6,0)</f>
        <v>0</v>
      </c>
      <c r="E76" s="1615">
        <f t="shared" ca="1" si="1"/>
        <v>0</v>
      </c>
      <c r="F76" s="1619" t="s">
        <v>2234</v>
      </c>
      <c r="G76" s="1619" t="s">
        <v>2260</v>
      </c>
      <c r="H76" s="1631">
        <f>IFERROR(VLOOKUP(Financeiros[[#This Row],[Tipo]],RefTabTipo[],2,FALSE),0)</f>
        <v>22</v>
      </c>
      <c r="I76" s="1625">
        <f>IFERROR(VLOOKUP(Financeiros[[#This Row],[Tipo]],RefTabTipo[],3,FALSE),0)</f>
        <v>60</v>
      </c>
      <c r="J76" s="1625">
        <f>IFERROR(VLOOKUP(Financeiros[[#This Row],[Tipo]],RefTabTipo[],4,FALSE),0)</f>
        <v>240</v>
      </c>
      <c r="K76" s="1631">
        <f>IFERROR(VLOOKUP(Financeiros[[#This Row],[Grupo Tarifário]],RefTabGrupoTarifa[],2,FALSE),0)</f>
        <v>2</v>
      </c>
      <c r="L76" s="1631">
        <f>IFERROR(VLOOKUP(Financeiros[[#This Row],[Grupo Tarifário]],RefTabGrupoTarifa[],3,FALSE),0)</f>
        <v>24</v>
      </c>
      <c r="M76" s="1631">
        <f>IFERROR(VLOOKUP(Financeiros[[#This Row],[Grupo Tarifário]],RefTabGrupoTarifa[],4,FALSE),0)</f>
        <v>9</v>
      </c>
    </row>
    <row r="77" spans="3:13" ht="16.5" hidden="1">
      <c r="C77" s="1652" t="s">
        <v>2311</v>
      </c>
      <c r="D77" s="1768">
        <f ca="1">IFERROR(CVE!$I$9*H2,0)</f>
        <v>0</v>
      </c>
      <c r="E77" s="1615">
        <f t="shared" ca="1" si="1"/>
        <v>0</v>
      </c>
      <c r="F77" s="1620" t="s">
        <v>2239</v>
      </c>
      <c r="G77" s="1620" t="s">
        <v>2256</v>
      </c>
      <c r="H77" s="1632">
        <f>IFERROR(VLOOKUP(Financeiros[[#This Row],[Tipo]],RefTabTipo[],2,FALSE),0)</f>
        <v>22</v>
      </c>
      <c r="I77" s="1626">
        <f>IFERROR(VLOOKUP(Financeiros[[#This Row],[Tipo]],RefTabTipo[],3,FALSE),0)</f>
        <v>60</v>
      </c>
      <c r="J77" s="1626">
        <f>IFERROR(VLOOKUP(Financeiros[[#This Row],[Tipo]],RefTabTipo[],4,FALSE),0)</f>
        <v>106</v>
      </c>
      <c r="K77" s="1632">
        <f>IFERROR(VLOOKUP(Financeiros[[#This Row],[Grupo Tarifário]],RefTabGrupoTarifa[],2,FALSE),0)</f>
        <v>2</v>
      </c>
      <c r="L77" s="1632">
        <f>IFERROR(VLOOKUP(Financeiros[[#This Row],[Grupo Tarifário]],RefTabGrupoTarifa[],3,FALSE),0)</f>
        <v>11</v>
      </c>
      <c r="M77" s="1632">
        <f>IFERROR(VLOOKUP(Financeiros[[#This Row],[Grupo Tarifário]],RefTabGrupoTarifa[],4,FALSE),0)</f>
        <v>9</v>
      </c>
    </row>
    <row r="78" spans="3:13" ht="16.5" hidden="1">
      <c r="C78" s="1652" t="s">
        <v>2312</v>
      </c>
      <c r="D78" s="1768">
        <f ca="1">IFERROR(CVE!$I$9*H3,0)</f>
        <v>0</v>
      </c>
      <c r="E78" s="1615">
        <f t="shared" ca="1" si="1"/>
        <v>0</v>
      </c>
      <c r="F78" s="1620" t="s">
        <v>2239</v>
      </c>
      <c r="G78" s="1620" t="s">
        <v>2258</v>
      </c>
      <c r="H78" s="1632">
        <f>IFERROR(VLOOKUP(Financeiros[[#This Row],[Tipo]],RefTabTipo[],2,FALSE),0)</f>
        <v>22</v>
      </c>
      <c r="I78" s="1626">
        <f>IFERROR(VLOOKUP(Financeiros[[#This Row],[Tipo]],RefTabTipo[],3,FALSE),0)</f>
        <v>60</v>
      </c>
      <c r="J78" s="1626">
        <f>IFERROR(VLOOKUP(Financeiros[[#This Row],[Tipo]],RefTabTipo[],4,FALSE),0)</f>
        <v>106</v>
      </c>
      <c r="K78" s="1632">
        <f>IFERROR(VLOOKUP(Financeiros[[#This Row],[Grupo Tarifário]],RefTabGrupoTarifa[],2,FALSE),0)</f>
        <v>2</v>
      </c>
      <c r="L78" s="1632">
        <f>IFERROR(VLOOKUP(Financeiros[[#This Row],[Grupo Tarifário]],RefTabGrupoTarifa[],3,FALSE),0)</f>
        <v>9</v>
      </c>
      <c r="M78" s="1632">
        <f>IFERROR(VLOOKUP(Financeiros[[#This Row],[Grupo Tarifário]],RefTabGrupoTarifa[],4,FALSE),0)</f>
        <v>9</v>
      </c>
    </row>
    <row r="79" spans="3:13" ht="16.5" hidden="1">
      <c r="C79" s="1652" t="s">
        <v>2313</v>
      </c>
      <c r="D79" s="1768">
        <f ca="1">IFERROR(CVE!$I$9*H4,0)</f>
        <v>0</v>
      </c>
      <c r="E79" s="1615">
        <f t="shared" ca="1" si="1"/>
        <v>0</v>
      </c>
      <c r="F79" s="1620" t="s">
        <v>2239</v>
      </c>
      <c r="G79" s="1620" t="s">
        <v>2261</v>
      </c>
      <c r="H79" s="1632">
        <f>IFERROR(VLOOKUP(Financeiros[[#This Row],[Tipo]],RefTabTipo[],2,FALSE),0)</f>
        <v>22</v>
      </c>
      <c r="I79" s="1626">
        <f>IFERROR(VLOOKUP(Financeiros[[#This Row],[Tipo]],RefTabTipo[],3,FALSE),0)</f>
        <v>60</v>
      </c>
      <c r="J79" s="1626">
        <f>IFERROR(VLOOKUP(Financeiros[[#This Row],[Tipo]],RefTabTipo[],4,FALSE),0)</f>
        <v>106</v>
      </c>
      <c r="K79" s="1632">
        <f>IFERROR(VLOOKUP(Financeiros[[#This Row],[Grupo Tarifário]],RefTabGrupoTarifa[],2,FALSE),0)</f>
        <v>2</v>
      </c>
      <c r="L79" s="1632">
        <f>IFERROR(VLOOKUP(Financeiros[[#This Row],[Grupo Tarifário]],RefTabGrupoTarifa[],3,FALSE),0)</f>
        <v>8</v>
      </c>
      <c r="M79" s="1632">
        <f>IFERROR(VLOOKUP(Financeiros[[#This Row],[Grupo Tarifário]],RefTabGrupoTarifa[],4,FALSE),0)</f>
        <v>9</v>
      </c>
    </row>
    <row r="80" spans="3:13" ht="16.5" hidden="1">
      <c r="C80" s="1652" t="s">
        <v>2314</v>
      </c>
      <c r="D80" s="1768">
        <f ca="1">IFERROR(CVE!$I$9*H5,0)</f>
        <v>0</v>
      </c>
      <c r="E80" s="1615">
        <f t="shared" ca="1" si="1"/>
        <v>0</v>
      </c>
      <c r="F80" s="1620" t="s">
        <v>2239</v>
      </c>
      <c r="G80" s="1620" t="s">
        <v>2259</v>
      </c>
      <c r="H80" s="1632">
        <f>IFERROR(VLOOKUP(Financeiros[[#This Row],[Tipo]],RefTabTipo[],2,FALSE),0)</f>
        <v>22</v>
      </c>
      <c r="I80" s="1626">
        <f>IFERROR(VLOOKUP(Financeiros[[#This Row],[Tipo]],RefTabTipo[],3,FALSE),0)</f>
        <v>60</v>
      </c>
      <c r="J80" s="1626">
        <f>IFERROR(VLOOKUP(Financeiros[[#This Row],[Tipo]],RefTabTipo[],4,FALSE),0)</f>
        <v>106</v>
      </c>
      <c r="K80" s="1632">
        <f>IFERROR(VLOOKUP(Financeiros[[#This Row],[Grupo Tarifário]],RefTabGrupoTarifa[],2,FALSE),0)</f>
        <v>2</v>
      </c>
      <c r="L80" s="1632">
        <f>IFERROR(VLOOKUP(Financeiros[[#This Row],[Grupo Tarifário]],RefTabGrupoTarifa[],3,FALSE),0)</f>
        <v>10</v>
      </c>
      <c r="M80" s="1632">
        <f>IFERROR(VLOOKUP(Financeiros[[#This Row],[Grupo Tarifário]],RefTabGrupoTarifa[],4,FALSE),0)</f>
        <v>9</v>
      </c>
    </row>
    <row r="81" spans="3:13" ht="16.5" hidden="1">
      <c r="C81" s="1652" t="s">
        <v>2315</v>
      </c>
      <c r="D81" s="1768">
        <f ca="1">IFERROR(CVE!$I$9*H6,0)</f>
        <v>0</v>
      </c>
      <c r="E81" s="1615">
        <f t="shared" ca="1" si="1"/>
        <v>0</v>
      </c>
      <c r="F81" s="1620" t="s">
        <v>2239</v>
      </c>
      <c r="G81" s="1620" t="s">
        <v>2260</v>
      </c>
      <c r="H81" s="1632">
        <f>IFERROR(VLOOKUP(Financeiros[[#This Row],[Tipo]],RefTabTipo[],2,FALSE),0)</f>
        <v>22</v>
      </c>
      <c r="I81" s="1626">
        <f>IFERROR(VLOOKUP(Financeiros[[#This Row],[Tipo]],RefTabTipo[],3,FALSE),0)</f>
        <v>60</v>
      </c>
      <c r="J81" s="1626">
        <f>IFERROR(VLOOKUP(Financeiros[[#This Row],[Tipo]],RefTabTipo[],4,FALSE),0)</f>
        <v>106</v>
      </c>
      <c r="K81" s="1632">
        <f>IFERROR(VLOOKUP(Financeiros[[#This Row],[Grupo Tarifário]],RefTabGrupoTarifa[],2,FALSE),0)</f>
        <v>2</v>
      </c>
      <c r="L81" s="1632">
        <f>IFERROR(VLOOKUP(Financeiros[[#This Row],[Grupo Tarifário]],RefTabGrupoTarifa[],3,FALSE),0)</f>
        <v>24</v>
      </c>
      <c r="M81" s="1632">
        <f>IFERROR(VLOOKUP(Financeiros[[#This Row],[Grupo Tarifário]],RefTabGrupoTarifa[],4,FALSE),0)</f>
        <v>9</v>
      </c>
    </row>
    <row r="82" spans="3:13" ht="16.5" hidden="1">
      <c r="C82" s="1653" t="s">
        <v>2292</v>
      </c>
      <c r="D82" s="1769">
        <f ca="1">IFERROR(CVE!$I$15*H2,0)</f>
        <v>0</v>
      </c>
      <c r="E82" s="1615">
        <f t="shared" ca="1" si="1"/>
        <v>0</v>
      </c>
      <c r="F82" s="1621" t="s">
        <v>1305</v>
      </c>
      <c r="G82" s="1621" t="s">
        <v>2256</v>
      </c>
      <c r="H82" s="1633">
        <f>IFERROR(VLOOKUP(Financeiros[[#This Row],[Tipo]],RefTabTipo[],2,FALSE),0)</f>
        <v>22</v>
      </c>
      <c r="I82" s="1627">
        <f>IFERROR(VLOOKUP(Financeiros[[#This Row],[Tipo]],RefTabTipo[],3,FALSE),0)</f>
        <v>62</v>
      </c>
      <c r="J82" s="1627">
        <f>IFERROR(VLOOKUP(Financeiros[[#This Row],[Tipo]],RefTabTipo[],4,FALSE),0)</f>
        <v>220</v>
      </c>
      <c r="K82" s="1633">
        <f>IFERROR(VLOOKUP(Financeiros[[#This Row],[Grupo Tarifário]],RefTabGrupoTarifa[],2,FALSE),0)</f>
        <v>2</v>
      </c>
      <c r="L82" s="1633">
        <f>IFERROR(VLOOKUP(Financeiros[[#This Row],[Grupo Tarifário]],RefTabGrupoTarifa[],3,FALSE),0)</f>
        <v>11</v>
      </c>
      <c r="M82" s="1633">
        <f>IFERROR(VLOOKUP(Financeiros[[#This Row],[Grupo Tarifário]],RefTabGrupoTarifa[],4,FALSE),0)</f>
        <v>9</v>
      </c>
    </row>
    <row r="83" spans="3:13" ht="16.5" hidden="1">
      <c r="C83" s="1653" t="s">
        <v>2293</v>
      </c>
      <c r="D83" s="1769">
        <f ca="1">IFERROR(CVE!$I$15*H3,0)</f>
        <v>0</v>
      </c>
      <c r="E83" s="1615">
        <f t="shared" ca="1" si="1"/>
        <v>0</v>
      </c>
      <c r="F83" s="1621" t="s">
        <v>1305</v>
      </c>
      <c r="G83" s="1621" t="s">
        <v>2258</v>
      </c>
      <c r="H83" s="1634">
        <f>IFERROR(VLOOKUP(Financeiros[[#This Row],[Tipo]],RefTabTipo[],2,FALSE),0)</f>
        <v>22</v>
      </c>
      <c r="I83" s="1628">
        <f>IFERROR(VLOOKUP(Financeiros[[#This Row],[Tipo]],RefTabTipo[],3,FALSE),0)</f>
        <v>62</v>
      </c>
      <c r="J83" s="1628">
        <f>IFERROR(VLOOKUP(Financeiros[[#This Row],[Tipo]],RefTabTipo[],4,FALSE),0)</f>
        <v>220</v>
      </c>
      <c r="K83" s="1634">
        <f>IFERROR(VLOOKUP(Financeiros[[#This Row],[Grupo Tarifário]],RefTabGrupoTarifa[],2,FALSE),0)</f>
        <v>2</v>
      </c>
      <c r="L83" s="1634">
        <f>IFERROR(VLOOKUP(Financeiros[[#This Row],[Grupo Tarifário]],RefTabGrupoTarifa[],3,FALSE),0)</f>
        <v>9</v>
      </c>
      <c r="M83" s="1634">
        <f>IFERROR(VLOOKUP(Financeiros[[#This Row],[Grupo Tarifário]],RefTabGrupoTarifa[],4,FALSE),0)</f>
        <v>9</v>
      </c>
    </row>
    <row r="84" spans="3:13" ht="16.5" hidden="1">
      <c r="C84" s="1653" t="s">
        <v>2294</v>
      </c>
      <c r="D84" s="1769">
        <f ca="1">IFERROR(CVE!$I$15*H4,0)</f>
        <v>0</v>
      </c>
      <c r="E84" s="1615">
        <f t="shared" ca="1" si="1"/>
        <v>0</v>
      </c>
      <c r="F84" s="1621" t="s">
        <v>1305</v>
      </c>
      <c r="G84" s="1621" t="s">
        <v>2261</v>
      </c>
      <c r="H84" s="1634">
        <f>IFERROR(VLOOKUP(Financeiros[[#This Row],[Tipo]],RefTabTipo[],2,FALSE),0)</f>
        <v>22</v>
      </c>
      <c r="I84" s="1628">
        <f>IFERROR(VLOOKUP(Financeiros[[#This Row],[Tipo]],RefTabTipo[],3,FALSE),0)</f>
        <v>62</v>
      </c>
      <c r="J84" s="1628">
        <f>IFERROR(VLOOKUP(Financeiros[[#This Row],[Tipo]],RefTabTipo[],4,FALSE),0)</f>
        <v>220</v>
      </c>
      <c r="K84" s="1634">
        <f>IFERROR(VLOOKUP(Financeiros[[#This Row],[Grupo Tarifário]],RefTabGrupoTarifa[],2,FALSE),0)</f>
        <v>2</v>
      </c>
      <c r="L84" s="1634">
        <f>IFERROR(VLOOKUP(Financeiros[[#This Row],[Grupo Tarifário]],RefTabGrupoTarifa[],3,FALSE),0)</f>
        <v>8</v>
      </c>
      <c r="M84" s="1634">
        <f>IFERROR(VLOOKUP(Financeiros[[#This Row],[Grupo Tarifário]],RefTabGrupoTarifa[],4,FALSE),0)</f>
        <v>9</v>
      </c>
    </row>
    <row r="85" spans="3:13" ht="16.5" hidden="1">
      <c r="C85" s="1653" t="s">
        <v>2295</v>
      </c>
      <c r="D85" s="1769">
        <f ca="1">IFERROR(CVE!$I$15*H5,0)</f>
        <v>0</v>
      </c>
      <c r="E85" s="1615">
        <f t="shared" ca="1" si="1"/>
        <v>0</v>
      </c>
      <c r="F85" s="1621" t="s">
        <v>1305</v>
      </c>
      <c r="G85" s="1621" t="s">
        <v>2259</v>
      </c>
      <c r="H85" s="1634">
        <f>IFERROR(VLOOKUP(Financeiros[[#This Row],[Tipo]],RefTabTipo[],2,FALSE),0)</f>
        <v>22</v>
      </c>
      <c r="I85" s="1628">
        <f>IFERROR(VLOOKUP(Financeiros[[#This Row],[Tipo]],RefTabTipo[],3,FALSE),0)</f>
        <v>62</v>
      </c>
      <c r="J85" s="1628">
        <f>IFERROR(VLOOKUP(Financeiros[[#This Row],[Tipo]],RefTabTipo[],4,FALSE),0)</f>
        <v>220</v>
      </c>
      <c r="K85" s="1634">
        <f>IFERROR(VLOOKUP(Financeiros[[#This Row],[Grupo Tarifário]],RefTabGrupoTarifa[],2,FALSE),0)</f>
        <v>2</v>
      </c>
      <c r="L85" s="1634">
        <f>IFERROR(VLOOKUP(Financeiros[[#This Row],[Grupo Tarifário]],RefTabGrupoTarifa[],3,FALSE),0)</f>
        <v>10</v>
      </c>
      <c r="M85" s="1634">
        <f>IFERROR(VLOOKUP(Financeiros[[#This Row],[Grupo Tarifário]],RefTabGrupoTarifa[],4,FALSE),0)</f>
        <v>9</v>
      </c>
    </row>
    <row r="86" spans="3:13" ht="16.5" hidden="1">
      <c r="C86" s="1653" t="s">
        <v>2296</v>
      </c>
      <c r="D86" s="1769">
        <f ca="1">IFERROR(CVE!$I$15*H6,0)</f>
        <v>0</v>
      </c>
      <c r="E86" s="1615">
        <f t="shared" ca="1" si="1"/>
        <v>0</v>
      </c>
      <c r="F86" s="1621" t="s">
        <v>1305</v>
      </c>
      <c r="G86" s="1621" t="s">
        <v>2260</v>
      </c>
      <c r="H86" s="1634">
        <f>IFERROR(VLOOKUP(Financeiros[[#This Row],[Tipo]],RefTabTipo[],2,FALSE),0)</f>
        <v>22</v>
      </c>
      <c r="I86" s="1628">
        <f>IFERROR(VLOOKUP(Financeiros[[#This Row],[Tipo]],RefTabTipo[],3,FALSE),0)</f>
        <v>62</v>
      </c>
      <c r="J86" s="1628">
        <f>IFERROR(VLOOKUP(Financeiros[[#This Row],[Tipo]],RefTabTipo[],4,FALSE),0)</f>
        <v>220</v>
      </c>
      <c r="K86" s="1634">
        <f>IFERROR(VLOOKUP(Financeiros[[#This Row],[Grupo Tarifário]],RefTabGrupoTarifa[],2,FALSE),0)</f>
        <v>2</v>
      </c>
      <c r="L86" s="1634">
        <f>IFERROR(VLOOKUP(Financeiros[[#This Row],[Grupo Tarifário]],RefTabGrupoTarifa[],3,FALSE),0)</f>
        <v>24</v>
      </c>
      <c r="M86" s="1634">
        <f>IFERROR(VLOOKUP(Financeiros[[#This Row],[Grupo Tarifário]],RefTabGrupoTarifa[],4,FALSE),0)</f>
        <v>9</v>
      </c>
    </row>
    <row r="87" spans="3:13" ht="16.5" hidden="1">
      <c r="C87" s="1661" t="s">
        <v>2297</v>
      </c>
      <c r="D87" s="1770">
        <f ca="1">IFERROR(Energia!$K$66*H2,0)</f>
        <v>0</v>
      </c>
      <c r="E87" s="1615">
        <f t="shared" ca="1" si="1"/>
        <v>0</v>
      </c>
      <c r="F87" s="1621" t="s">
        <v>2277</v>
      </c>
      <c r="G87" s="1621" t="s">
        <v>2256</v>
      </c>
      <c r="H87" s="1634">
        <f>IFERROR(VLOOKUP(Financeiros[[#This Row],[Tipo]],RefTabTipo[],2,FALSE),0)</f>
        <v>22</v>
      </c>
      <c r="I87" s="1628">
        <f>IFERROR(VLOOKUP(Financeiros[[#This Row],[Tipo]],RefTabTipo[],3,FALSE),0)</f>
        <v>60</v>
      </c>
      <c r="J87" s="1628">
        <f>IFERROR(VLOOKUP(Financeiros[[#This Row],[Tipo]],RefTabTipo[],4,FALSE),0)</f>
        <v>220</v>
      </c>
      <c r="K87" s="1634">
        <f>IFERROR(VLOOKUP(Financeiros[[#This Row],[Grupo Tarifário]],RefTabGrupoTarifa[],2,FALSE),0)</f>
        <v>2</v>
      </c>
      <c r="L87" s="1634">
        <f>IFERROR(VLOOKUP(Financeiros[[#This Row],[Grupo Tarifário]],RefTabGrupoTarifa[],3,FALSE),0)</f>
        <v>11</v>
      </c>
      <c r="M87" s="1634">
        <f>IFERROR(VLOOKUP(Financeiros[[#This Row],[Grupo Tarifário]],RefTabGrupoTarifa[],4,FALSE),0)</f>
        <v>9</v>
      </c>
    </row>
    <row r="88" spans="3:13" ht="16.5" hidden="1">
      <c r="C88" s="1661" t="s">
        <v>2298</v>
      </c>
      <c r="D88" s="1770">
        <f ca="1">IFERROR(Energia!$K$66*H3,0)</f>
        <v>0</v>
      </c>
      <c r="E88" s="1615">
        <f t="shared" ca="1" si="1"/>
        <v>0</v>
      </c>
      <c r="F88" s="1621" t="s">
        <v>2277</v>
      </c>
      <c r="G88" s="1621" t="s">
        <v>2258</v>
      </c>
      <c r="H88" s="1634">
        <f>IFERROR(VLOOKUP(Financeiros[[#This Row],[Tipo]],RefTabTipo[],2,FALSE),0)</f>
        <v>22</v>
      </c>
      <c r="I88" s="1628">
        <f>IFERROR(VLOOKUP(Financeiros[[#This Row],[Tipo]],RefTabTipo[],3,FALSE),0)</f>
        <v>60</v>
      </c>
      <c r="J88" s="1628">
        <f>IFERROR(VLOOKUP(Financeiros[[#This Row],[Tipo]],RefTabTipo[],4,FALSE),0)</f>
        <v>220</v>
      </c>
      <c r="K88" s="1634">
        <f>IFERROR(VLOOKUP(Financeiros[[#This Row],[Grupo Tarifário]],RefTabGrupoTarifa[],2,FALSE),0)</f>
        <v>2</v>
      </c>
      <c r="L88" s="1634">
        <f>IFERROR(VLOOKUP(Financeiros[[#This Row],[Grupo Tarifário]],RefTabGrupoTarifa[],3,FALSE),0)</f>
        <v>9</v>
      </c>
      <c r="M88" s="1634">
        <f>IFERROR(VLOOKUP(Financeiros[[#This Row],[Grupo Tarifário]],RefTabGrupoTarifa[],4,FALSE),0)</f>
        <v>9</v>
      </c>
    </row>
    <row r="89" spans="3:13" ht="16.5" hidden="1">
      <c r="C89" s="1661" t="s">
        <v>2299</v>
      </c>
      <c r="D89" s="1770">
        <f ca="1">IFERROR(Energia!$K$66*H4,0)</f>
        <v>0</v>
      </c>
      <c r="E89" s="1615">
        <f t="shared" ca="1" si="1"/>
        <v>0</v>
      </c>
      <c r="F89" s="1621" t="s">
        <v>2277</v>
      </c>
      <c r="G89" s="1621" t="s">
        <v>2261</v>
      </c>
      <c r="H89" s="1634">
        <f>IFERROR(VLOOKUP(Financeiros[[#This Row],[Tipo]],RefTabTipo[],2,FALSE),0)</f>
        <v>22</v>
      </c>
      <c r="I89" s="1628">
        <f>IFERROR(VLOOKUP(Financeiros[[#This Row],[Tipo]],RefTabTipo[],3,FALSE),0)</f>
        <v>60</v>
      </c>
      <c r="J89" s="1628">
        <f>IFERROR(VLOOKUP(Financeiros[[#This Row],[Tipo]],RefTabTipo[],4,FALSE),0)</f>
        <v>220</v>
      </c>
      <c r="K89" s="1634">
        <f>IFERROR(VLOOKUP(Financeiros[[#This Row],[Grupo Tarifário]],RefTabGrupoTarifa[],2,FALSE),0)</f>
        <v>2</v>
      </c>
      <c r="L89" s="1634">
        <f>IFERROR(VLOOKUP(Financeiros[[#This Row],[Grupo Tarifário]],RefTabGrupoTarifa[],3,FALSE),0)</f>
        <v>8</v>
      </c>
      <c r="M89" s="1634">
        <f>IFERROR(VLOOKUP(Financeiros[[#This Row],[Grupo Tarifário]],RefTabGrupoTarifa[],4,FALSE),0)</f>
        <v>9</v>
      </c>
    </row>
    <row r="90" spans="3:13" ht="16.5" hidden="1">
      <c r="C90" s="1661" t="s">
        <v>2300</v>
      </c>
      <c r="D90" s="1770">
        <f ca="1">IFERROR(Energia!$K$66*H5,0)</f>
        <v>0</v>
      </c>
      <c r="E90" s="1615">
        <f t="shared" ca="1" si="1"/>
        <v>0</v>
      </c>
      <c r="F90" s="1621" t="s">
        <v>2277</v>
      </c>
      <c r="G90" s="1621" t="s">
        <v>2259</v>
      </c>
      <c r="H90" s="1634">
        <f>IFERROR(VLOOKUP(Financeiros[[#This Row],[Tipo]],RefTabTipo[],2,FALSE),0)</f>
        <v>22</v>
      </c>
      <c r="I90" s="1628">
        <f>IFERROR(VLOOKUP(Financeiros[[#This Row],[Tipo]],RefTabTipo[],3,FALSE),0)</f>
        <v>60</v>
      </c>
      <c r="J90" s="1628">
        <f>IFERROR(VLOOKUP(Financeiros[[#This Row],[Tipo]],RefTabTipo[],4,FALSE),0)</f>
        <v>220</v>
      </c>
      <c r="K90" s="1634">
        <f>IFERROR(VLOOKUP(Financeiros[[#This Row],[Grupo Tarifário]],RefTabGrupoTarifa[],2,FALSE),0)</f>
        <v>2</v>
      </c>
      <c r="L90" s="1634">
        <f>IFERROR(VLOOKUP(Financeiros[[#This Row],[Grupo Tarifário]],RefTabGrupoTarifa[],3,FALSE),0)</f>
        <v>10</v>
      </c>
      <c r="M90" s="1634">
        <f>IFERROR(VLOOKUP(Financeiros[[#This Row],[Grupo Tarifário]],RefTabGrupoTarifa[],4,FALSE),0)</f>
        <v>9</v>
      </c>
    </row>
    <row r="91" spans="3:13" ht="16.5" hidden="1">
      <c r="C91" s="1661" t="s">
        <v>2301</v>
      </c>
      <c r="D91" s="1770">
        <f ca="1">IFERROR(Energia!$K$66*H6,0)</f>
        <v>0</v>
      </c>
      <c r="E91" s="1615">
        <f t="shared" ca="1" si="1"/>
        <v>0</v>
      </c>
      <c r="F91" s="1621" t="s">
        <v>2277</v>
      </c>
      <c r="G91" s="1621" t="s">
        <v>2260</v>
      </c>
      <c r="H91" s="1634">
        <f>IFERROR(VLOOKUP(Financeiros[[#This Row],[Tipo]],RefTabTipo[],2,FALSE),0)</f>
        <v>22</v>
      </c>
      <c r="I91" s="1628">
        <f>IFERROR(VLOOKUP(Financeiros[[#This Row],[Tipo]],RefTabTipo[],3,FALSE),0)</f>
        <v>60</v>
      </c>
      <c r="J91" s="1628">
        <f>IFERROR(VLOOKUP(Financeiros[[#This Row],[Tipo]],RefTabTipo[],4,FALSE),0)</f>
        <v>220</v>
      </c>
      <c r="K91" s="1634">
        <f>IFERROR(VLOOKUP(Financeiros[[#This Row],[Grupo Tarifário]],RefTabGrupoTarifa[],2,FALSE),0)</f>
        <v>2</v>
      </c>
      <c r="L91" s="1634">
        <f>IFERROR(VLOOKUP(Financeiros[[#This Row],[Grupo Tarifário]],RefTabGrupoTarifa[],3,FALSE),0)</f>
        <v>24</v>
      </c>
      <c r="M91" s="1634">
        <f>IFERROR(VLOOKUP(Financeiros[[#This Row],[Grupo Tarifário]],RefTabGrupoTarifa[],4,FALSE),0)</f>
        <v>9</v>
      </c>
    </row>
    <row r="92" spans="3:13" ht="16.5" hidden="1">
      <c r="C92" s="1614" t="s">
        <v>2631</v>
      </c>
      <c r="D92" s="1771"/>
      <c r="E92" s="1615">
        <f t="shared" ca="1" si="1"/>
        <v>0</v>
      </c>
      <c r="F92" s="1655"/>
      <c r="G92" s="1655"/>
      <c r="H92" s="1657">
        <f>IFERROR(VLOOKUP(Financeiros[[#This Row],[Tipo]],RefTabTipo[],2,FALSE),0)</f>
        <v>0</v>
      </c>
      <c r="I92" s="1623">
        <f>IFERROR(VLOOKUP(Financeiros[[#This Row],[Tipo]],RefTabTipo[],3,FALSE),0)</f>
        <v>0</v>
      </c>
      <c r="J92" s="1623">
        <f>IFERROR(VLOOKUP(Financeiros[[#This Row],[Tipo]],RefTabTipo[],4,FALSE),0)</f>
        <v>0</v>
      </c>
      <c r="K92" s="1657">
        <f>IFERROR(VLOOKUP(Financeiros[[#This Row],[Grupo Tarifário]],RefTabGrupoTarifa[],2,FALSE),0)</f>
        <v>0</v>
      </c>
      <c r="L92" s="1657">
        <f>IFERROR(VLOOKUP(Financeiros[[#This Row],[Grupo Tarifário]],RefTabGrupoTarifa[],3,FALSE),0)</f>
        <v>0</v>
      </c>
      <c r="M92" s="1657">
        <f>IFERROR(VLOOKUP(Financeiros[[#This Row],[Grupo Tarifário]],RefTabGrupoTarifa[],4,FALSE),0)</f>
        <v>0</v>
      </c>
    </row>
    <row r="93" spans="3:13" ht="16.5" hidden="1">
      <c r="C93" s="1614" t="s">
        <v>2632</v>
      </c>
      <c r="D93" s="1771"/>
      <c r="E93" s="1615">
        <f t="shared" ca="1" si="1"/>
        <v>0</v>
      </c>
      <c r="F93" s="1655"/>
      <c r="G93" s="1655"/>
      <c r="H93" s="1657">
        <f>IFERROR(VLOOKUP(Financeiros[[#This Row],[Tipo]],RefTabTipo[],2,FALSE),0)</f>
        <v>0</v>
      </c>
      <c r="I93" s="1623">
        <f>IFERROR(VLOOKUP(Financeiros[[#This Row],[Tipo]],RefTabTipo[],3,FALSE),0)</f>
        <v>0</v>
      </c>
      <c r="J93" s="1623">
        <f>IFERROR(VLOOKUP(Financeiros[[#This Row],[Tipo]],RefTabTipo[],4,FALSE),0)</f>
        <v>0</v>
      </c>
      <c r="K93" s="1657">
        <f>IFERROR(VLOOKUP(Financeiros[[#This Row],[Grupo Tarifário]],RefTabGrupoTarifa[],2,FALSE),0)</f>
        <v>0</v>
      </c>
      <c r="L93" s="1657">
        <f>IFERROR(VLOOKUP(Financeiros[[#This Row],[Grupo Tarifário]],RefTabGrupoTarifa[],3,FALSE),0)</f>
        <v>0</v>
      </c>
      <c r="M93" s="1657">
        <f>IFERROR(VLOOKUP(Financeiros[[#This Row],[Grupo Tarifário]],RefTabGrupoTarifa[],4,FALSE),0)</f>
        <v>0</v>
      </c>
    </row>
    <row r="94" spans="3:13" ht="16.5" hidden="1">
      <c r="C94" s="1760" t="s">
        <v>2633</v>
      </c>
      <c r="D94" s="1771"/>
      <c r="E94" s="1615">
        <f t="shared" ca="1" si="1"/>
        <v>0</v>
      </c>
      <c r="F94" s="1655"/>
      <c r="G94" s="1663"/>
      <c r="H94" s="1657">
        <f>IFERROR(VLOOKUP(Financeiros[[#This Row],[Tipo]],RefTabTipo[],2,FALSE),0)</f>
        <v>0</v>
      </c>
      <c r="I94" s="1623">
        <f>IFERROR(VLOOKUP(Financeiros[[#This Row],[Tipo]],RefTabTipo[],3,FALSE),0)</f>
        <v>0</v>
      </c>
      <c r="J94" s="1623">
        <f>IFERROR(VLOOKUP(Financeiros[[#This Row],[Tipo]],RefTabTipo[],4,FALSE),0)</f>
        <v>0</v>
      </c>
      <c r="K94" s="1657">
        <f>IFERROR(VLOOKUP(Financeiros[[#This Row],[Grupo Tarifário]],RefTabGrupoTarifa[],2,FALSE),0)</f>
        <v>0</v>
      </c>
      <c r="L94" s="1657">
        <f>IFERROR(VLOOKUP(Financeiros[[#This Row],[Grupo Tarifário]],RefTabGrupoTarifa[],3,FALSE),0)</f>
        <v>0</v>
      </c>
      <c r="M94" s="1657">
        <f>IFERROR(VLOOKUP(Financeiros[[#This Row],[Grupo Tarifário]],RefTabGrupoTarifa[],4,FALSE),0)</f>
        <v>0</v>
      </c>
    </row>
    <row r="95" spans="3:13" ht="16.5" hidden="1">
      <c r="C95" s="1614" t="s">
        <v>2634</v>
      </c>
      <c r="D95" s="1771"/>
      <c r="E95" s="1615">
        <f t="shared" ca="1" si="1"/>
        <v>0</v>
      </c>
      <c r="F95" s="1655"/>
      <c r="G95" s="1655"/>
      <c r="H95" s="1657">
        <f>IFERROR(VLOOKUP(Financeiros[[#This Row],[Tipo]],RefTabTipo[],2,FALSE),0)</f>
        <v>0</v>
      </c>
      <c r="I95" s="1623">
        <f>IFERROR(VLOOKUP(Financeiros[[#This Row],[Tipo]],RefTabTipo[],3,FALSE),0)</f>
        <v>0</v>
      </c>
      <c r="J95" s="1623">
        <f>IFERROR(VLOOKUP(Financeiros[[#This Row],[Tipo]],RefTabTipo[],4,FALSE),0)</f>
        <v>0</v>
      </c>
      <c r="K95" s="1657">
        <f>IFERROR(VLOOKUP(Financeiros[[#This Row],[Grupo Tarifário]],RefTabGrupoTarifa[],2,FALSE),0)</f>
        <v>0</v>
      </c>
      <c r="L95" s="1657">
        <f>IFERROR(VLOOKUP(Financeiros[[#This Row],[Grupo Tarifário]],RefTabGrupoTarifa[],3,FALSE),0)</f>
        <v>0</v>
      </c>
      <c r="M95" s="1657">
        <f>IFERROR(VLOOKUP(Financeiros[[#This Row],[Grupo Tarifário]],RefTabGrupoTarifa[],4,FALSE),0)</f>
        <v>0</v>
      </c>
    </row>
    <row r="96" spans="3:13" ht="16.5" hidden="1">
      <c r="C96" s="1614" t="s">
        <v>2635</v>
      </c>
      <c r="D96" s="1771"/>
      <c r="E96" s="1615">
        <f t="shared" ca="1" si="1"/>
        <v>0</v>
      </c>
      <c r="F96" s="1655"/>
      <c r="G96" s="1655"/>
      <c r="H96" s="1657">
        <f>IFERROR(VLOOKUP(Financeiros[[#This Row],[Tipo]],RefTabTipo[],2,FALSE),0)</f>
        <v>0</v>
      </c>
      <c r="I96" s="1623">
        <f>IFERROR(VLOOKUP(Financeiros[[#This Row],[Tipo]],RefTabTipo[],3,FALSE),0)</f>
        <v>0</v>
      </c>
      <c r="J96" s="1623">
        <f>IFERROR(VLOOKUP(Financeiros[[#This Row],[Tipo]],RefTabTipo[],4,FALSE),0)</f>
        <v>0</v>
      </c>
      <c r="K96" s="1657">
        <f>IFERROR(VLOOKUP(Financeiros[[#This Row],[Grupo Tarifário]],RefTabGrupoTarifa[],2,FALSE),0)</f>
        <v>0</v>
      </c>
      <c r="L96" s="1657">
        <f>IFERROR(VLOOKUP(Financeiros[[#This Row],[Grupo Tarifário]],RefTabGrupoTarifa[],3,FALSE),0)</f>
        <v>0</v>
      </c>
      <c r="M96" s="1657">
        <f>IFERROR(VLOOKUP(Financeiros[[#This Row],[Grupo Tarifário]],RefTabGrupoTarifa[],4,FALSE),0)</f>
        <v>0</v>
      </c>
    </row>
    <row r="97" spans="3:13" ht="16.5">
      <c r="C97" s="1614" t="s">
        <v>2628</v>
      </c>
      <c r="D97" s="1771">
        <v>-1200000</v>
      </c>
      <c r="E97" s="1615">
        <f t="shared" ca="1" si="1"/>
        <v>-2.563171293146083E-2</v>
      </c>
      <c r="F97" s="1655" t="s">
        <v>2236</v>
      </c>
      <c r="G97" s="1655" t="s">
        <v>2268</v>
      </c>
      <c r="H97" s="1657">
        <f>IFERROR(VLOOKUP(Financeiros[[#This Row],[Tipo]],RefTabTipo[],2,FALSE),0)</f>
        <v>22</v>
      </c>
      <c r="I97" s="1623">
        <f>IFERROR(VLOOKUP(Financeiros[[#This Row],[Tipo]],RefTabTipo[],3,FALSE),0)</f>
        <v>60</v>
      </c>
      <c r="J97" s="1623">
        <f>IFERROR(VLOOKUP(Financeiros[[#This Row],[Tipo]],RefTabTipo[],4,FALSE),0)</f>
        <v>999</v>
      </c>
      <c r="K97" s="1657">
        <f>IFERROR(VLOOKUP(Financeiros[[#This Row],[Grupo Tarifário]],RefTabGrupoTarifa[],2,FALSE),0)</f>
        <v>1</v>
      </c>
      <c r="L97" s="1657">
        <f>IFERROR(VLOOKUP(Financeiros[[#This Row],[Grupo Tarifário]],RefTabGrupoTarifa[],3,FALSE),0)</f>
        <v>7</v>
      </c>
      <c r="M97" s="1657">
        <f>IFERROR(VLOOKUP(Financeiros[[#This Row],[Grupo Tarifário]],RefTabGrupoTarifa[],4,FALSE),0)</f>
        <v>9</v>
      </c>
    </row>
    <row r="98" spans="3:13" ht="16.5" hidden="1">
      <c r="C98" s="1614"/>
      <c r="D98" s="1771"/>
      <c r="E98" s="1615">
        <f t="shared" ca="1" si="1"/>
        <v>0</v>
      </c>
      <c r="F98" s="1655"/>
      <c r="G98" s="1655"/>
      <c r="H98" s="1657">
        <f>IFERROR(VLOOKUP(Financeiros[[#This Row],[Tipo]],RefTabTipo[],2,FALSE),0)</f>
        <v>0</v>
      </c>
      <c r="I98" s="1623">
        <f>IFERROR(VLOOKUP(Financeiros[[#This Row],[Tipo]],RefTabTipo[],3,FALSE),0)</f>
        <v>0</v>
      </c>
      <c r="J98" s="1623">
        <f>IFERROR(VLOOKUP(Financeiros[[#This Row],[Tipo]],RefTabTipo[],4,FALSE),0)</f>
        <v>0</v>
      </c>
      <c r="K98" s="1657">
        <f>IFERROR(VLOOKUP(Financeiros[[#This Row],[Grupo Tarifário]],RefTabGrupoTarifa[],2,FALSE),0)</f>
        <v>0</v>
      </c>
      <c r="L98" s="1657">
        <f>IFERROR(VLOOKUP(Financeiros[[#This Row],[Grupo Tarifário]],RefTabGrupoTarifa[],3,FALSE),0)</f>
        <v>0</v>
      </c>
      <c r="M98" s="1657">
        <f>IFERROR(VLOOKUP(Financeiros[[#This Row],[Grupo Tarifário]],RefTabGrupoTarifa[],4,FALSE),0)</f>
        <v>0</v>
      </c>
    </row>
    <row r="99" spans="3:13" ht="16.5" hidden="1">
      <c r="C99" s="1614"/>
      <c r="D99" s="1771"/>
      <c r="E99" s="1615">
        <f t="shared" ca="1" si="1"/>
        <v>0</v>
      </c>
      <c r="F99" s="1655"/>
      <c r="G99" s="1655"/>
      <c r="H99" s="1657">
        <f>IFERROR(VLOOKUP(Financeiros[[#This Row],[Tipo]],RefTabTipo[],2,FALSE),0)</f>
        <v>0</v>
      </c>
      <c r="I99" s="1623">
        <f>IFERROR(VLOOKUP(Financeiros[[#This Row],[Tipo]],RefTabTipo[],3,FALSE),0)</f>
        <v>0</v>
      </c>
      <c r="J99" s="1623">
        <f>IFERROR(VLOOKUP(Financeiros[[#This Row],[Tipo]],RefTabTipo[],4,FALSE),0)</f>
        <v>0</v>
      </c>
      <c r="K99" s="1657">
        <f>IFERROR(VLOOKUP(Financeiros[[#This Row],[Grupo Tarifário]],RefTabGrupoTarifa[],2,FALSE),0)</f>
        <v>0</v>
      </c>
      <c r="L99" s="1657">
        <f>IFERROR(VLOOKUP(Financeiros[[#This Row],[Grupo Tarifário]],RefTabGrupoTarifa[],3,FALSE),0)</f>
        <v>0</v>
      </c>
      <c r="M99" s="1657">
        <f>IFERROR(VLOOKUP(Financeiros[[#This Row],[Grupo Tarifário]],RefTabGrupoTarifa[],4,FALSE),0)</f>
        <v>0</v>
      </c>
    </row>
    <row r="100" spans="3:13" ht="16.5" hidden="1">
      <c r="C100" s="1614"/>
      <c r="D100" s="1771"/>
      <c r="E100" s="1615">
        <f t="shared" ca="1" si="1"/>
        <v>0</v>
      </c>
      <c r="F100" s="1655"/>
      <c r="G100" s="1655"/>
      <c r="H100" s="1657">
        <f>IFERROR(VLOOKUP(Financeiros[[#This Row],[Tipo]],RefTabTipo[],2,FALSE),0)</f>
        <v>0</v>
      </c>
      <c r="I100" s="1623">
        <f>IFERROR(VLOOKUP(Financeiros[[#This Row],[Tipo]],RefTabTipo[],3,FALSE),0)</f>
        <v>0</v>
      </c>
      <c r="J100" s="1623">
        <f>IFERROR(VLOOKUP(Financeiros[[#This Row],[Tipo]],RefTabTipo[],4,FALSE),0)</f>
        <v>0</v>
      </c>
      <c r="K100" s="1657">
        <f>IFERROR(VLOOKUP(Financeiros[[#This Row],[Grupo Tarifário]],RefTabGrupoTarifa[],2,FALSE),0)</f>
        <v>0</v>
      </c>
      <c r="L100" s="1657">
        <f>IFERROR(VLOOKUP(Financeiros[[#This Row],[Grupo Tarifário]],RefTabGrupoTarifa[],3,FALSE),0)</f>
        <v>0</v>
      </c>
      <c r="M100" s="1657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26 D29:D34 D39:D42 D47:D67 D68:D91 D97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29" t="s">
        <v>2283</v>
      </c>
      <c r="B1" s="1225"/>
      <c r="C1" s="1225"/>
      <c r="D1" s="1225"/>
      <c r="E1" s="930"/>
      <c r="F1" s="930"/>
      <c r="G1" s="1128" t="s">
        <v>873</v>
      </c>
      <c r="H1" s="1129">
        <f ca="1">LnkTXTIRTEco</f>
        <v>0.1018</v>
      </c>
    </row>
    <row r="2" spans="1:8" ht="16.5">
      <c r="A2" s="136" t="str">
        <f>CAPA!C9</f>
        <v>Cerej</v>
      </c>
      <c r="B2" s="70"/>
      <c r="C2" s="70"/>
      <c r="D2" s="70"/>
      <c r="E2" s="70"/>
      <c r="F2" s="70"/>
      <c r="G2" s="120" t="s">
        <v>877</v>
      </c>
      <c r="H2" s="121">
        <f ca="1">LnkTXTIRTTotal</f>
        <v>-0.31169999999999998</v>
      </c>
    </row>
    <row r="7" spans="1:8">
      <c r="A7" s="1837" t="s">
        <v>2044</v>
      </c>
      <c r="B7" s="1837"/>
      <c r="C7" s="1837"/>
      <c r="D7" s="1837"/>
      <c r="E7" s="1837"/>
      <c r="F7" s="1837"/>
      <c r="G7" s="1837"/>
      <c r="H7" s="1837"/>
    </row>
    <row r="9" spans="1:8">
      <c r="A9" s="9" t="s">
        <v>2282</v>
      </c>
    </row>
    <row r="12" spans="1:8">
      <c r="A12" s="686" t="s">
        <v>192</v>
      </c>
      <c r="B12" s="296" t="s">
        <v>2039</v>
      </c>
    </row>
    <row r="13" spans="1:8">
      <c r="A13" s="686" t="s">
        <v>952</v>
      </c>
      <c r="B13" s="1710"/>
    </row>
    <row r="14" spans="1:8">
      <c r="A14" s="686" t="s">
        <v>971</v>
      </c>
      <c r="B14" s="1710"/>
    </row>
    <row r="16" spans="1:8">
      <c r="A16" s="296" t="s">
        <v>192</v>
      </c>
      <c r="B16" s="296" t="s">
        <v>2045</v>
      </c>
      <c r="C16" s="296" t="s">
        <v>2040</v>
      </c>
      <c r="D16" s="296" t="s">
        <v>2041</v>
      </c>
      <c r="E16" s="296" t="s">
        <v>769</v>
      </c>
    </row>
    <row r="17" spans="1:8">
      <c r="A17" s="686" t="s">
        <v>769</v>
      </c>
      <c r="B17" s="1711">
        <f>B18+B19</f>
        <v>0</v>
      </c>
      <c r="C17" s="1711">
        <f>Indexador!R49</f>
        <v>0</v>
      </c>
      <c r="D17" s="1711">
        <f>C17*85%</f>
        <v>0</v>
      </c>
      <c r="E17" s="1711">
        <f>SUM(B17:D17)</f>
        <v>0</v>
      </c>
    </row>
    <row r="18" spans="1:8">
      <c r="A18" s="686" t="s">
        <v>952</v>
      </c>
      <c r="B18" s="1711">
        <f>Indexador!V49</f>
        <v>0</v>
      </c>
      <c r="C18" s="1711">
        <f>IFERROR($C$17*C41,0)</f>
        <v>0</v>
      </c>
      <c r="D18" s="1711">
        <f t="shared" ref="D18:D19" si="0">C18*85%</f>
        <v>0</v>
      </c>
      <c r="E18" s="1711">
        <f t="shared" ref="E18:E19" si="1">SUM(B18:D18)</f>
        <v>0</v>
      </c>
    </row>
    <row r="19" spans="1:8">
      <c r="A19" s="686" t="s">
        <v>971</v>
      </c>
      <c r="B19" s="1711">
        <f>Indexador!T49</f>
        <v>0</v>
      </c>
      <c r="C19" s="1711">
        <f>IFERROR($C$17*D41,0)</f>
        <v>0</v>
      </c>
      <c r="D19" s="1711">
        <f t="shared" si="0"/>
        <v>0</v>
      </c>
      <c r="E19" s="1711">
        <f t="shared" si="1"/>
        <v>0</v>
      </c>
    </row>
    <row r="24" spans="1:8">
      <c r="A24" s="1837" t="s">
        <v>2198</v>
      </c>
      <c r="B24" s="1837"/>
      <c r="C24" s="1837"/>
      <c r="D24" s="1837"/>
      <c r="E24" s="1837"/>
      <c r="F24" s="1837"/>
      <c r="G24" s="1837"/>
      <c r="H24" s="1837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538905.67074000009</v>
      </c>
      <c r="D28" s="232">
        <f>SUMIF(FaturasT!$I:$I,'Tributos suprimento'!$B28,FaturasT!AB:AB)</f>
        <v>462923.47742999997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531135.39212999993</v>
      </c>
      <c r="D29" s="232">
        <f>SUMIF(FaturasT!$I:$I,'Tributos suprimento'!$B29,FaturasT!AB:AB)</f>
        <v>449841.56604999996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509955.07146999997</v>
      </c>
      <c r="D30" s="232">
        <f>IF(SUMIF(FaturasT!$I:$I,'Tributos suprimento'!$B30,FaturasT!AB:AB)=0,D29,SUMIF(FaturasT!$I:$I,'Tributos suprimento'!$B30,FaturasT!AB:AB))</f>
        <v>863355.68214999989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522045.81728999992</v>
      </c>
      <c r="D31" s="232">
        <f>IF(SUMIF(FaturasT!$I:$I,'Tributos suprimento'!$B31,FaturasT!AB:AB)=0,D30,SUMIF(FaturasT!$I:$I,'Tributos suprimento'!$B31,FaturasT!AB:AB))</f>
        <v>919720.74154999992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547265.40867999999</v>
      </c>
      <c r="D32" s="232">
        <f>IF(SUMIF(FaturasT!$I:$I,'Tributos suprimento'!$B32,FaturasT!AB:AB)=0,D31,SUMIF(FaturasT!$I:$I,'Tributos suprimento'!$B32,FaturasT!AB:AB))</f>
        <v>1034209.9625000001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566233.10139000008</v>
      </c>
      <c r="D33" s="232">
        <f>IF(SUMIF(FaturasT!$I:$I,'Tributos suprimento'!$B33,FaturasT!AB:AB)=0,D32,SUMIF(FaturasT!$I:$I,'Tributos suprimento'!$B33,FaturasT!AB:AB))</f>
        <v>1115962.0933500002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565906.15025999991</v>
      </c>
      <c r="D34" s="232">
        <f>IF(SUMIF(FaturasT!$I:$I,'Tributos suprimento'!$B34,FaturasT!AB:AB)=0,D33,SUMIF(FaturasT!$I:$I,'Tributos suprimento'!$B34,FaturasT!AB:AB))</f>
        <v>924483.52295000001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569902.56208000006</v>
      </c>
      <c r="D35" s="232">
        <f>IF(SUMIF(FaturasT!$I:$I,'Tributos suprimento'!$B35,FaturasT!AB:AB)=0,D34,SUMIF(FaturasT!$I:$I,'Tributos suprimento'!$B35,FaturasT!AB:AB))</f>
        <v>922281.12925000023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555668.75561000011</v>
      </c>
      <c r="D36" s="232">
        <f>IF(SUMIF(FaturasT!$I:$I,'Tributos suprimento'!$B36,FaturasT!AB:AB)=0,D35,SUMIF(FaturasT!$I:$I,'Tributos suprimento'!$B36,FaturasT!AB:AB))</f>
        <v>832076.68700000003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558045.05841000006</v>
      </c>
      <c r="D37" s="232">
        <f>IF(SUMIF(FaturasT!$I:$I,'Tributos suprimento'!$B37,FaturasT!AB:AB)=0,D36,SUMIF(FaturasT!$I:$I,'Tributos suprimento'!$B37,FaturasT!AB:AB))</f>
        <v>844483.37090000021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558569.03965000005</v>
      </c>
      <c r="D38" s="232">
        <f>IF(SUMIF(FaturasT!$I:$I,'Tributos suprimento'!$B38,FaturasT!AB:AB)=0,D37,SUMIF(FaturasT!$I:$I,'Tributos suprimento'!$B38,FaturasT!AB:AB))</f>
        <v>841554.28762000008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560137.35337000003</v>
      </c>
      <c r="D39" s="232">
        <f>IF(SUMIF(FaturasT!$I:$I,'Tributos suprimento'!$B39,FaturasT!AB:AB)=0,D38,SUMIF(FaturasT!$I:$I,'Tributos suprimento'!$B39,FaturasT!AB:AB))</f>
        <v>886999.35935000004</v>
      </c>
    </row>
    <row r="40" spans="2:8">
      <c r="B40" s="17" t="s">
        <v>769</v>
      </c>
      <c r="C40" s="746">
        <f>SUM(C28:C39)</f>
        <v>6583769.3810799997</v>
      </c>
      <c r="D40" s="746">
        <f>SUM(D28:D39)</f>
        <v>10097891.880100001</v>
      </c>
    </row>
    <row r="41" spans="2:8">
      <c r="B41" s="1708" t="s">
        <v>2196</v>
      </c>
      <c r="C41" s="1709">
        <f>C40/($C$40+$D$40)</f>
        <v>0.39467108688995689</v>
      </c>
      <c r="D41" s="1709">
        <f>D40/($C$40+$D$40)</f>
        <v>0.60532891311004311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15" customWidth="1"/>
    <col min="2" max="2" width="11.42578125" style="1515" bestFit="1" customWidth="1"/>
    <col min="3" max="3" width="19.28515625" style="1515" customWidth="1"/>
    <col min="4" max="4" width="17.7109375" style="1515" customWidth="1"/>
    <col min="5" max="5" width="13.7109375" style="1515" customWidth="1"/>
    <col min="6" max="8" width="14.7109375" style="1515" customWidth="1"/>
    <col min="9" max="9" width="16.42578125" style="1515" customWidth="1"/>
    <col min="10" max="10" width="19.5703125" style="1515" customWidth="1"/>
    <col min="11" max="18" width="15.7109375" style="1515" customWidth="1"/>
    <col min="19" max="40" width="9" style="1515" customWidth="1"/>
    <col min="41" max="16384" width="9.140625" style="1515"/>
  </cols>
  <sheetData>
    <row r="1" spans="2:24" ht="14.1" customHeight="1"/>
    <row r="2" spans="2:24" ht="14.1" customHeight="1"/>
    <row r="3" spans="2:24" ht="42" customHeight="1">
      <c r="B3" s="1516" t="s">
        <v>2134</v>
      </c>
      <c r="C3" s="1517"/>
      <c r="D3" s="1518" t="s">
        <v>2135</v>
      </c>
      <c r="E3" s="1519" t="s">
        <v>2136</v>
      </c>
      <c r="F3" s="1517"/>
      <c r="G3" s="1518" t="s">
        <v>2137</v>
      </c>
      <c r="H3" s="1518" t="s">
        <v>2138</v>
      </c>
      <c r="I3" s="1518" t="s">
        <v>2139</v>
      </c>
      <c r="J3" s="1518" t="s">
        <v>2140</v>
      </c>
      <c r="K3" s="1518" t="s">
        <v>2141</v>
      </c>
      <c r="L3" s="1518" t="s">
        <v>2142</v>
      </c>
      <c r="M3" s="1518" t="s">
        <v>2143</v>
      </c>
      <c r="N3" s="1518" t="s">
        <v>2144</v>
      </c>
      <c r="O3" s="1518" t="s">
        <v>2145</v>
      </c>
      <c r="P3" s="1518" t="s">
        <v>2146</v>
      </c>
      <c r="Q3" s="1518" t="s">
        <v>2147</v>
      </c>
      <c r="R3" s="1520" t="s">
        <v>2148</v>
      </c>
    </row>
    <row r="4" spans="2:24" ht="14.1" customHeight="1">
      <c r="B4" s="1521" t="s">
        <v>2149</v>
      </c>
      <c r="C4" s="1521"/>
      <c r="D4" s="1521"/>
      <c r="E4" s="1522" t="s">
        <v>114</v>
      </c>
      <c r="F4" s="1523"/>
      <c r="G4" s="1521">
        <v>0</v>
      </c>
      <c r="H4" s="1524">
        <f>D4+G4</f>
        <v>0</v>
      </c>
      <c r="I4" s="1525">
        <f>+D6</f>
        <v>0</v>
      </c>
      <c r="J4" s="1525">
        <f>+F27</f>
        <v>0</v>
      </c>
      <c r="K4" s="1526"/>
      <c r="L4" s="1527">
        <f>K4*VLOOKUP(SAS_RA0_DataFim,Índices!$B$6:$F$50000,5,0)/VLOOKUP(DATE(YEAR(SAS_RA0_DataFim)-2,MONTH(CAPA!C15),1),Índices!$B$6:$F$50000,5,0)</f>
        <v>0</v>
      </c>
      <c r="M4" s="1521"/>
      <c r="N4" s="1525">
        <f>M4*VLOOKUP(SAS_RA0_DataFim,Índices!$B$6:$F$50000,5,0)/VLOOKUP(DATE(YEAR(SAS_RA0_DataFim)-1,MONTH(SAS_RA0_DataFim),1),Índices!$B$6:$F$50000,5,0)</f>
        <v>0</v>
      </c>
      <c r="O4" s="1525">
        <f>G27</f>
        <v>0</v>
      </c>
      <c r="P4" s="1525">
        <f>J4+L4+N4-O4</f>
        <v>0</v>
      </c>
      <c r="Q4" s="1525">
        <f>IF(I4*12&gt;(D4+K4+M4-P4),D4+K4+M4-P4,I4*12)</f>
        <v>0</v>
      </c>
      <c r="R4" s="1528">
        <f>P4+Q4</f>
        <v>0</v>
      </c>
    </row>
    <row r="5" spans="2:24" ht="14.1" customHeight="1"/>
    <row r="6" spans="2:24" ht="14.1" customHeight="1">
      <c r="B6" s="1529" t="s">
        <v>2150</v>
      </c>
      <c r="C6" s="1530"/>
      <c r="D6" s="1531"/>
      <c r="N6" s="1532"/>
    </row>
    <row r="7" spans="2:24" ht="14.1" customHeight="1"/>
    <row r="8" spans="2:24" ht="42" customHeight="1">
      <c r="B8" s="1516" t="s">
        <v>34</v>
      </c>
      <c r="C8" s="1518" t="s">
        <v>2151</v>
      </c>
      <c r="D8" s="1518" t="s">
        <v>2152</v>
      </c>
      <c r="E8" s="1518" t="s">
        <v>2153</v>
      </c>
      <c r="F8" s="1518" t="s">
        <v>2154</v>
      </c>
      <c r="G8" s="1518" t="s">
        <v>2155</v>
      </c>
      <c r="H8" s="1518" t="s">
        <v>2156</v>
      </c>
    </row>
    <row r="9" spans="2:24" ht="14.1" customHeight="1">
      <c r="B9" s="1533">
        <v>44197</v>
      </c>
      <c r="C9" s="1534"/>
      <c r="D9" s="1535"/>
      <c r="E9" s="1536"/>
      <c r="F9" s="1537">
        <f>C9*VLOOKUP(SAS_RA0_DataFim,Índices!$B$6:$F$50000,5,0)/VLOOKUP(DATE(YEAR($B9),MONTH($B9)-1,1),Índices!$B$6:$F$50000,5,0)</f>
        <v>0</v>
      </c>
      <c r="G9" s="1537">
        <f>D9*VLOOKUP(SAS_RA0_DataFim,Índices!$B$6:$F$50000,5,0)/VLOOKUP(DATE(YEAR($B9),MONTH($B9)-1,1),Índices!$B$6:$F$50000,5,0)</f>
        <v>0</v>
      </c>
      <c r="H9" s="1537">
        <f>E9*VLOOKUP(SAS_RA0_DataFim,Índices!$B$6:$F$50000,5,0)/VLOOKUP(DATE(YEAR($B9),MONTH($B9)-1,1),Índices!$B$6:$F$50000,5,0)</f>
        <v>0</v>
      </c>
    </row>
    <row r="10" spans="2:24" ht="14.1" customHeight="1">
      <c r="B10" s="1533">
        <v>44228</v>
      </c>
      <c r="C10" s="1538"/>
      <c r="D10" s="1535"/>
      <c r="E10" s="1539"/>
      <c r="F10" s="1540">
        <f>C10*VLOOKUP(SAS_RA0_DataFim,Índices!$B$6:$F$50000,5,0)/VLOOKUP(DATE(YEAR($B10),MONTH($B10)-1,1),Índices!$B$6:$F$50000,5,0)</f>
        <v>0</v>
      </c>
      <c r="G10" s="1540">
        <f>D10*VLOOKUP(SAS_RA0_DataFim,Índices!$B$6:$F$50000,5,0)/VLOOKUP(DATE(YEAR($B10),MONTH($B10)-1,1),Índices!$B$6:$F$50000,5,0)</f>
        <v>0</v>
      </c>
      <c r="H10" s="1540">
        <f>E10*VLOOKUP(SAS_RA0_DataFim,Índices!$B$6:$F$50000,5,0)/VLOOKUP(DATE(YEAR($B10),MONTH($B10)-1,1),Índices!$B$6:$F$50000,5,0)</f>
        <v>0</v>
      </c>
      <c r="X10" s="1541"/>
    </row>
    <row r="11" spans="2:24" ht="14.1" customHeight="1">
      <c r="B11" s="1533">
        <v>44256</v>
      </c>
      <c r="C11" s="1538"/>
      <c r="D11" s="1535"/>
      <c r="E11" s="1539"/>
      <c r="F11" s="1540">
        <f>C11*VLOOKUP(SAS_RA0_DataFim,Índices!$B$6:$F$50000,5,0)/VLOOKUP(DATE(YEAR($B11),MONTH($B11)-1,1),Índices!$B$6:$F$50000,5,0)</f>
        <v>0</v>
      </c>
      <c r="G11" s="1540">
        <f>D11*VLOOKUP(SAS_RA0_DataFim,Índices!$B$6:$F$50000,5,0)/VLOOKUP(DATE(YEAR($B11),MONTH($B11)-1,1),Índices!$B$6:$F$50000,5,0)</f>
        <v>0</v>
      </c>
      <c r="H11" s="1540">
        <f>E11*VLOOKUP(SAS_RA0_DataFim,Índices!$B$6:$F$50000,5,0)/VLOOKUP(DATE(YEAR($B11),MONTH($B11)-1,1),Índices!$B$6:$F$50000,5,0)</f>
        <v>0</v>
      </c>
    </row>
    <row r="12" spans="2:24" ht="14.1" customHeight="1">
      <c r="B12" s="1533">
        <v>44287</v>
      </c>
      <c r="C12" s="1538"/>
      <c r="D12" s="1535"/>
      <c r="E12" s="1539"/>
      <c r="F12" s="1540">
        <f>C12*VLOOKUP(SAS_RA0_DataFim,Índices!$B$6:$F$50000,5,0)/VLOOKUP(DATE(YEAR($B12),MONTH($B12)-1,1),Índices!$B$6:$F$50000,5,0)</f>
        <v>0</v>
      </c>
      <c r="G12" s="1540">
        <f>D12*VLOOKUP(SAS_RA0_DataFim,Índices!$B$6:$F$50000,5,0)/VLOOKUP(DATE(YEAR($B12),MONTH($B12)-1,1),Índices!$B$6:$F$50000,5,0)</f>
        <v>0</v>
      </c>
      <c r="H12" s="1540">
        <f>E12*VLOOKUP(SAS_RA0_DataFim,Índices!$B$6:$F$50000,5,0)/VLOOKUP(DATE(YEAR($B12),MONTH($B12)-1,1),Índices!$B$6:$F$50000,5,0)</f>
        <v>0</v>
      </c>
    </row>
    <row r="13" spans="2:24" ht="14.1" customHeight="1">
      <c r="B13" s="1533">
        <v>44317</v>
      </c>
      <c r="C13" s="1539"/>
      <c r="D13" s="1542"/>
      <c r="E13" s="1539"/>
      <c r="F13" s="1540">
        <f>C13*VLOOKUP(SAS_RA0_DataFim,Índices!$B$6:$F$50000,5,0)/VLOOKUP(DATE(YEAR($B13),MONTH($B13)-1,1),Índices!$B$6:$F$50000,5,0)</f>
        <v>0</v>
      </c>
      <c r="G13" s="1540">
        <f>D13*VLOOKUP(SAS_RA0_DataFim,Índices!$B$6:$F$50000,5,0)/VLOOKUP(DATE(YEAR($B13),MONTH($B13)-1,1),Índices!$B$6:$F$50000,5,0)</f>
        <v>0</v>
      </c>
      <c r="H13" s="1540">
        <f>E13*VLOOKUP(SAS_RA0_DataFim,Índices!$B$6:$F$50000,5,0)/VLOOKUP(DATE(YEAR($B13),MONTH($B13)-1,1),Índices!$B$6:$F$50000,5,0)</f>
        <v>0</v>
      </c>
    </row>
    <row r="14" spans="2:24" ht="14.1" customHeight="1">
      <c r="B14" s="1533">
        <v>44348</v>
      </c>
      <c r="C14" s="1543"/>
      <c r="D14" s="1542"/>
      <c r="E14" s="1539"/>
      <c r="F14" s="1540">
        <f>C14*VLOOKUP(SAS_RA0_DataFim,Índices!$B$6:$F$50000,5,0)/VLOOKUP(DATE(YEAR($B14),MONTH($B14)-1,1),Índices!$B$6:$F$50000,5,0)</f>
        <v>0</v>
      </c>
      <c r="G14" s="1540">
        <f>D14*VLOOKUP(SAS_RA0_DataFim,Índices!$B$6:$F$50000,5,0)/VLOOKUP(DATE(YEAR($B14),MONTH($B14)-1,1),Índices!$B$6:$F$50000,5,0)</f>
        <v>0</v>
      </c>
      <c r="H14" s="1540">
        <f>E14*VLOOKUP(SAS_RA0_DataFim,Índices!$B$6:$F$50000,5,0)/VLOOKUP(DATE(YEAR($B14),MONTH($B14)-1,1),Índices!$B$6:$F$50000,5,0)</f>
        <v>0</v>
      </c>
    </row>
    <row r="15" spans="2:24" ht="14.1" customHeight="1">
      <c r="B15" s="1533">
        <v>44378</v>
      </c>
      <c r="C15" s="1543"/>
      <c r="D15" s="1542"/>
      <c r="E15" s="1539"/>
      <c r="F15" s="1540">
        <f>C15*VLOOKUP(SAS_RA0_DataFim,Índices!$B$6:$F$50000,5,0)/VLOOKUP(DATE(YEAR($B15),MONTH($B15)-1,1),Índices!$B$6:$F$50000,5,0)</f>
        <v>0</v>
      </c>
      <c r="G15" s="1540">
        <f>D15*VLOOKUP(SAS_RA0_DataFim,Índices!$B$6:$F$50000,5,0)/VLOOKUP(DATE(YEAR($B15),MONTH($B15)-1,1),Índices!$B$6:$F$50000,5,0)</f>
        <v>0</v>
      </c>
      <c r="H15" s="1540">
        <f>E15*VLOOKUP(SAS_RA0_DataFim,Índices!$B$6:$F$50000,5,0)/VLOOKUP(DATE(YEAR($B15),MONTH($B15)-1,1),Índices!$B$6:$F$50000,5,0)</f>
        <v>0</v>
      </c>
    </row>
    <row r="16" spans="2:24" ht="14.1" customHeight="1">
      <c r="B16" s="1533">
        <v>44409</v>
      </c>
      <c r="C16" s="1543"/>
      <c r="D16" s="1542"/>
      <c r="E16" s="1539"/>
      <c r="F16" s="1540">
        <f>C16*VLOOKUP(SAS_RA0_DataFim,Índices!$B$6:$F$50000,5,0)/VLOOKUP(DATE(YEAR($B16),MONTH($B16)-1,1),Índices!$B$6:$F$50000,5,0)</f>
        <v>0</v>
      </c>
      <c r="G16" s="1540">
        <f>D16*VLOOKUP(SAS_RA0_DataFim,Índices!$B$6:$F$50000,5,0)/VLOOKUP(DATE(YEAR($B16),MONTH($B16)-1,1),Índices!$B$6:$F$50000,5,0)</f>
        <v>0</v>
      </c>
      <c r="H16" s="1540">
        <f>E16*VLOOKUP(SAS_RA0_DataFim,Índices!$B$6:$F$50000,5,0)/VLOOKUP(DATE(YEAR($B16),MONTH($B16)-1,1),Índices!$B$6:$F$50000,5,0)</f>
        <v>0</v>
      </c>
    </row>
    <row r="17" spans="2:8" ht="14.1" customHeight="1">
      <c r="B17" s="1533">
        <v>44440</v>
      </c>
      <c r="C17" s="1543"/>
      <c r="D17" s="1542"/>
      <c r="E17" s="1539"/>
      <c r="F17" s="1540">
        <f>C17*VLOOKUP(SAS_RA0_DataFim,Índices!$B$6:$F$50000,5,0)/VLOOKUP(DATE(YEAR($B17),MONTH($B17)-1,1),Índices!$B$6:$F$50000,5,0)</f>
        <v>0</v>
      </c>
      <c r="G17" s="1540">
        <f>D17*VLOOKUP(SAS_RA0_DataFim,Índices!$B$6:$F$50000,5,0)/VLOOKUP(DATE(YEAR($B17),MONTH($B17)-1,1),Índices!$B$6:$F$50000,5,0)</f>
        <v>0</v>
      </c>
      <c r="H17" s="1540">
        <f>E17*VLOOKUP(SAS_RA0_DataFim,Índices!$B$6:$F$50000,5,0)/VLOOKUP(DATE(YEAR($B17),MONTH($B17)-1,1),Índices!$B$6:$F$50000,5,0)</f>
        <v>0</v>
      </c>
    </row>
    <row r="18" spans="2:8" ht="14.1" customHeight="1">
      <c r="B18" s="1533">
        <v>44470</v>
      </c>
      <c r="C18" s="1543"/>
      <c r="D18" s="1542"/>
      <c r="E18" s="1539"/>
      <c r="F18" s="1540">
        <f>C18*VLOOKUP(SAS_RA0_DataFim,Índices!$B$6:$F$50000,5,0)/VLOOKUP(DATE(YEAR($B18),MONTH($B18)-1,1),Índices!$B$6:$F$50000,5,0)</f>
        <v>0</v>
      </c>
      <c r="G18" s="1540">
        <f>D18*VLOOKUP(SAS_RA0_DataFim,Índices!$B$6:$F$50000,5,0)/VLOOKUP(DATE(YEAR($B18),MONTH($B18)-1,1),Índices!$B$6:$F$50000,5,0)</f>
        <v>0</v>
      </c>
      <c r="H18" s="1540">
        <f>E18*VLOOKUP(SAS_RA0_DataFim,Índices!$B$6:$F$50000,5,0)/VLOOKUP(DATE(YEAR($B18),MONTH($B18)-1,1),Índices!$B$6:$F$50000,5,0)</f>
        <v>0</v>
      </c>
    </row>
    <row r="19" spans="2:8" ht="14.1" customHeight="1">
      <c r="B19" s="1533">
        <v>44501</v>
      </c>
      <c r="C19" s="1543"/>
      <c r="D19" s="1542"/>
      <c r="E19" s="1539"/>
      <c r="F19" s="1540">
        <f>C19*VLOOKUP(SAS_RA0_DataFim,Índices!$B$6:$F$50000,5,0)/VLOOKUP(DATE(YEAR($B19),MONTH($B19)-1,1),Índices!$B$6:$F$50000,5,0)</f>
        <v>0</v>
      </c>
      <c r="G19" s="1540">
        <f>D19*VLOOKUP(SAS_RA0_DataFim,Índices!$B$6:$F$50000,5,0)/VLOOKUP(DATE(YEAR($B19),MONTH($B19)-1,1),Índices!$B$6:$F$50000,5,0)</f>
        <v>0</v>
      </c>
      <c r="H19" s="1540">
        <f>E19*VLOOKUP(SAS_RA0_DataFim,Índices!$B$6:$F$50000,5,0)/VLOOKUP(DATE(YEAR($B19),MONTH($B19)-1,1),Índices!$B$6:$F$50000,5,0)</f>
        <v>0</v>
      </c>
    </row>
    <row r="20" spans="2:8" ht="14.1" customHeight="1">
      <c r="B20" s="1533">
        <v>44531</v>
      </c>
      <c r="C20" s="1543"/>
      <c r="D20" s="1542"/>
      <c r="E20" s="1539"/>
      <c r="F20" s="1540">
        <f>C20*VLOOKUP(SAS_RA0_DataFim,Índices!$B$6:$F$50000,5,0)/VLOOKUP(DATE(YEAR($B20),MONTH($B20)-1,1),Índices!$B$6:$F$50000,5,0)</f>
        <v>0</v>
      </c>
      <c r="G20" s="1540">
        <f>D20*VLOOKUP(SAS_RA0_DataFim,Índices!$B$6:$F$50000,5,0)/VLOOKUP(DATE(YEAR($B20),MONTH($B20)-1,1),Índices!$B$6:$F$50000,5,0)</f>
        <v>0</v>
      </c>
      <c r="H20" s="1540">
        <f>E20*VLOOKUP(SAS_RA0_DataFim,Índices!$B$6:$F$50000,5,0)/VLOOKUP(DATE(YEAR($B20),MONTH($B20)-1,1),Índices!$B$6:$F$50000,5,0)</f>
        <v>0</v>
      </c>
    </row>
    <row r="21" spans="2:8" ht="14.1" customHeight="1">
      <c r="B21" s="1533">
        <v>44562</v>
      </c>
      <c r="C21" s="1543"/>
      <c r="D21" s="1542"/>
      <c r="E21" s="1539"/>
      <c r="F21" s="1540">
        <f>C21*VLOOKUP(SAS_RA0_DataFim,Índices!$B$6:$F$50000,5,0)/VLOOKUP(DATE(YEAR($B21),MONTH($B21)-1,1),Índices!$B$6:$F$50000,5,0)</f>
        <v>0</v>
      </c>
      <c r="G21" s="1540">
        <f>D21*VLOOKUP(SAS_RA0_DataFim,Índices!$B$6:$F$50000,5,0)/VLOOKUP(DATE(YEAR($B21),MONTH($B21)-1,1),Índices!$B$6:$F$50000,5,0)</f>
        <v>0</v>
      </c>
      <c r="H21" s="1540">
        <f>E21*VLOOKUP(SAS_RA0_DataFim,Índices!$B$6:$F$50000,5,0)/VLOOKUP(DATE(YEAR($B21),MONTH($B21)-1,1),Índices!$B$6:$F$50000,5,0)</f>
        <v>0</v>
      </c>
    </row>
    <row r="22" spans="2:8" ht="14.1" customHeight="1">
      <c r="B22" s="1533">
        <v>44593</v>
      </c>
      <c r="C22" s="1543"/>
      <c r="D22" s="1542"/>
      <c r="E22" s="1539"/>
      <c r="F22" s="1540">
        <f>C22*VLOOKUP(SAS_RA0_DataFim,Índices!$B$6:$F$50000,5,0)/VLOOKUP(DATE(YEAR($B22),MONTH($B22)-1,1),Índices!$B$6:$F$50000,5,0)</f>
        <v>0</v>
      </c>
      <c r="G22" s="1540">
        <f>D22*VLOOKUP(SAS_RA0_DataFim,Índices!$B$6:$F$50000,5,0)/VLOOKUP(DATE(YEAR($B22),MONTH($B22)-1,1),Índices!$B$6:$F$50000,5,0)</f>
        <v>0</v>
      </c>
      <c r="H22" s="1540">
        <f>E22*VLOOKUP(SAS_RA0_DataFim,Índices!$B$6:$F$50000,5,0)/VLOOKUP(DATE(YEAR($B22),MONTH($B22)-1,1),Índices!$B$6:$F$50000,5,0)</f>
        <v>0</v>
      </c>
    </row>
    <row r="23" spans="2:8" ht="14.1" customHeight="1">
      <c r="B23" s="1533">
        <v>44621</v>
      </c>
      <c r="C23" s="1543"/>
      <c r="D23" s="1542"/>
      <c r="E23" s="1539"/>
      <c r="F23" s="1540">
        <f>C23*VLOOKUP(SAS_RA0_DataFim,Índices!$B$6:$F$50000,5,0)/VLOOKUP(DATE(YEAR($B23),MONTH($B23)-1,1),Índices!$B$6:$F$50000,5,0)</f>
        <v>0</v>
      </c>
      <c r="G23" s="1540">
        <f>D23*VLOOKUP(SAS_RA0_DataFim,Índices!$B$6:$F$50000,5,0)/VLOOKUP(DATE(YEAR($B23),MONTH($B23)-1,1),Índices!$B$6:$F$50000,5,0)</f>
        <v>0</v>
      </c>
      <c r="H23" s="1540">
        <f>E23*VLOOKUP(SAS_RA0_DataFim,Índices!$B$6:$F$50000,5,0)/VLOOKUP(DATE(YEAR($B23),MONTH($B23)-1,1),Índices!$B$6:$F$50000,5,0)</f>
        <v>0</v>
      </c>
    </row>
    <row r="24" spans="2:8" ht="14.1" customHeight="1">
      <c r="B24" s="1533">
        <v>44652</v>
      </c>
      <c r="C24" s="1543"/>
      <c r="D24" s="1542"/>
      <c r="E24" s="1539"/>
      <c r="F24" s="1540">
        <f>C24*VLOOKUP(SAS_RA0_DataFim,Índices!$B$6:$F$50000,5,0)/VLOOKUP(DATE(YEAR($B24),MONTH($B24)-1,1),Índices!$B$6:$F$50000,5,0)</f>
        <v>0</v>
      </c>
      <c r="G24" s="1540">
        <f>D24*VLOOKUP(SAS_RA0_DataFim,Índices!$B$6:$F$50000,5,0)/VLOOKUP(DATE(YEAR($B24),MONTH($B24)-1,1),Índices!$B$6:$F$50000,5,0)</f>
        <v>0</v>
      </c>
      <c r="H24" s="1540">
        <f>E24*VLOOKUP(SAS_RA0_DataFim,Índices!$B$6:$F$50000,5,0)/VLOOKUP(DATE(YEAR($B24),MONTH($B24)-1,1),Índices!$B$6:$F$50000,5,0)</f>
        <v>0</v>
      </c>
    </row>
    <row r="25" spans="2:8" ht="14.1" customHeight="1">
      <c r="B25" s="1533">
        <v>44682</v>
      </c>
      <c r="C25" s="1543"/>
      <c r="D25" s="1542"/>
      <c r="E25" s="1539"/>
      <c r="F25" s="1540">
        <f>C25*VLOOKUP(SAS_RA0_DataFim,Índices!$B$6:$F$50000,5,0)/VLOOKUP(DATE(YEAR($B25),MONTH($B25)-1,1),Índices!$B$6:$F$50000,5,0)</f>
        <v>0</v>
      </c>
      <c r="G25" s="1540">
        <f>D25*VLOOKUP(SAS_RA0_DataFim,Índices!$B$6:$F$50000,5,0)/VLOOKUP(DATE(YEAR($B25),MONTH($B25)-1,1),Índices!$B$6:$F$50000,5,0)</f>
        <v>0</v>
      </c>
      <c r="H25" s="1540">
        <f>E25*VLOOKUP(SAS_RA0_DataFim,Índices!$B$6:$F$50000,5,0)/VLOOKUP(DATE(YEAR($B25),MONTH($B25)-1,1),Índices!$B$6:$F$50000,5,0)</f>
        <v>0</v>
      </c>
    </row>
    <row r="26" spans="2:8" ht="14.1" customHeight="1">
      <c r="B26" s="1533">
        <v>44713</v>
      </c>
      <c r="C26" s="1543"/>
      <c r="D26" s="1542"/>
      <c r="E26" s="1539"/>
      <c r="F26" s="1540">
        <f>C26*VLOOKUP(SAS_RA0_DataFim,Índices!$B$6:$F$50000,5,0)/VLOOKUP(DATE(YEAR($B26),MONTH($B26)-1,1),Índices!$B$6:$F$50000,5,0)</f>
        <v>0</v>
      </c>
      <c r="G26" s="1540">
        <f>D26*VLOOKUP(SAS_RA0_DataFim,Índices!$B$6:$F$50000,5,0)/VLOOKUP(DATE(YEAR($B26),MONTH($B26)-1,1),Índices!$B$6:$F$50000,5,0)</f>
        <v>0</v>
      </c>
      <c r="H26" s="1540">
        <f>E26*VLOOKUP(SAS_RA0_DataFim,Índices!$B$6:$F$50000,5,0)/VLOOKUP(DATE(YEAR($B26),MONTH($B26)-1,1),Índices!$B$6:$F$50000,5,0)</f>
        <v>0</v>
      </c>
    </row>
    <row r="27" spans="2:8" ht="14.1" customHeight="1">
      <c r="B27" s="1544" t="s">
        <v>760</v>
      </c>
      <c r="C27" s="1545">
        <f>SUM(C9:C26)</f>
        <v>0</v>
      </c>
      <c r="D27" s="1545">
        <f t="shared" ref="D27:E27" si="0">SUM(D9:D26)</f>
        <v>0</v>
      </c>
      <c r="E27" s="1545">
        <f t="shared" si="0"/>
        <v>0</v>
      </c>
      <c r="F27" s="1545">
        <f>SUM(F9:F26)</f>
        <v>0</v>
      </c>
      <c r="G27" s="1545">
        <f t="shared" ref="G27:H27" si="1">SUM(G9:G26)</f>
        <v>0</v>
      </c>
      <c r="H27" s="1545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E7" sqref="E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1" t="s">
        <v>2131</v>
      </c>
    </row>
    <row r="4" spans="1:15">
      <c r="B4" s="1473" t="s">
        <v>2120</v>
      </c>
      <c r="C4" s="1475" t="s">
        <v>2121</v>
      </c>
      <c r="D4" s="1474" t="s">
        <v>2122</v>
      </c>
      <c r="E4" s="1479"/>
      <c r="F4" s="1479"/>
      <c r="G4" s="1479"/>
      <c r="N4" t="s">
        <v>34</v>
      </c>
      <c r="O4" t="s">
        <v>2123</v>
      </c>
    </row>
    <row r="5" spans="1:15">
      <c r="A5" s="794" t="s">
        <v>2072</v>
      </c>
      <c r="B5" s="843" t="s">
        <v>2129</v>
      </c>
      <c r="C5" s="1482">
        <f>IFERROR(VLOOKUP(A5,Escassez[#All],2,FALSE),0)</f>
        <v>0</v>
      </c>
      <c r="D5" s="1482" t="e">
        <f>C5/$C$8*$D$8</f>
        <v>#DIV/0!</v>
      </c>
      <c r="E5" s="1480"/>
      <c r="F5" s="1478"/>
      <c r="G5" s="1469"/>
      <c r="N5" s="8">
        <v>44690</v>
      </c>
      <c r="O5" s="232">
        <f>C8</f>
        <v>0</v>
      </c>
    </row>
    <row r="6" spans="1:15">
      <c r="A6" s="1457" t="s">
        <v>2073</v>
      </c>
      <c r="B6" s="843" t="s">
        <v>2130</v>
      </c>
      <c r="C6" s="1482">
        <f>IFERROR(VLOOKUP(A6,Escassez[#All],2,FALSE),0)</f>
        <v>0</v>
      </c>
      <c r="D6" s="1482" t="e">
        <f>C6/$C$8*$D$8</f>
        <v>#DIV/0!</v>
      </c>
      <c r="E6" s="1480"/>
      <c r="F6" s="1478"/>
      <c r="G6" s="1469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57" t="s">
        <v>2074</v>
      </c>
      <c r="B7" s="843" t="s">
        <v>105</v>
      </c>
      <c r="C7" s="1482">
        <f>IFERROR(VLOOKUP(A7,Escassez[#All],2,FALSE),0)</f>
        <v>0</v>
      </c>
      <c r="D7" s="1482" t="e">
        <f>C7/$C$8*$D$8</f>
        <v>#DIV/0!</v>
      </c>
      <c r="E7" s="1749"/>
      <c r="F7" s="1478"/>
      <c r="G7" s="1469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76"/>
      <c r="C8" s="1483">
        <f>SUM(C5:C7)</f>
        <v>0</v>
      </c>
      <c r="D8" s="1483">
        <f>VLOOKUP(DataRevRea,'Financeiros Mitigação'!N4:O241,2,FALSE)</f>
        <v>0</v>
      </c>
      <c r="E8" s="843"/>
      <c r="F8" s="1470"/>
      <c r="G8" s="1470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88"/>
      <c r="C10" s="1488"/>
      <c r="D10" s="1488"/>
      <c r="E10" s="1488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84" t="s">
        <v>1304</v>
      </c>
      <c r="C12" s="1477"/>
      <c r="D12" s="1485"/>
      <c r="E12" s="1467"/>
      <c r="F12" s="1467"/>
      <c r="G12" s="1467"/>
      <c r="H12" s="1467"/>
      <c r="I12" s="1467"/>
      <c r="J12" s="1467"/>
      <c r="K12" s="1467"/>
      <c r="L12" s="1467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86"/>
      <c r="C13" s="1468"/>
      <c r="D13" s="1468"/>
      <c r="E13" s="1468"/>
      <c r="F13" s="1468"/>
      <c r="G13" s="1468"/>
      <c r="H13" s="1468"/>
      <c r="I13" s="1468"/>
      <c r="J13" s="1468"/>
      <c r="K13" s="1468"/>
      <c r="L13" s="1468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87"/>
      <c r="C14" s="1488"/>
      <c r="D14" s="1488"/>
      <c r="E14" s="1489"/>
      <c r="F14" s="1490"/>
      <c r="G14" s="1469"/>
      <c r="H14" s="1469"/>
      <c r="I14" s="1469"/>
      <c r="J14" s="1469"/>
      <c r="K14" s="1469"/>
      <c r="L14" s="1469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87"/>
      <c r="C15" s="1488"/>
      <c r="D15" s="1488"/>
      <c r="E15" s="1489"/>
      <c r="F15" s="1490"/>
      <c r="G15" s="1469"/>
      <c r="H15" s="1469"/>
      <c r="I15" s="1469"/>
      <c r="J15" s="1469"/>
      <c r="K15" s="1469"/>
      <c r="L15" s="1469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87"/>
      <c r="C16" s="1488"/>
      <c r="D16" s="1488"/>
      <c r="E16" s="1489"/>
      <c r="F16" s="1490"/>
      <c r="G16" s="1469"/>
      <c r="H16" s="1469"/>
      <c r="I16" s="1469"/>
      <c r="J16" s="1469"/>
      <c r="K16" s="1469"/>
      <c r="L16" s="1469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87"/>
      <c r="C17" s="1488"/>
      <c r="D17" s="1488"/>
      <c r="E17" s="1489"/>
      <c r="F17" s="1490"/>
      <c r="G17" s="1469"/>
      <c r="H17" s="1469"/>
      <c r="I17" s="1469"/>
      <c r="J17" s="1469"/>
      <c r="K17" s="1469"/>
      <c r="L17" s="1469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87"/>
      <c r="C18" s="1488"/>
      <c r="D18" s="1488"/>
      <c r="E18" s="1489"/>
      <c r="F18" s="1490"/>
      <c r="G18" s="1469"/>
      <c r="H18" s="1469"/>
      <c r="I18" s="1469"/>
      <c r="J18" s="1469"/>
      <c r="K18" s="1469"/>
      <c r="L18" s="1469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87"/>
      <c r="C19" s="1488"/>
      <c r="D19" s="1488"/>
      <c r="E19" s="1488"/>
      <c r="F19" s="1490"/>
      <c r="G19" s="1469"/>
      <c r="H19" s="1469"/>
      <c r="I19" s="1469"/>
      <c r="J19" s="1469"/>
      <c r="K19" s="1469"/>
      <c r="L19" s="1469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87"/>
      <c r="C20" s="1488"/>
      <c r="D20" s="1488"/>
      <c r="E20" s="1488"/>
      <c r="F20" s="1490"/>
      <c r="G20" s="1469"/>
      <c r="H20" s="1469"/>
      <c r="I20" s="1469"/>
      <c r="J20" s="1469"/>
      <c r="K20" s="1469"/>
      <c r="L20" s="1469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87"/>
      <c r="C21" s="1488"/>
      <c r="D21" s="1488"/>
      <c r="E21" s="1488"/>
      <c r="F21" s="1490"/>
      <c r="G21" s="1469"/>
      <c r="H21" s="1469"/>
      <c r="I21" s="1469"/>
      <c r="J21" s="1469"/>
      <c r="K21" s="1469"/>
      <c r="L21" s="1469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87"/>
      <c r="C22" s="1488"/>
      <c r="D22" s="1488"/>
      <c r="E22" s="1488"/>
      <c r="F22" s="1490"/>
      <c r="G22" s="1469"/>
      <c r="H22" s="1469"/>
      <c r="I22" s="1469"/>
      <c r="J22" s="1469"/>
      <c r="K22" s="1469"/>
      <c r="L22" s="1469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87"/>
      <c r="C23" s="1488"/>
      <c r="D23" s="1488"/>
      <c r="E23" s="1488"/>
      <c r="F23" s="1490"/>
      <c r="G23" s="1469"/>
      <c r="H23" s="1469"/>
      <c r="I23" s="1469"/>
      <c r="J23" s="1469"/>
      <c r="K23" s="1469"/>
      <c r="L23" s="1469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87"/>
      <c r="C24" s="1488"/>
      <c r="D24" s="1488"/>
      <c r="E24" s="1488"/>
      <c r="F24" s="1490"/>
      <c r="G24" s="1469"/>
      <c r="H24" s="1469"/>
      <c r="I24" s="1469"/>
      <c r="J24" s="1469"/>
      <c r="K24" s="1469"/>
      <c r="L24" s="1469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1"/>
      <c r="C25" s="1488"/>
      <c r="D25" s="1488"/>
      <c r="E25" s="1492"/>
      <c r="F25" s="1490"/>
      <c r="G25" s="1469"/>
      <c r="H25" s="1469"/>
      <c r="I25" s="1469"/>
      <c r="J25" s="1469"/>
      <c r="K25" s="1469"/>
      <c r="L25" s="1469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493"/>
      <c r="C26" s="843"/>
      <c r="D26" s="843"/>
      <c r="E26" s="843"/>
      <c r="F26" s="1470"/>
      <c r="G26" s="1470"/>
      <c r="H26" s="1470"/>
      <c r="I26" s="1470"/>
      <c r="J26" s="1470"/>
      <c r="K26" s="1470"/>
      <c r="L26" s="1470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2" customWidth="1"/>
    <col min="2" max="2" width="27.28515625" style="852" customWidth="1"/>
    <col min="3" max="5" width="17.7109375" style="853" customWidth="1"/>
    <col min="6" max="7" width="17.7109375" style="852" customWidth="1"/>
    <col min="8" max="8" width="46.42578125" style="852" customWidth="1"/>
    <col min="9" max="9" width="14.7109375" style="852" customWidth="1"/>
    <col min="10" max="13" width="12.7109375" style="852" customWidth="1"/>
    <col min="14" max="17" width="9.140625" style="852"/>
    <col min="18" max="18" width="17" style="852" customWidth="1"/>
    <col min="19" max="19" width="14.28515625" style="852" customWidth="1"/>
    <col min="20" max="20" width="15.42578125" style="852" customWidth="1"/>
    <col min="21" max="21" width="13.85546875" style="852" customWidth="1"/>
    <col min="22" max="22" width="17.140625" style="852" customWidth="1"/>
    <col min="23" max="23" width="13" style="852" customWidth="1"/>
    <col min="24" max="24" width="14.140625" style="852" customWidth="1"/>
    <col min="25" max="25" width="17.7109375" style="852" customWidth="1"/>
    <col min="26" max="26" width="17" style="852" customWidth="1"/>
    <col min="27" max="27" width="14" style="852" customWidth="1"/>
    <col min="28" max="28" width="14.85546875" style="852" customWidth="1"/>
    <col min="29" max="16384" width="9.140625" style="852"/>
  </cols>
  <sheetData>
    <row r="1" spans="1:18" ht="14.45" customHeight="1"/>
    <row r="2" spans="1:18" ht="14.45" customHeight="1">
      <c r="B2" s="854" t="s">
        <v>1306</v>
      </c>
      <c r="C2" s="855"/>
      <c r="D2" s="855"/>
      <c r="E2" s="855"/>
      <c r="F2" s="856"/>
      <c r="G2" s="856"/>
      <c r="H2" s="857" t="s">
        <v>13</v>
      </c>
      <c r="I2" s="858">
        <f>Resultado!$D$6</f>
        <v>0</v>
      </c>
      <c r="J2" s="859"/>
      <c r="K2" s="859"/>
    </row>
    <row r="3" spans="1:18" ht="14.45" customHeight="1">
      <c r="B3" s="860"/>
      <c r="C3" s="861"/>
      <c r="D3" s="861"/>
      <c r="E3" s="861"/>
      <c r="H3" s="862" t="s">
        <v>14</v>
      </c>
      <c r="I3" s="863">
        <f>Resultado!$D$8</f>
        <v>0</v>
      </c>
      <c r="J3" s="859"/>
      <c r="K3" s="859"/>
    </row>
    <row r="4" spans="1:18" ht="14.45" customHeight="1">
      <c r="B4" s="859"/>
      <c r="C4" s="861"/>
      <c r="D4" s="861"/>
      <c r="E4" s="861"/>
      <c r="F4" s="864"/>
      <c r="G4" s="859"/>
      <c r="H4" s="859"/>
      <c r="I4" s="859"/>
      <c r="J4" s="859"/>
      <c r="K4" s="859"/>
    </row>
    <row r="5" spans="1:18" ht="15" customHeight="1">
      <c r="B5" s="859"/>
      <c r="C5" s="865"/>
      <c r="D5" s="861"/>
      <c r="E5" s="861"/>
      <c r="F5" s="864"/>
      <c r="G5" s="859"/>
      <c r="H5" s="859"/>
      <c r="I5" s="859"/>
      <c r="J5" s="859"/>
      <c r="K5" s="859"/>
      <c r="R5" s="1309" t="s">
        <v>874</v>
      </c>
    </row>
    <row r="6" spans="1:18" s="869" customFormat="1" ht="15" customHeight="1">
      <c r="A6" s="866"/>
      <c r="B6" s="867"/>
      <c r="C6" s="868"/>
      <c r="D6" s="868"/>
      <c r="E6" s="868"/>
      <c r="F6" s="867"/>
      <c r="G6" s="867"/>
      <c r="H6" s="867"/>
      <c r="I6" s="867"/>
      <c r="J6" s="867"/>
      <c r="K6" s="867"/>
      <c r="R6" s="887" t="e">
        <f>DATE(YEAR(R8),MONTH(R8)-1,1)</f>
        <v>#NUM!</v>
      </c>
    </row>
    <row r="7" spans="1:18" s="869" customFormat="1" ht="15" customHeight="1">
      <c r="A7" s="866"/>
      <c r="B7" s="870" t="s">
        <v>2133</v>
      </c>
      <c r="C7" s="868"/>
      <c r="D7" s="871"/>
      <c r="E7" s="871"/>
      <c r="F7" s="872"/>
      <c r="G7" s="867"/>
      <c r="H7" s="867"/>
      <c r="I7" s="867"/>
      <c r="J7" s="867"/>
      <c r="K7" s="867"/>
      <c r="R7" s="1309" t="s">
        <v>874</v>
      </c>
    </row>
    <row r="8" spans="1:18" ht="27.95" customHeight="1">
      <c r="B8" s="873" t="s">
        <v>778</v>
      </c>
      <c r="C8" s="873" t="s">
        <v>1307</v>
      </c>
      <c r="D8" s="873" t="s">
        <v>1308</v>
      </c>
      <c r="E8" s="1506"/>
      <c r="F8" s="859"/>
      <c r="G8" s="859"/>
      <c r="H8" s="859"/>
      <c r="I8" s="874"/>
      <c r="R8" s="887" t="e">
        <f>DATE(YEAR(R10),MONTH(R10)-1,1)</f>
        <v>#NUM!</v>
      </c>
    </row>
    <row r="9" spans="1:18" ht="14.45" customHeight="1">
      <c r="B9" s="1310" t="s">
        <v>1309</v>
      </c>
      <c r="C9" s="1311"/>
      <c r="D9" s="1311"/>
      <c r="E9" s="1513"/>
      <c r="F9" s="859"/>
      <c r="G9" s="436"/>
      <c r="H9" s="1312" t="s">
        <v>1310</v>
      </c>
      <c r="I9" s="1556"/>
      <c r="R9" s="1309" t="s">
        <v>874</v>
      </c>
    </row>
    <row r="10" spans="1:18" ht="14.45" customHeight="1">
      <c r="B10" s="875" t="s">
        <v>41</v>
      </c>
      <c r="C10" s="876"/>
      <c r="D10" s="876"/>
      <c r="E10" s="1513"/>
      <c r="F10" s="859"/>
      <c r="G10" s="436"/>
      <c r="H10" s="877" t="s">
        <v>1311</v>
      </c>
      <c r="I10" s="878">
        <f>Indexador!F173</f>
        <v>0</v>
      </c>
      <c r="R10" s="887" t="e">
        <f>DATE(YEAR(R12),MONTH(R12)-1,1)</f>
        <v>#NUM!</v>
      </c>
    </row>
    <row r="11" spans="1:18" ht="14.45" customHeight="1">
      <c r="B11" s="875" t="s">
        <v>1312</v>
      </c>
      <c r="C11" s="876"/>
      <c r="D11" s="876"/>
      <c r="E11" s="1513"/>
      <c r="F11" s="859"/>
      <c r="G11" s="859"/>
      <c r="H11" s="877" t="s">
        <v>1313</v>
      </c>
      <c r="I11" s="1555"/>
      <c r="R11" s="1309" t="s">
        <v>874</v>
      </c>
    </row>
    <row r="12" spans="1:18" ht="14.45" customHeight="1">
      <c r="B12" s="875" t="s">
        <v>635</v>
      </c>
      <c r="C12" s="876"/>
      <c r="D12" s="876"/>
      <c r="E12" s="1513"/>
      <c r="F12" s="859"/>
      <c r="G12" s="436"/>
      <c r="H12" s="877" t="s">
        <v>1314</v>
      </c>
      <c r="I12" s="1555"/>
      <c r="R12" s="887" t="e">
        <f>DATE(YEAR(R14),MONTH(R14)-1,1)</f>
        <v>#NUM!</v>
      </c>
    </row>
    <row r="13" spans="1:18" ht="14.45" customHeight="1">
      <c r="B13" s="875" t="s">
        <v>1315</v>
      </c>
      <c r="C13" s="876"/>
      <c r="D13" s="876"/>
      <c r="E13" s="1513"/>
      <c r="F13" s="859"/>
      <c r="G13" s="436"/>
      <c r="H13" s="877" t="s">
        <v>1316</v>
      </c>
      <c r="I13" s="1313"/>
      <c r="R13" s="1309" t="s">
        <v>874</v>
      </c>
    </row>
    <row r="14" spans="1:18" ht="14.45" customHeight="1">
      <c r="B14" s="875" t="s">
        <v>112</v>
      </c>
      <c r="C14" s="876"/>
      <c r="D14" s="876"/>
      <c r="E14" s="1513"/>
      <c r="F14" s="859"/>
      <c r="G14" s="436"/>
      <c r="H14" s="1312" t="s">
        <v>1317</v>
      </c>
      <c r="I14" s="1557">
        <v>0</v>
      </c>
      <c r="J14" s="859"/>
      <c r="K14" s="859"/>
      <c r="R14" s="887" t="e">
        <f>DATE(YEAR(R16),MONTH(R16)-1,1)</f>
        <v>#NUM!</v>
      </c>
    </row>
    <row r="15" spans="1:18" ht="14.45" customHeight="1">
      <c r="B15" s="875" t="s">
        <v>1318</v>
      </c>
      <c r="C15" s="876"/>
      <c r="D15" s="876"/>
      <c r="E15" s="1513"/>
      <c r="F15" s="859"/>
      <c r="G15" s="436"/>
      <c r="H15" s="1314" t="s">
        <v>1319</v>
      </c>
      <c r="I15" s="1315">
        <f>-Indexador!$N$49</f>
        <v>0</v>
      </c>
      <c r="J15" s="859"/>
      <c r="K15" s="859"/>
      <c r="R15" s="1309" t="s">
        <v>874</v>
      </c>
    </row>
    <row r="16" spans="1:18" ht="14.45" customHeight="1">
      <c r="B16" s="875" t="s">
        <v>109</v>
      </c>
      <c r="C16" s="876"/>
      <c r="D16" s="876"/>
      <c r="E16" s="1513"/>
      <c r="F16" s="860"/>
      <c r="G16" s="436"/>
      <c r="H16" s="859"/>
      <c r="I16" s="874"/>
      <c r="J16" s="859"/>
      <c r="K16" s="859"/>
      <c r="R16" s="887" t="e">
        <f>DATE(YEAR(R18),MONTH(R18)-1,1)</f>
        <v>#NUM!</v>
      </c>
    </row>
    <row r="17" spans="1:18" ht="14.45" customHeight="1">
      <c r="B17" s="875" t="s">
        <v>46</v>
      </c>
      <c r="C17" s="876"/>
      <c r="D17" s="876"/>
      <c r="E17" s="1513"/>
      <c r="F17" s="859"/>
      <c r="G17" s="436"/>
      <c r="H17" s="859"/>
      <c r="I17" s="859"/>
      <c r="J17" s="859"/>
      <c r="K17" s="859"/>
      <c r="R17" s="1309" t="s">
        <v>874</v>
      </c>
    </row>
    <row r="18" spans="1:18" ht="14.45" customHeight="1">
      <c r="B18" s="879" t="s">
        <v>769</v>
      </c>
      <c r="C18" s="880">
        <f>SUM(C9:C17)</f>
        <v>0</v>
      </c>
      <c r="D18" s="880">
        <f t="shared" ref="D18" si="0">SUM(D9:D17)</f>
        <v>0</v>
      </c>
      <c r="E18" s="1514"/>
      <c r="F18" s="859"/>
      <c r="G18" s="859"/>
      <c r="H18" s="859"/>
      <c r="I18" s="859"/>
      <c r="J18" s="859"/>
      <c r="K18" s="859"/>
      <c r="R18" s="887" t="e">
        <f>DATE(YEAR(R20),MONTH(R20)-1,1)</f>
        <v>#NUM!</v>
      </c>
    </row>
    <row r="19" spans="1:18" ht="14.45" hidden="1" customHeight="1">
      <c r="B19" s="859"/>
      <c r="C19" s="861"/>
      <c r="D19" s="861"/>
      <c r="E19" s="861"/>
      <c r="F19" s="859"/>
      <c r="G19" s="859"/>
      <c r="R19" s="1309" t="s">
        <v>874</v>
      </c>
    </row>
    <row r="20" spans="1:18" ht="14.45" customHeight="1">
      <c r="B20" s="859"/>
      <c r="C20" s="861"/>
      <c r="D20" s="861"/>
      <c r="E20" s="861"/>
      <c r="F20" s="859"/>
      <c r="G20" s="859"/>
      <c r="R20" s="887" t="e">
        <f>DATE(YEAR(R22),MONTH(R22)-1,1)</f>
        <v>#NUM!</v>
      </c>
    </row>
    <row r="21" spans="1:18" s="869" customFormat="1" ht="14.45" customHeight="1">
      <c r="A21" s="1498"/>
      <c r="B21" s="1499"/>
      <c r="C21" s="1500"/>
      <c r="D21" s="1500"/>
      <c r="E21" s="1500"/>
      <c r="F21" s="1499"/>
      <c r="G21" s="1499"/>
      <c r="H21" s="1501"/>
      <c r="R21" s="1309" t="s">
        <v>874</v>
      </c>
    </row>
    <row r="22" spans="1:18" ht="14.45" customHeight="1">
      <c r="A22" s="1502"/>
      <c r="B22" s="1503"/>
      <c r="C22" s="1504"/>
      <c r="D22" s="1504"/>
      <c r="E22" s="1504"/>
      <c r="F22" s="1505"/>
      <c r="G22" s="1505"/>
      <c r="H22" s="1502"/>
      <c r="R22" s="887" t="e">
        <f>DATE(YEAR(R24),MONTH(R24)-1,1)</f>
        <v>#NUM!</v>
      </c>
    </row>
    <row r="23" spans="1:18" ht="42" customHeight="1">
      <c r="A23" s="1502"/>
      <c r="B23" s="1506"/>
      <c r="C23" s="1506"/>
      <c r="D23" s="1506"/>
      <c r="E23" s="1506"/>
      <c r="F23" s="1506"/>
      <c r="G23" s="1506"/>
      <c r="H23" s="1502"/>
      <c r="R23" s="1309" t="s">
        <v>874</v>
      </c>
    </row>
    <row r="24" spans="1:18" ht="14.45" customHeight="1">
      <c r="A24" s="1502"/>
      <c r="B24" s="875"/>
      <c r="C24" s="882"/>
      <c r="D24" s="1494"/>
      <c r="E24" s="882"/>
      <c r="F24" s="883"/>
      <c r="G24" s="883"/>
      <c r="H24" s="1507"/>
      <c r="I24" s="881"/>
      <c r="J24" s="881"/>
      <c r="K24" s="889"/>
      <c r="R24" s="887" t="e">
        <f>DATE(YEAR(R26),MONTH(R26)-1,1)</f>
        <v>#NUM!</v>
      </c>
    </row>
    <row r="25" spans="1:18" ht="14.45" customHeight="1">
      <c r="A25" s="1502"/>
      <c r="B25" s="875"/>
      <c r="C25" s="882"/>
      <c r="D25" s="1495"/>
      <c r="E25" s="882"/>
      <c r="F25" s="883"/>
      <c r="G25" s="890"/>
      <c r="H25" s="1507"/>
      <c r="I25" s="881"/>
      <c r="J25" s="881"/>
      <c r="K25" s="874"/>
      <c r="R25" s="1309" t="s">
        <v>874</v>
      </c>
    </row>
    <row r="26" spans="1:18" ht="14.45" customHeight="1">
      <c r="A26" s="1502"/>
      <c r="B26" s="875"/>
      <c r="C26" s="882"/>
      <c r="D26" s="1495"/>
      <c r="E26" s="882"/>
      <c r="F26" s="883"/>
      <c r="G26" s="890"/>
      <c r="H26" s="1507"/>
      <c r="I26" s="881"/>
      <c r="J26" s="881"/>
      <c r="K26" s="874"/>
      <c r="R26" s="887" t="e">
        <f>DATE(YEAR(R28),MONTH(R28)-1,1)</f>
        <v>#NUM!</v>
      </c>
    </row>
    <row r="27" spans="1:18" ht="14.45" customHeight="1">
      <c r="A27" s="1502"/>
      <c r="B27" s="875"/>
      <c r="C27" s="882"/>
      <c r="D27" s="1495"/>
      <c r="E27" s="882"/>
      <c r="F27" s="883"/>
      <c r="G27" s="890"/>
      <c r="H27" s="1507"/>
      <c r="I27" s="883"/>
      <c r="J27" s="883"/>
      <c r="K27" s="874"/>
      <c r="R27" s="1309" t="s">
        <v>874</v>
      </c>
    </row>
    <row r="28" spans="1:18" ht="14.45" customHeight="1">
      <c r="A28" s="1502"/>
      <c r="B28" s="875"/>
      <c r="C28" s="882"/>
      <c r="D28" s="1495"/>
      <c r="E28" s="882"/>
      <c r="F28" s="883"/>
      <c r="G28" s="890"/>
      <c r="H28" s="1507"/>
      <c r="I28" s="883"/>
      <c r="J28" s="883"/>
      <c r="K28" s="874"/>
      <c r="R28" s="887">
        <f>B65</f>
        <v>0</v>
      </c>
    </row>
    <row r="29" spans="1:18" ht="14.45" customHeight="1">
      <c r="A29" s="1502"/>
      <c r="B29" s="875"/>
      <c r="C29" s="882"/>
      <c r="D29" s="1495"/>
      <c r="E29" s="882"/>
      <c r="F29" s="883"/>
      <c r="G29" s="890"/>
      <c r="H29" s="1507"/>
      <c r="I29" s="883"/>
      <c r="J29" s="883"/>
      <c r="K29" s="874"/>
    </row>
    <row r="30" spans="1:18" ht="14.45" customHeight="1">
      <c r="A30" s="1502"/>
      <c r="B30" s="875"/>
      <c r="C30" s="882"/>
      <c r="D30" s="1495"/>
      <c r="E30" s="882"/>
      <c r="F30" s="883"/>
      <c r="G30" s="890"/>
      <c r="H30" s="1505"/>
      <c r="I30" s="883"/>
      <c r="J30" s="883"/>
      <c r="K30" s="874"/>
    </row>
    <row r="31" spans="1:18" ht="14.45" customHeight="1">
      <c r="A31" s="1502"/>
      <c r="B31" s="875"/>
      <c r="C31" s="882"/>
      <c r="D31" s="1495"/>
      <c r="E31" s="882"/>
      <c r="F31" s="883"/>
      <c r="G31" s="890"/>
      <c r="H31" s="1502"/>
      <c r="I31" s="883"/>
      <c r="J31" s="883"/>
      <c r="K31" s="859"/>
    </row>
    <row r="32" spans="1:18" ht="14.45" customHeight="1">
      <c r="A32" s="1502"/>
      <c r="B32" s="875"/>
      <c r="C32" s="882"/>
      <c r="D32" s="1495"/>
      <c r="E32" s="882"/>
      <c r="F32" s="883"/>
      <c r="G32" s="890"/>
      <c r="H32" s="1502"/>
      <c r="I32" s="883"/>
      <c r="J32" s="883"/>
      <c r="K32" s="859"/>
    </row>
    <row r="33" spans="1:11" ht="14.45" customHeight="1">
      <c r="A33" s="1502"/>
      <c r="B33" s="1508"/>
      <c r="C33" s="1509"/>
      <c r="D33" s="1509"/>
      <c r="E33" s="1509"/>
      <c r="F33" s="1510"/>
      <c r="G33" s="1510"/>
      <c r="H33" s="1502"/>
      <c r="I33" s="888"/>
      <c r="J33" s="888"/>
      <c r="K33" s="859"/>
    </row>
    <row r="34" spans="1:11" ht="14.45" customHeight="1">
      <c r="A34" s="1502"/>
      <c r="B34" s="1505"/>
      <c r="C34" s="1511"/>
      <c r="D34" s="1504"/>
      <c r="E34" s="1504"/>
      <c r="F34" s="1505"/>
      <c r="G34" s="1505"/>
      <c r="H34" s="1502"/>
      <c r="K34" s="859"/>
    </row>
    <row r="35" spans="1:11" ht="14.45" customHeight="1">
      <c r="A35" s="1502"/>
      <c r="B35" s="1505"/>
      <c r="C35" s="1504"/>
      <c r="D35" s="1504"/>
      <c r="E35" s="1504"/>
      <c r="F35" s="436"/>
      <c r="G35" s="1505"/>
      <c r="H35" s="1502"/>
      <c r="K35" s="859"/>
    </row>
    <row r="36" spans="1:11" ht="14.45" customHeight="1">
      <c r="A36" s="1502"/>
      <c r="B36" s="1503"/>
      <c r="C36" s="1511"/>
      <c r="D36" s="1504"/>
      <c r="E36" s="1504"/>
      <c r="F36" s="1505"/>
      <c r="G36" s="1512"/>
      <c r="H36" s="1502"/>
      <c r="K36" s="859"/>
    </row>
    <row r="37" spans="1:11" ht="43.5" customHeight="1">
      <c r="A37" s="1502"/>
      <c r="B37" s="1506"/>
      <c r="C37" s="1506"/>
      <c r="D37" s="1506"/>
      <c r="E37" s="884"/>
      <c r="F37" s="436"/>
      <c r="G37" s="1505"/>
      <c r="H37" s="1505"/>
      <c r="I37" s="859"/>
      <c r="J37" s="859"/>
      <c r="K37" s="859"/>
    </row>
    <row r="38" spans="1:11" ht="14.45" customHeight="1">
      <c r="A38" s="1502"/>
      <c r="B38" s="875"/>
      <c r="C38" s="1504"/>
      <c r="D38" s="884"/>
      <c r="E38" s="884"/>
      <c r="F38" s="436"/>
      <c r="G38" s="1505"/>
      <c r="H38" s="1505"/>
      <c r="I38" s="859"/>
      <c r="J38" s="859"/>
      <c r="K38" s="859"/>
    </row>
    <row r="39" spans="1:11" ht="14.45" customHeight="1">
      <c r="A39" s="1502"/>
      <c r="B39" s="875"/>
      <c r="C39" s="1504"/>
      <c r="D39" s="1496"/>
      <c r="E39" s="884"/>
      <c r="F39" s="436"/>
      <c r="G39" s="436"/>
      <c r="H39" s="1505"/>
      <c r="I39" s="859"/>
      <c r="J39" s="859"/>
      <c r="K39" s="859"/>
    </row>
    <row r="40" spans="1:11" ht="14.45" customHeight="1">
      <c r="A40" s="1502"/>
      <c r="B40" s="875"/>
      <c r="C40" s="884"/>
      <c r="D40" s="1496"/>
      <c r="E40" s="884"/>
      <c r="F40" s="436"/>
      <c r="G40" s="1505"/>
      <c r="H40" s="1505"/>
      <c r="I40" s="859"/>
      <c r="J40" s="859"/>
      <c r="K40" s="859"/>
    </row>
    <row r="41" spans="1:11" ht="14.45" customHeight="1">
      <c r="A41" s="1502"/>
      <c r="B41" s="875"/>
      <c r="C41" s="884"/>
      <c r="D41" s="1496"/>
      <c r="E41" s="884"/>
      <c r="F41" s="436"/>
      <c r="G41" s="1505"/>
      <c r="H41" s="1505"/>
      <c r="I41" s="859"/>
      <c r="J41" s="859"/>
      <c r="K41" s="859"/>
    </row>
    <row r="42" spans="1:11" ht="14.45" customHeight="1">
      <c r="A42" s="1502"/>
      <c r="B42" s="875"/>
      <c r="C42" s="1497"/>
      <c r="D42" s="1496"/>
      <c r="E42" s="884"/>
      <c r="F42" s="436"/>
      <c r="G42" s="1505"/>
      <c r="H42" s="1505"/>
      <c r="I42" s="859"/>
      <c r="J42" s="859"/>
      <c r="K42" s="859"/>
    </row>
    <row r="43" spans="1:11" ht="14.45" customHeight="1">
      <c r="A43" s="1502"/>
      <c r="B43" s="875"/>
      <c r="C43" s="884"/>
      <c r="D43" s="884"/>
      <c r="E43" s="884"/>
      <c r="F43" s="436"/>
      <c r="G43" s="1505"/>
      <c r="H43" s="1505"/>
      <c r="I43" s="859"/>
      <c r="J43" s="859"/>
      <c r="K43" s="859"/>
    </row>
    <row r="44" spans="1:11" ht="14.45" customHeight="1">
      <c r="A44" s="1502"/>
      <c r="B44" s="875"/>
      <c r="C44" s="884"/>
      <c r="D44" s="884"/>
      <c r="E44" s="884"/>
      <c r="F44" s="436"/>
      <c r="G44" s="1505"/>
      <c r="H44" s="1505"/>
      <c r="I44" s="859"/>
      <c r="J44" s="859"/>
      <c r="K44" s="859"/>
    </row>
    <row r="45" spans="1:11" ht="14.45" customHeight="1">
      <c r="A45" s="1502"/>
      <c r="B45" s="875"/>
      <c r="C45" s="884"/>
      <c r="D45" s="884"/>
      <c r="E45" s="884"/>
      <c r="F45" s="436"/>
      <c r="G45" s="1505"/>
      <c r="H45" s="1505"/>
      <c r="I45" s="859"/>
      <c r="J45" s="859"/>
      <c r="K45" s="859"/>
    </row>
    <row r="46" spans="1:11" ht="14.45" customHeight="1">
      <c r="A46" s="1502"/>
      <c r="B46" s="875"/>
      <c r="C46" s="884"/>
      <c r="D46" s="884"/>
      <c r="E46" s="884"/>
      <c r="F46" s="436"/>
      <c r="G46" s="1505"/>
      <c r="H46" s="1505"/>
      <c r="I46" s="859"/>
      <c r="J46" s="859"/>
      <c r="K46" s="859"/>
    </row>
    <row r="47" spans="1:11" ht="14.45" customHeight="1">
      <c r="B47" s="436"/>
      <c r="C47" s="884"/>
      <c r="D47" s="884"/>
      <c r="E47" s="884"/>
      <c r="F47" s="436"/>
      <c r="G47" s="859"/>
      <c r="H47" s="859"/>
      <c r="I47" s="859"/>
      <c r="J47" s="859"/>
      <c r="K47" s="859"/>
    </row>
    <row r="48" spans="1:11" ht="14.45" customHeight="1">
      <c r="B48" s="65"/>
      <c r="C48" s="885"/>
      <c r="D48" s="885"/>
      <c r="E48" s="885"/>
      <c r="F48" s="65"/>
    </row>
    <row r="49" spans="2:30" ht="14.45" customHeight="1">
      <c r="B49" s="65"/>
      <c r="C49" s="885"/>
      <c r="D49" s="885"/>
      <c r="E49" s="885"/>
      <c r="F49" s="65"/>
    </row>
    <row r="50" spans="2:30" ht="14.45" customHeight="1"/>
    <row r="52" spans="2:30" ht="15" customHeight="1">
      <c r="B52" s="843"/>
      <c r="C52" s="843"/>
      <c r="D52" s="843"/>
      <c r="E52" s="843"/>
      <c r="F52" s="843"/>
      <c r="G52" s="843"/>
      <c r="H52" s="843"/>
      <c r="I52" s="843"/>
      <c r="J52" s="843"/>
      <c r="K52" s="886"/>
      <c r="L52" s="886"/>
      <c r="M52" s="886"/>
      <c r="N52" s="886"/>
      <c r="O52" s="886"/>
      <c r="P52" s="886"/>
      <c r="Q52" s="886"/>
      <c r="R52" s="886"/>
      <c r="S52" s="886"/>
      <c r="T52" s="886"/>
      <c r="U52" s="886"/>
      <c r="V52" s="886"/>
      <c r="W52" s="886"/>
      <c r="X52" s="886"/>
      <c r="Y52" s="886"/>
      <c r="Z52" s="886"/>
      <c r="AA52" s="886"/>
      <c r="AB52" s="886"/>
      <c r="AC52" s="1502"/>
      <c r="AD52" s="1502"/>
    </row>
    <row r="53" spans="2:30" ht="15" customHeight="1">
      <c r="B53" s="1559"/>
      <c r="C53" s="1559"/>
      <c r="D53" s="1559"/>
      <c r="E53" s="1559"/>
      <c r="F53" s="1559"/>
      <c r="G53" s="1559"/>
      <c r="H53" s="1559"/>
      <c r="I53" s="1559"/>
      <c r="J53" s="1559"/>
      <c r="K53" s="1559"/>
      <c r="L53" s="1559"/>
      <c r="M53" s="1559"/>
      <c r="N53" s="1559"/>
      <c r="O53" s="1559"/>
      <c r="P53" s="1559"/>
      <c r="Q53" s="1559"/>
      <c r="R53" s="1559"/>
      <c r="S53" s="1559"/>
      <c r="T53" s="1559"/>
      <c r="U53" s="1559"/>
      <c r="V53" s="1559"/>
      <c r="W53" s="1559"/>
      <c r="X53" s="1559"/>
      <c r="Y53" s="1559"/>
      <c r="Z53" s="1559"/>
      <c r="AA53" s="1559"/>
      <c r="AB53" s="1559"/>
      <c r="AC53" s="1502"/>
      <c r="AD53" s="1502"/>
    </row>
    <row r="54" spans="2:30" ht="15" customHeight="1">
      <c r="B54" s="1560"/>
      <c r="C54" s="1558"/>
      <c r="D54" s="883"/>
      <c r="E54" s="883"/>
      <c r="F54" s="883"/>
      <c r="G54" s="883"/>
      <c r="H54" s="883"/>
      <c r="I54" s="883"/>
      <c r="J54" s="883"/>
      <c r="K54" s="883"/>
      <c r="L54" s="883"/>
      <c r="M54" s="883"/>
      <c r="N54" s="883"/>
      <c r="O54" s="883"/>
      <c r="P54" s="883"/>
      <c r="Q54" s="883"/>
      <c r="R54" s="1561"/>
      <c r="S54" s="883"/>
      <c r="T54" s="883"/>
      <c r="U54" s="883"/>
      <c r="V54" s="883"/>
      <c r="W54" s="883"/>
      <c r="X54" s="883"/>
      <c r="Y54" s="883"/>
      <c r="Z54" s="883"/>
      <c r="AA54" s="883"/>
      <c r="AB54" s="883"/>
      <c r="AC54" s="1502"/>
      <c r="AD54" s="1502"/>
    </row>
    <row r="55" spans="2:30" ht="15" customHeight="1">
      <c r="B55" s="1560"/>
      <c r="C55" s="1558"/>
      <c r="D55" s="883"/>
      <c r="E55" s="883"/>
      <c r="F55" s="883"/>
      <c r="G55" s="883"/>
      <c r="H55" s="883"/>
      <c r="I55" s="883"/>
      <c r="J55" s="883"/>
      <c r="K55" s="883"/>
      <c r="L55" s="883"/>
      <c r="M55" s="883"/>
      <c r="N55" s="883"/>
      <c r="O55" s="883"/>
      <c r="P55" s="883"/>
      <c r="Q55" s="883"/>
      <c r="R55" s="1561"/>
      <c r="S55" s="883"/>
      <c r="T55" s="883"/>
      <c r="U55" s="883"/>
      <c r="V55" s="883"/>
      <c r="W55" s="883"/>
      <c r="X55" s="883"/>
      <c r="Y55" s="883"/>
      <c r="Z55" s="883"/>
      <c r="AA55" s="883"/>
      <c r="AB55" s="883"/>
      <c r="AC55" s="1502"/>
      <c r="AD55" s="1502"/>
    </row>
    <row r="56" spans="2:30" ht="15" customHeight="1">
      <c r="B56" s="1560"/>
      <c r="C56" s="1558"/>
      <c r="D56" s="883"/>
      <c r="E56" s="883"/>
      <c r="F56" s="883"/>
      <c r="G56" s="883"/>
      <c r="H56" s="883"/>
      <c r="I56" s="883"/>
      <c r="J56" s="883"/>
      <c r="K56" s="883"/>
      <c r="L56" s="883"/>
      <c r="M56" s="883"/>
      <c r="N56" s="883"/>
      <c r="O56" s="883"/>
      <c r="P56" s="883"/>
      <c r="Q56" s="883"/>
      <c r="R56" s="1561"/>
      <c r="S56" s="883"/>
      <c r="T56" s="883"/>
      <c r="U56" s="883"/>
      <c r="V56" s="883"/>
      <c r="W56" s="883"/>
      <c r="X56" s="883"/>
      <c r="Y56" s="883"/>
      <c r="Z56" s="883"/>
      <c r="AA56" s="883"/>
      <c r="AB56" s="883"/>
      <c r="AC56" s="1502"/>
      <c r="AD56" s="1502"/>
    </row>
    <row r="57" spans="2:30" ht="15" customHeight="1">
      <c r="B57" s="1560"/>
      <c r="C57" s="1558"/>
      <c r="D57" s="883"/>
      <c r="E57" s="883"/>
      <c r="F57" s="883"/>
      <c r="G57" s="883"/>
      <c r="H57" s="883"/>
      <c r="I57" s="883"/>
      <c r="J57" s="883"/>
      <c r="K57" s="883"/>
      <c r="L57" s="883"/>
      <c r="M57" s="883"/>
      <c r="N57" s="883"/>
      <c r="O57" s="883"/>
      <c r="P57" s="883"/>
      <c r="Q57" s="883"/>
      <c r="R57" s="1561"/>
      <c r="S57" s="883"/>
      <c r="T57" s="883"/>
      <c r="U57" s="883"/>
      <c r="V57" s="883"/>
      <c r="W57" s="883"/>
      <c r="X57" s="883"/>
      <c r="Y57" s="883"/>
      <c r="Z57" s="883"/>
      <c r="AA57" s="883"/>
      <c r="AB57" s="883"/>
      <c r="AC57" s="1502"/>
      <c r="AD57" s="1502"/>
    </row>
    <row r="58" spans="2:30" ht="15" customHeight="1">
      <c r="B58" s="1560"/>
      <c r="C58" s="1558"/>
      <c r="D58" s="883"/>
      <c r="E58" s="883"/>
      <c r="F58" s="883"/>
      <c r="G58" s="883"/>
      <c r="H58" s="883"/>
      <c r="I58" s="883"/>
      <c r="J58" s="883"/>
      <c r="K58" s="883"/>
      <c r="L58" s="883"/>
      <c r="M58" s="883"/>
      <c r="N58" s="883"/>
      <c r="O58" s="883"/>
      <c r="P58" s="883"/>
      <c r="Q58" s="883"/>
      <c r="R58" s="1561"/>
      <c r="S58" s="883"/>
      <c r="T58" s="883"/>
      <c r="U58" s="883"/>
      <c r="V58" s="883"/>
      <c r="W58" s="883"/>
      <c r="X58" s="883"/>
      <c r="Y58" s="883"/>
      <c r="Z58" s="883"/>
      <c r="AA58" s="883"/>
      <c r="AB58" s="883"/>
      <c r="AC58" s="1502"/>
      <c r="AD58" s="1502"/>
    </row>
    <row r="59" spans="2:30" ht="15" customHeight="1">
      <c r="B59" s="1560"/>
      <c r="C59" s="1558"/>
      <c r="D59" s="883"/>
      <c r="E59" s="883"/>
      <c r="F59" s="883"/>
      <c r="G59" s="883"/>
      <c r="H59" s="883"/>
      <c r="I59" s="883"/>
      <c r="J59" s="883"/>
      <c r="K59" s="883"/>
      <c r="L59" s="883"/>
      <c r="M59" s="883"/>
      <c r="N59" s="883"/>
      <c r="O59" s="883"/>
      <c r="P59" s="883"/>
      <c r="Q59" s="883"/>
      <c r="R59" s="1561"/>
      <c r="S59" s="883"/>
      <c r="T59" s="883"/>
      <c r="U59" s="883"/>
      <c r="V59" s="883"/>
      <c r="W59" s="883"/>
      <c r="X59" s="883"/>
      <c r="Y59" s="883"/>
      <c r="Z59" s="883"/>
      <c r="AA59" s="883"/>
      <c r="AB59" s="883"/>
      <c r="AC59" s="1502"/>
      <c r="AD59" s="1502"/>
    </row>
    <row r="60" spans="2:30" ht="15" customHeight="1">
      <c r="B60" s="1560"/>
      <c r="C60" s="1558"/>
      <c r="D60" s="883"/>
      <c r="E60" s="883"/>
      <c r="F60" s="883"/>
      <c r="G60" s="883"/>
      <c r="H60" s="883"/>
      <c r="I60" s="883"/>
      <c r="J60" s="883"/>
      <c r="K60" s="883"/>
      <c r="L60" s="883"/>
      <c r="M60" s="883"/>
      <c r="N60" s="883"/>
      <c r="O60" s="883"/>
      <c r="P60" s="883"/>
      <c r="Q60" s="883"/>
      <c r="R60" s="1561"/>
      <c r="S60" s="883"/>
      <c r="T60" s="883"/>
      <c r="U60" s="883"/>
      <c r="V60" s="883"/>
      <c r="W60" s="883"/>
      <c r="X60" s="883"/>
      <c r="Y60" s="883"/>
      <c r="Z60" s="883"/>
      <c r="AA60" s="883"/>
      <c r="AB60" s="883"/>
      <c r="AC60" s="1502"/>
      <c r="AD60" s="1502"/>
    </row>
    <row r="61" spans="2:30" ht="15" customHeight="1">
      <c r="B61" s="1560"/>
      <c r="C61" s="1558"/>
      <c r="D61" s="883"/>
      <c r="E61" s="883"/>
      <c r="F61" s="883"/>
      <c r="G61" s="883"/>
      <c r="H61" s="883"/>
      <c r="I61" s="883"/>
      <c r="J61" s="883"/>
      <c r="K61" s="883"/>
      <c r="L61" s="883"/>
      <c r="M61" s="883"/>
      <c r="N61" s="883"/>
      <c r="O61" s="883"/>
      <c r="P61" s="883"/>
      <c r="Q61" s="883"/>
      <c r="R61" s="1561"/>
      <c r="S61" s="883"/>
      <c r="T61" s="883"/>
      <c r="U61" s="883"/>
      <c r="V61" s="883"/>
      <c r="W61" s="883"/>
      <c r="X61" s="883"/>
      <c r="Y61" s="883"/>
      <c r="Z61" s="883"/>
      <c r="AA61" s="883"/>
      <c r="AB61" s="883"/>
      <c r="AC61" s="1502"/>
      <c r="AD61" s="1502"/>
    </row>
    <row r="62" spans="2:30" ht="15" customHeight="1">
      <c r="B62" s="1560"/>
      <c r="C62" s="1558"/>
      <c r="D62" s="883"/>
      <c r="E62" s="883"/>
      <c r="F62" s="883"/>
      <c r="G62" s="883"/>
      <c r="H62" s="883"/>
      <c r="I62" s="883"/>
      <c r="J62" s="883"/>
      <c r="K62" s="883"/>
      <c r="L62" s="883"/>
      <c r="M62" s="883"/>
      <c r="N62" s="883"/>
      <c r="O62" s="883"/>
      <c r="P62" s="883"/>
      <c r="Q62" s="883"/>
      <c r="R62" s="1561"/>
      <c r="S62" s="883"/>
      <c r="T62" s="883"/>
      <c r="U62" s="883"/>
      <c r="V62" s="883"/>
      <c r="W62" s="883"/>
      <c r="X62" s="883"/>
      <c r="Y62" s="883"/>
      <c r="Z62" s="883"/>
      <c r="AA62" s="883"/>
      <c r="AB62" s="883"/>
      <c r="AC62" s="1502"/>
      <c r="AD62" s="1502"/>
    </row>
    <row r="63" spans="2:30" ht="15" customHeight="1">
      <c r="B63" s="1560"/>
      <c r="C63" s="1558"/>
      <c r="D63" s="883"/>
      <c r="E63" s="883"/>
      <c r="F63" s="883"/>
      <c r="G63" s="883"/>
      <c r="H63" s="883"/>
      <c r="I63" s="883"/>
      <c r="J63" s="883"/>
      <c r="K63" s="883"/>
      <c r="L63" s="883"/>
      <c r="M63" s="883"/>
      <c r="N63" s="883"/>
      <c r="O63" s="883"/>
      <c r="P63" s="883"/>
      <c r="Q63" s="883"/>
      <c r="R63" s="1561"/>
      <c r="S63" s="883"/>
      <c r="T63" s="883"/>
      <c r="U63" s="883"/>
      <c r="V63" s="883"/>
      <c r="W63" s="883"/>
      <c r="X63" s="883"/>
      <c r="Y63" s="883"/>
      <c r="Z63" s="883"/>
      <c r="AA63" s="883"/>
      <c r="AB63" s="883"/>
      <c r="AC63" s="1502"/>
      <c r="AD63" s="1502"/>
    </row>
    <row r="64" spans="2:30" ht="15" customHeight="1">
      <c r="B64" s="1560"/>
      <c r="C64" s="1558"/>
      <c r="D64" s="883"/>
      <c r="E64" s="883"/>
      <c r="F64" s="883"/>
      <c r="G64" s="883"/>
      <c r="H64" s="883"/>
      <c r="I64" s="883"/>
      <c r="J64" s="883"/>
      <c r="K64" s="883"/>
      <c r="L64" s="883"/>
      <c r="M64" s="883"/>
      <c r="N64" s="883"/>
      <c r="O64" s="883"/>
      <c r="P64" s="883"/>
      <c r="Q64" s="883"/>
      <c r="R64" s="1561"/>
      <c r="S64" s="883"/>
      <c r="T64" s="883"/>
      <c r="U64" s="883"/>
      <c r="V64" s="883"/>
      <c r="W64" s="883"/>
      <c r="X64" s="883"/>
      <c r="Y64" s="883"/>
      <c r="Z64" s="883"/>
      <c r="AA64" s="883"/>
      <c r="AB64" s="883"/>
      <c r="AC64" s="1502"/>
      <c r="AD64" s="1502"/>
    </row>
    <row r="65" spans="2:30" ht="15" customHeight="1">
      <c r="B65" s="1560"/>
      <c r="C65" s="1558"/>
      <c r="D65" s="883"/>
      <c r="E65" s="883"/>
      <c r="F65" s="883"/>
      <c r="G65" s="883"/>
      <c r="H65" s="883"/>
      <c r="I65" s="883"/>
      <c r="J65" s="883"/>
      <c r="K65" s="883"/>
      <c r="L65" s="883"/>
      <c r="M65" s="883"/>
      <c r="N65" s="883"/>
      <c r="O65" s="883"/>
      <c r="P65" s="883"/>
      <c r="Q65" s="883"/>
      <c r="R65" s="1561"/>
      <c r="S65" s="883"/>
      <c r="T65" s="883"/>
      <c r="U65" s="883"/>
      <c r="V65" s="883"/>
      <c r="W65" s="883"/>
      <c r="X65" s="883"/>
      <c r="Y65" s="883"/>
      <c r="Z65" s="883"/>
      <c r="AA65" s="883"/>
      <c r="AB65" s="883"/>
      <c r="AC65" s="1502"/>
      <c r="AD65" s="1502"/>
    </row>
    <row r="66" spans="2:30" ht="15" customHeight="1">
      <c r="B66" s="1450"/>
      <c r="C66" s="1562"/>
      <c r="D66" s="883"/>
      <c r="E66" s="883"/>
      <c r="F66" s="883"/>
      <c r="G66" s="883"/>
      <c r="H66" s="883"/>
      <c r="I66" s="883"/>
      <c r="J66" s="883"/>
      <c r="K66" s="883"/>
      <c r="L66" s="883"/>
      <c r="M66" s="883"/>
      <c r="N66" s="883"/>
      <c r="O66" s="883"/>
      <c r="P66" s="883"/>
      <c r="Q66" s="883"/>
      <c r="R66" s="883"/>
      <c r="S66" s="883"/>
      <c r="T66" s="883"/>
      <c r="U66" s="883"/>
      <c r="V66" s="883"/>
      <c r="W66" s="883"/>
      <c r="X66" s="883"/>
      <c r="Y66" s="883"/>
      <c r="Z66" s="883"/>
      <c r="AA66" s="883"/>
      <c r="AB66" s="883"/>
      <c r="AC66" s="1502"/>
      <c r="AD66" s="1502"/>
    </row>
    <row r="67" spans="2:30" ht="15" customHeight="1">
      <c r="B67" s="1563"/>
      <c r="C67" s="1563"/>
      <c r="D67" s="1510"/>
      <c r="E67" s="1510"/>
      <c r="F67" s="1510"/>
      <c r="G67" s="1510"/>
      <c r="H67" s="1510"/>
      <c r="I67" s="1510"/>
      <c r="J67" s="1510"/>
      <c r="K67" s="1510"/>
      <c r="L67" s="1510"/>
      <c r="M67" s="1510"/>
      <c r="N67" s="1510"/>
      <c r="O67" s="1510"/>
      <c r="P67" s="1510"/>
      <c r="Q67" s="1510"/>
      <c r="R67" s="1510"/>
      <c r="S67" s="1510"/>
      <c r="T67" s="1510"/>
      <c r="U67" s="1510"/>
      <c r="V67" s="1510"/>
      <c r="W67" s="1510"/>
      <c r="X67" s="1510"/>
      <c r="Y67" s="1510"/>
      <c r="Z67" s="1510"/>
      <c r="AA67" s="1510"/>
      <c r="AB67" s="1510"/>
      <c r="AC67" s="1502"/>
      <c r="AD67" s="1502"/>
    </row>
    <row r="68" spans="2:30" ht="15" customHeight="1">
      <c r="B68" s="1502"/>
      <c r="C68" s="1564"/>
      <c r="D68" s="1564"/>
      <c r="E68" s="1564"/>
      <c r="F68" s="1502"/>
      <c r="G68" s="1502"/>
      <c r="H68" s="1502"/>
      <c r="I68" s="1502"/>
      <c r="J68" s="1502"/>
      <c r="K68" s="1502"/>
      <c r="L68" s="1502"/>
      <c r="M68" s="1502"/>
      <c r="N68" s="1502"/>
      <c r="O68" s="1502"/>
      <c r="P68" s="1502"/>
      <c r="Q68" s="1502"/>
      <c r="R68" s="1502"/>
      <c r="S68" s="1502"/>
      <c r="T68" s="1502"/>
      <c r="U68" s="1502"/>
      <c r="V68" s="1502"/>
      <c r="W68" s="1502"/>
      <c r="X68" s="1502"/>
      <c r="Y68" s="1502"/>
      <c r="Z68" s="1502"/>
      <c r="AA68" s="1502"/>
      <c r="AB68" s="1502"/>
      <c r="AC68" s="1502"/>
      <c r="AD68" s="1502"/>
    </row>
    <row r="69" spans="2:30" ht="15" customHeight="1">
      <c r="B69" s="1502"/>
      <c r="C69" s="1564"/>
      <c r="D69" s="1564"/>
      <c r="E69" s="1564"/>
      <c r="F69" s="1502"/>
      <c r="G69" s="1502"/>
      <c r="H69" s="1502"/>
      <c r="I69" s="1502"/>
      <c r="J69" s="1502"/>
      <c r="K69" s="1502"/>
      <c r="L69" s="1502"/>
      <c r="M69" s="1502"/>
      <c r="N69" s="1502"/>
      <c r="O69" s="1502"/>
      <c r="P69" s="1502"/>
      <c r="Q69" s="1502"/>
      <c r="R69" s="1502"/>
      <c r="S69" s="1502"/>
      <c r="T69" s="1502"/>
      <c r="U69" s="1502"/>
      <c r="V69" s="1502"/>
      <c r="W69" s="1502"/>
      <c r="X69" s="1502"/>
      <c r="Y69" s="1502"/>
      <c r="Z69" s="1502"/>
      <c r="AA69" s="1502"/>
      <c r="AB69" s="1502"/>
      <c r="AC69" s="1502"/>
      <c r="AD69" s="1502"/>
    </row>
    <row r="71" spans="2:30" ht="15" customHeight="1">
      <c r="H71" s="891"/>
      <c r="J71" s="891"/>
    </row>
    <row r="72" spans="2:30" ht="15" customHeight="1">
      <c r="H72" s="891"/>
      <c r="J72" s="891"/>
    </row>
    <row r="73" spans="2:30" ht="15" customHeight="1">
      <c r="H73" s="891"/>
      <c r="J73" s="891"/>
    </row>
    <row r="74" spans="2:30" ht="15" customHeight="1">
      <c r="H74" s="891"/>
      <c r="J74" s="891"/>
    </row>
    <row r="75" spans="2:30" ht="15" customHeight="1">
      <c r="H75" s="891"/>
      <c r="J75" s="891"/>
    </row>
    <row r="76" spans="2:30" ht="15" customHeight="1">
      <c r="H76" s="891"/>
      <c r="J76" s="891"/>
    </row>
    <row r="77" spans="2:30" ht="15" customHeight="1">
      <c r="H77" s="891"/>
      <c r="J77" s="891"/>
    </row>
    <row r="78" spans="2:30" ht="15" customHeight="1">
      <c r="H78" s="891"/>
      <c r="J78" s="891"/>
    </row>
    <row r="79" spans="2:30" ht="15" customHeight="1">
      <c r="H79" s="891"/>
      <c r="J79" s="891"/>
    </row>
    <row r="80" spans="2:30" ht="15" customHeight="1">
      <c r="H80" s="891"/>
      <c r="J80" s="891"/>
    </row>
    <row r="81" spans="8:10" ht="15" customHeight="1">
      <c r="H81" s="891"/>
      <c r="J81" s="891"/>
    </row>
    <row r="82" spans="8:10" ht="15" customHeight="1">
      <c r="H82" s="891"/>
      <c r="J82" s="891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4" t="s">
        <v>1321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353"/>
      <c r="P2" s="353"/>
      <c r="Q2" s="353"/>
      <c r="R2" s="9"/>
      <c r="S2" s="9"/>
      <c r="T2" s="9"/>
      <c r="U2" s="9"/>
      <c r="V2" s="9"/>
    </row>
    <row r="3" spans="1:22">
      <c r="A3" s="665" t="s">
        <v>1322</v>
      </c>
      <c r="B3" s="65"/>
      <c r="C3" s="65"/>
      <c r="D3" s="65"/>
      <c r="E3" s="65"/>
      <c r="F3" s="663"/>
      <c r="G3" s="353"/>
      <c r="H3" s="353"/>
      <c r="I3" s="665" t="s">
        <v>1323</v>
      </c>
      <c r="J3" s="353"/>
      <c r="K3" s="666"/>
      <c r="L3" s="9"/>
      <c r="M3" s="9"/>
      <c r="N3" s="663"/>
      <c r="O3" s="353"/>
      <c r="P3" s="353"/>
      <c r="Q3" s="353"/>
      <c r="R3" s="9"/>
      <c r="S3" s="9"/>
      <c r="T3" s="9"/>
      <c r="U3" s="9"/>
      <c r="V3" s="9"/>
    </row>
    <row r="4" spans="1:22" ht="25.5">
      <c r="A4" s="1317" t="s">
        <v>22</v>
      </c>
      <c r="B4" s="1318"/>
      <c r="C4" s="667" t="s">
        <v>850</v>
      </c>
      <c r="D4" s="667" t="s">
        <v>1324</v>
      </c>
      <c r="E4" s="667" t="s">
        <v>1325</v>
      </c>
      <c r="F4" s="667" t="s">
        <v>8</v>
      </c>
      <c r="G4" s="668" t="s">
        <v>1326</v>
      </c>
      <c r="H4" s="353"/>
      <c r="I4" s="1317" t="s">
        <v>22</v>
      </c>
      <c r="J4" s="1317"/>
      <c r="K4" s="1317"/>
      <c r="L4" s="667" t="s">
        <v>1325</v>
      </c>
      <c r="M4" s="667" t="s">
        <v>8</v>
      </c>
      <c r="N4" s="668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19" t="s">
        <v>697</v>
      </c>
      <c r="B5" s="1320"/>
      <c r="C5" s="1321">
        <f>SUMPRODUCT(C16:Q16,$C$22:$Q$22)</f>
        <v>0</v>
      </c>
      <c r="D5" s="672">
        <f>SUMPRODUCT(C28:Q28,$C$34:$Q$34)</f>
        <v>0</v>
      </c>
      <c r="E5" s="1322">
        <f>C5-D5</f>
        <v>0</v>
      </c>
      <c r="F5" s="1323">
        <f>Resultado!M9</f>
        <v>0</v>
      </c>
      <c r="G5" s="669">
        <f>F5+E5</f>
        <v>0</v>
      </c>
      <c r="H5" s="353"/>
      <c r="I5" s="1319" t="s">
        <v>697</v>
      </c>
      <c r="J5" s="1319"/>
      <c r="K5" s="1319"/>
      <c r="L5" s="1323">
        <f t="shared" ref="L5:N10" si="0">E5/12</f>
        <v>0</v>
      </c>
      <c r="M5" s="1323">
        <f t="shared" si="0"/>
        <v>0</v>
      </c>
      <c r="N5" s="1321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0"/>
      <c r="C6" s="671">
        <f t="shared" ref="C6:C10" si="1">SUMPRODUCT(C17:Q17,$C$22:$Q$22)</f>
        <v>0</v>
      </c>
      <c r="D6" s="672">
        <f t="shared" ref="D6:D10" si="2">SUMPRODUCT(C29:Q29,$C$34:$Q$34)</f>
        <v>0</v>
      </c>
      <c r="E6" s="690">
        <f t="shared" ref="E6:E10" si="3">C6-D6</f>
        <v>0</v>
      </c>
      <c r="F6" s="672">
        <f>Resultado!M10</f>
        <v>0</v>
      </c>
      <c r="G6" s="669">
        <f t="shared" ref="G6:G10" si="4">F6+E6</f>
        <v>0</v>
      </c>
      <c r="H6" s="353"/>
      <c r="I6" s="65" t="s">
        <v>699</v>
      </c>
      <c r="J6" s="65"/>
      <c r="K6" s="65"/>
      <c r="L6" s="672">
        <f t="shared" si="0"/>
        <v>0</v>
      </c>
      <c r="M6" s="672">
        <f t="shared" si="0"/>
        <v>0</v>
      </c>
      <c r="N6" s="671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0"/>
      <c r="C7" s="671">
        <f t="shared" si="1"/>
        <v>0</v>
      </c>
      <c r="D7" s="672">
        <f t="shared" si="2"/>
        <v>0</v>
      </c>
      <c r="E7" s="690">
        <f t="shared" si="3"/>
        <v>0</v>
      </c>
      <c r="F7" s="672">
        <f>-Financeiros!D34+Resultado!M11</f>
        <v>0</v>
      </c>
      <c r="G7" s="669">
        <f t="shared" si="4"/>
        <v>0</v>
      </c>
      <c r="H7" s="353"/>
      <c r="I7" s="65" t="s">
        <v>701</v>
      </c>
      <c r="J7" s="65"/>
      <c r="K7" s="65"/>
      <c r="L7" s="672">
        <f t="shared" si="0"/>
        <v>0</v>
      </c>
      <c r="M7" s="672">
        <f t="shared" si="0"/>
        <v>0</v>
      </c>
      <c r="N7" s="671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0"/>
      <c r="C8" s="671">
        <f t="shared" si="1"/>
        <v>2575.1386129424541</v>
      </c>
      <c r="D8" s="672">
        <f t="shared" si="2"/>
        <v>2029.8919312185965</v>
      </c>
      <c r="E8" s="690">
        <f t="shared" si="3"/>
        <v>545.24668172385759</v>
      </c>
      <c r="F8" s="672">
        <f>Resultado!M12</f>
        <v>1329.1645157067196</v>
      </c>
      <c r="G8" s="669">
        <f t="shared" si="4"/>
        <v>1874.4111974305772</v>
      </c>
      <c r="H8" s="353"/>
      <c r="I8" s="65" t="s">
        <v>702</v>
      </c>
      <c r="J8" s="65"/>
      <c r="K8" s="65"/>
      <c r="L8" s="672">
        <f t="shared" si="0"/>
        <v>45.43722347698813</v>
      </c>
      <c r="M8" s="672">
        <f t="shared" si="0"/>
        <v>110.76370964222663</v>
      </c>
      <c r="N8" s="671">
        <f t="shared" si="0"/>
        <v>156.20093311921477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0"/>
      <c r="C9" s="671">
        <f t="shared" si="1"/>
        <v>1534394.3869604017</v>
      </c>
      <c r="D9" s="672">
        <f t="shared" si="2"/>
        <v>1565801.6668770052</v>
      </c>
      <c r="E9" s="690">
        <f>C9-D9</f>
        <v>-31407.279916603584</v>
      </c>
      <c r="F9" s="672">
        <f>Resultado!M13</f>
        <v>798559.64544101222</v>
      </c>
      <c r="G9" s="669">
        <f t="shared" si="4"/>
        <v>767152.36552440864</v>
      </c>
      <c r="H9" s="353"/>
      <c r="I9" s="65" t="s">
        <v>705</v>
      </c>
      <c r="J9" s="65"/>
      <c r="K9" s="65"/>
      <c r="L9" s="672">
        <f t="shared" si="0"/>
        <v>-2617.2733263836321</v>
      </c>
      <c r="M9" s="672">
        <f t="shared" si="0"/>
        <v>66546.637120084357</v>
      </c>
      <c r="N9" s="671">
        <f t="shared" si="0"/>
        <v>63929.363793700722</v>
      </c>
      <c r="P9" s="353"/>
      <c r="Q9" s="353"/>
      <c r="R9" s="9"/>
      <c r="S9" s="9"/>
      <c r="T9" s="9"/>
      <c r="U9" s="9"/>
      <c r="V9" s="9"/>
    </row>
    <row r="10" spans="1:22">
      <c r="A10" s="1063" t="s">
        <v>707</v>
      </c>
      <c r="B10" s="673"/>
      <c r="C10" s="671">
        <f t="shared" si="1"/>
        <v>0</v>
      </c>
      <c r="D10" s="672">
        <f t="shared" si="2"/>
        <v>0</v>
      </c>
      <c r="E10" s="1324">
        <f t="shared" si="3"/>
        <v>0</v>
      </c>
      <c r="F10" s="1325">
        <f>Resultado!M14</f>
        <v>0</v>
      </c>
      <c r="G10" s="669">
        <f t="shared" si="4"/>
        <v>0</v>
      </c>
      <c r="H10" s="353"/>
      <c r="I10" s="1063" t="s">
        <v>707</v>
      </c>
      <c r="J10" s="1063"/>
      <c r="K10" s="1063"/>
      <c r="L10" s="1325">
        <f t="shared" si="0"/>
        <v>0</v>
      </c>
      <c r="M10" s="1325">
        <f t="shared" si="0"/>
        <v>0</v>
      </c>
      <c r="N10" s="674">
        <f t="shared" si="0"/>
        <v>0</v>
      </c>
      <c r="P10" s="353"/>
      <c r="Q10" s="353"/>
      <c r="R10" s="9"/>
      <c r="S10" s="9"/>
      <c r="T10" s="9"/>
      <c r="U10" s="9"/>
      <c r="V10" s="9"/>
    </row>
    <row r="11" spans="1:22">
      <c r="A11" s="1326" t="s">
        <v>769</v>
      </c>
      <c r="B11" s="1326"/>
      <c r="C11" s="1327">
        <f>SUM(C5:C10)</f>
        <v>1536969.5255733442</v>
      </c>
      <c r="D11" s="1327">
        <f>SUM(D5:D10)</f>
        <v>1567831.5588082238</v>
      </c>
      <c r="E11" s="1327">
        <f t="shared" ref="E11" si="5">SUM(E5:E10)</f>
        <v>-30862.033234879727</v>
      </c>
      <c r="F11" s="1327">
        <f>SUM(F5:F10)</f>
        <v>799888.80995671893</v>
      </c>
      <c r="G11" s="1328">
        <f>SUM(G5:G10)</f>
        <v>769026.77672183921</v>
      </c>
      <c r="H11" s="353"/>
      <c r="I11" s="1326" t="s">
        <v>769</v>
      </c>
      <c r="J11" s="1326"/>
      <c r="K11" s="1326"/>
      <c r="L11" s="1327">
        <f>SUM(L5:L10)</f>
        <v>-2571.8361029066441</v>
      </c>
      <c r="M11" s="1327">
        <f>SUM(M5:M10)</f>
        <v>66657.400829726583</v>
      </c>
      <c r="N11" s="1328">
        <f>SUM(N5:N10)</f>
        <v>64085.564726819939</v>
      </c>
      <c r="P11" s="353"/>
      <c r="Q11" s="353"/>
      <c r="R11" s="9"/>
      <c r="S11" s="9"/>
      <c r="T11" s="9"/>
      <c r="U11" s="9"/>
      <c r="V11" s="9"/>
    </row>
    <row r="12" spans="1:22">
      <c r="A12" s="663"/>
      <c r="B12" s="663"/>
      <c r="C12" s="663"/>
      <c r="D12" s="663"/>
      <c r="E12" s="663"/>
      <c r="F12" s="663"/>
      <c r="G12" s="663"/>
      <c r="H12" s="663"/>
      <c r="I12" s="9"/>
      <c r="J12" s="663"/>
      <c r="K12" s="663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5" t="s">
        <v>1327</v>
      </c>
      <c r="B13" s="663"/>
      <c r="C13" s="353"/>
      <c r="D13" s="353"/>
      <c r="E13" s="353"/>
      <c r="F13" s="663"/>
      <c r="G13" s="663"/>
      <c r="H13" s="663"/>
      <c r="I13" s="663"/>
      <c r="J13" s="663"/>
      <c r="K13" s="663"/>
      <c r="L13" s="663"/>
      <c r="M13" s="663"/>
      <c r="N13" s="663"/>
      <c r="O13" s="353"/>
      <c r="P13" s="353"/>
      <c r="Q13" s="353"/>
      <c r="R13" s="9"/>
      <c r="S13" s="9"/>
      <c r="T13" s="9"/>
      <c r="U13" s="9"/>
      <c r="V13" s="9"/>
    </row>
    <row r="14" spans="1:22">
      <c r="A14" s="1838" t="s">
        <v>22</v>
      </c>
      <c r="B14" s="1839" t="s">
        <v>1328</v>
      </c>
      <c r="C14" s="353"/>
      <c r="D14" s="353"/>
      <c r="E14" s="353"/>
      <c r="F14" s="675" t="s">
        <v>874</v>
      </c>
      <c r="G14" s="675" t="s">
        <v>874</v>
      </c>
      <c r="H14" s="675" t="s">
        <v>874</v>
      </c>
      <c r="I14" s="675" t="s">
        <v>874</v>
      </c>
      <c r="J14" s="675" t="s">
        <v>874</v>
      </c>
      <c r="K14" s="675" t="s">
        <v>874</v>
      </c>
      <c r="L14" s="675" t="s">
        <v>874</v>
      </c>
      <c r="M14" s="675" t="s">
        <v>874</v>
      </c>
      <c r="N14" s="675" t="s">
        <v>874</v>
      </c>
      <c r="O14" s="675" t="s">
        <v>874</v>
      </c>
      <c r="P14" s="675" t="s">
        <v>874</v>
      </c>
      <c r="Q14" s="675" t="s">
        <v>874</v>
      </c>
      <c r="R14" s="9"/>
      <c r="S14" s="9"/>
      <c r="T14" s="9"/>
      <c r="U14" s="9"/>
      <c r="V14" s="9"/>
    </row>
    <row r="15" spans="1:22">
      <c r="A15" s="1838"/>
      <c r="B15" s="1839"/>
      <c r="C15" s="676">
        <f t="shared" ref="C15:P15" si="6">EDATE(D15,-1)</f>
        <v>44348</v>
      </c>
      <c r="D15" s="676">
        <f>EDATE(E15,-1)</f>
        <v>44378</v>
      </c>
      <c r="E15" s="676">
        <f>EDATE(F15,-1)</f>
        <v>44409</v>
      </c>
      <c r="F15" s="677">
        <f>EDATE(G15,-1)</f>
        <v>44440</v>
      </c>
      <c r="G15" s="677">
        <f t="shared" si="6"/>
        <v>44470</v>
      </c>
      <c r="H15" s="677">
        <f t="shared" si="6"/>
        <v>44501</v>
      </c>
      <c r="I15" s="677">
        <f t="shared" si="6"/>
        <v>44531</v>
      </c>
      <c r="J15" s="677">
        <f t="shared" si="6"/>
        <v>44562</v>
      </c>
      <c r="K15" s="677">
        <f t="shared" si="6"/>
        <v>44593</v>
      </c>
      <c r="L15" s="677">
        <f t="shared" si="6"/>
        <v>44621</v>
      </c>
      <c r="M15" s="677">
        <f t="shared" si="6"/>
        <v>44652</v>
      </c>
      <c r="N15" s="677">
        <f t="shared" si="6"/>
        <v>44682</v>
      </c>
      <c r="O15" s="677">
        <f t="shared" si="6"/>
        <v>44713</v>
      </c>
      <c r="P15" s="677">
        <f t="shared" si="6"/>
        <v>44743</v>
      </c>
      <c r="Q15" s="677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8" t="s">
        <v>1329</v>
      </c>
      <c r="B16" s="679" t="s">
        <v>926</v>
      </c>
      <c r="C16" s="680">
        <f>C40</f>
        <v>0</v>
      </c>
      <c r="D16" s="680">
        <f t="shared" ref="D16:E16" si="7">D40</f>
        <v>0</v>
      </c>
      <c r="E16" s="680">
        <f t="shared" si="7"/>
        <v>0</v>
      </c>
      <c r="F16" s="680">
        <f t="shared" ref="F16:Q21" si="8">DSUM(MercadoBase,$B16,F$14:F$15)</f>
        <v>0</v>
      </c>
      <c r="G16" s="680">
        <f t="shared" si="8"/>
        <v>0</v>
      </c>
      <c r="H16" s="680">
        <f t="shared" si="8"/>
        <v>0</v>
      </c>
      <c r="I16" s="680">
        <f t="shared" si="8"/>
        <v>0</v>
      </c>
      <c r="J16" s="680">
        <f t="shared" si="8"/>
        <v>0</v>
      </c>
      <c r="K16" s="680">
        <f t="shared" si="8"/>
        <v>0</v>
      </c>
      <c r="L16" s="680">
        <f t="shared" si="8"/>
        <v>0</v>
      </c>
      <c r="M16" s="680">
        <f t="shared" si="8"/>
        <v>0</v>
      </c>
      <c r="N16" s="680">
        <f t="shared" si="8"/>
        <v>0</v>
      </c>
      <c r="O16" s="680">
        <f t="shared" si="8"/>
        <v>0</v>
      </c>
      <c r="P16" s="680">
        <f t="shared" si="8"/>
        <v>0</v>
      </c>
      <c r="Q16" s="680">
        <f t="shared" si="8"/>
        <v>0</v>
      </c>
      <c r="R16" s="9"/>
      <c r="S16" s="9"/>
      <c r="T16" s="9"/>
      <c r="U16" s="9"/>
      <c r="V16" s="9"/>
    </row>
    <row r="17" spans="1:22">
      <c r="A17" s="678" t="s">
        <v>1330</v>
      </c>
      <c r="B17" s="679" t="s">
        <v>927</v>
      </c>
      <c r="C17" s="680">
        <f t="shared" ref="C17:E21" si="9">C41</f>
        <v>0</v>
      </c>
      <c r="D17" s="680">
        <f t="shared" si="9"/>
        <v>0</v>
      </c>
      <c r="E17" s="680">
        <f t="shared" si="9"/>
        <v>0</v>
      </c>
      <c r="F17" s="680">
        <f t="shared" si="8"/>
        <v>0</v>
      </c>
      <c r="G17" s="680">
        <f t="shared" si="8"/>
        <v>0</v>
      </c>
      <c r="H17" s="680">
        <f t="shared" si="8"/>
        <v>0</v>
      </c>
      <c r="I17" s="680">
        <f t="shared" si="8"/>
        <v>0</v>
      </c>
      <c r="J17" s="680">
        <f t="shared" si="8"/>
        <v>0</v>
      </c>
      <c r="K17" s="680">
        <f t="shared" si="8"/>
        <v>0</v>
      </c>
      <c r="L17" s="680">
        <f t="shared" si="8"/>
        <v>0</v>
      </c>
      <c r="M17" s="680">
        <f t="shared" si="8"/>
        <v>0</v>
      </c>
      <c r="N17" s="680">
        <f t="shared" si="8"/>
        <v>0</v>
      </c>
      <c r="O17" s="680">
        <f t="shared" si="8"/>
        <v>0</v>
      </c>
      <c r="P17" s="680">
        <f t="shared" si="8"/>
        <v>0</v>
      </c>
      <c r="Q17" s="680">
        <f t="shared" si="8"/>
        <v>0</v>
      </c>
      <c r="R17" s="9"/>
      <c r="S17" s="9"/>
      <c r="T17" s="9"/>
      <c r="U17" s="9"/>
      <c r="V17" s="9"/>
    </row>
    <row r="18" spans="1:22">
      <c r="A18" s="678" t="s">
        <v>1331</v>
      </c>
      <c r="B18" s="679" t="s">
        <v>928</v>
      </c>
      <c r="C18" s="680">
        <f t="shared" si="9"/>
        <v>0</v>
      </c>
      <c r="D18" s="680">
        <f t="shared" si="9"/>
        <v>0</v>
      </c>
      <c r="E18" s="680">
        <f t="shared" si="9"/>
        <v>0</v>
      </c>
      <c r="F18" s="680">
        <f t="shared" si="8"/>
        <v>0</v>
      </c>
      <c r="G18" s="680">
        <f t="shared" si="8"/>
        <v>0</v>
      </c>
      <c r="H18" s="680">
        <f t="shared" si="8"/>
        <v>0</v>
      </c>
      <c r="I18" s="680">
        <f t="shared" si="8"/>
        <v>0</v>
      </c>
      <c r="J18" s="680">
        <f t="shared" si="8"/>
        <v>0</v>
      </c>
      <c r="K18" s="680">
        <f t="shared" si="8"/>
        <v>0</v>
      </c>
      <c r="L18" s="680">
        <f t="shared" si="8"/>
        <v>0</v>
      </c>
      <c r="M18" s="680">
        <f t="shared" si="8"/>
        <v>0</v>
      </c>
      <c r="N18" s="680">
        <f t="shared" si="8"/>
        <v>0</v>
      </c>
      <c r="O18" s="680">
        <f t="shared" si="8"/>
        <v>0</v>
      </c>
      <c r="P18" s="680">
        <f t="shared" si="8"/>
        <v>0</v>
      </c>
      <c r="Q18" s="680">
        <f t="shared" si="8"/>
        <v>0</v>
      </c>
      <c r="R18" s="9"/>
      <c r="S18" s="9"/>
      <c r="T18" s="9"/>
      <c r="U18" s="9"/>
      <c r="V18" s="9"/>
    </row>
    <row r="19" spans="1:22">
      <c r="A19" s="678" t="s">
        <v>1332</v>
      </c>
      <c r="B19" s="679" t="s">
        <v>929</v>
      </c>
      <c r="C19" s="680">
        <f t="shared" si="9"/>
        <v>0</v>
      </c>
      <c r="D19" s="680">
        <f t="shared" si="9"/>
        <v>0</v>
      </c>
      <c r="E19" s="680">
        <f t="shared" si="9"/>
        <v>0</v>
      </c>
      <c r="F19" s="680">
        <f t="shared" si="8"/>
        <v>334.21692000000058</v>
      </c>
      <c r="G19" s="680">
        <f t="shared" si="8"/>
        <v>318.44912400000004</v>
      </c>
      <c r="H19" s="680">
        <f t="shared" si="8"/>
        <v>279.97268400000036</v>
      </c>
      <c r="I19" s="680">
        <f t="shared" si="8"/>
        <v>259.90458000000012</v>
      </c>
      <c r="J19" s="680">
        <f t="shared" si="8"/>
        <v>238.13898599999993</v>
      </c>
      <c r="K19" s="680">
        <f t="shared" si="8"/>
        <v>162.92131800000021</v>
      </c>
      <c r="L19" s="680">
        <f t="shared" si="8"/>
        <v>122.93599800000018</v>
      </c>
      <c r="M19" s="680">
        <f t="shared" si="8"/>
        <v>132.51738600000013</v>
      </c>
      <c r="N19" s="680">
        <f t="shared" si="8"/>
        <v>164.76969600000004</v>
      </c>
      <c r="O19" s="680">
        <f t="shared" si="8"/>
        <v>148.39834800000003</v>
      </c>
      <c r="P19" s="680">
        <f t="shared" si="8"/>
        <v>137.42124600000014</v>
      </c>
      <c r="Q19" s="680">
        <f t="shared" si="8"/>
        <v>136.55364000000003</v>
      </c>
      <c r="R19" s="9"/>
      <c r="S19" s="9"/>
      <c r="T19" s="9"/>
      <c r="U19" s="9"/>
      <c r="V19" s="9"/>
    </row>
    <row r="20" spans="1:22">
      <c r="A20" s="678" t="s">
        <v>1333</v>
      </c>
      <c r="B20" s="679" t="s">
        <v>930</v>
      </c>
      <c r="C20" s="680">
        <f t="shared" si="9"/>
        <v>0</v>
      </c>
      <c r="D20" s="680">
        <f t="shared" si="9"/>
        <v>0</v>
      </c>
      <c r="E20" s="680">
        <f t="shared" si="9"/>
        <v>0</v>
      </c>
      <c r="F20" s="680">
        <f t="shared" si="8"/>
        <v>108140.75048000002</v>
      </c>
      <c r="G20" s="680">
        <f t="shared" si="8"/>
        <v>112807.09167999998</v>
      </c>
      <c r="H20" s="680">
        <f t="shared" si="8"/>
        <v>121085.34919999998</v>
      </c>
      <c r="I20" s="680">
        <f t="shared" si="8"/>
        <v>133424.61736</v>
      </c>
      <c r="J20" s="680">
        <f t="shared" si="8"/>
        <v>171259.66336000001</v>
      </c>
      <c r="K20" s="680">
        <f t="shared" si="8"/>
        <v>164126.20783999996</v>
      </c>
      <c r="L20" s="680">
        <f t="shared" si="8"/>
        <v>129636.8504</v>
      </c>
      <c r="M20" s="680">
        <f t="shared" si="8"/>
        <v>113437.31744000001</v>
      </c>
      <c r="N20" s="680">
        <f t="shared" si="8"/>
        <v>106292.69679999999</v>
      </c>
      <c r="O20" s="680">
        <f t="shared" si="8"/>
        <v>103074.04919999999</v>
      </c>
      <c r="P20" s="680">
        <f t="shared" si="8"/>
        <v>94500.368640000001</v>
      </c>
      <c r="Q20" s="680">
        <f t="shared" si="8"/>
        <v>105801.95959999999</v>
      </c>
      <c r="R20" s="9"/>
      <c r="S20" s="9"/>
      <c r="T20" s="9"/>
      <c r="U20" s="9"/>
      <c r="V20" s="9"/>
    </row>
    <row r="21" spans="1:22">
      <c r="A21" s="678" t="s">
        <v>1334</v>
      </c>
      <c r="B21" s="679" t="s">
        <v>931</v>
      </c>
      <c r="C21" s="680">
        <f t="shared" si="9"/>
        <v>0</v>
      </c>
      <c r="D21" s="680">
        <f t="shared" si="9"/>
        <v>0</v>
      </c>
      <c r="E21" s="680">
        <f t="shared" si="9"/>
        <v>0</v>
      </c>
      <c r="F21" s="680">
        <f t="shared" si="8"/>
        <v>0</v>
      </c>
      <c r="G21" s="680">
        <f t="shared" si="8"/>
        <v>0</v>
      </c>
      <c r="H21" s="680">
        <f t="shared" si="8"/>
        <v>0</v>
      </c>
      <c r="I21" s="680">
        <f t="shared" si="8"/>
        <v>0</v>
      </c>
      <c r="J21" s="680">
        <f t="shared" si="8"/>
        <v>0</v>
      </c>
      <c r="K21" s="680">
        <f t="shared" si="8"/>
        <v>0</v>
      </c>
      <c r="L21" s="680">
        <f t="shared" si="8"/>
        <v>0</v>
      </c>
      <c r="M21" s="680">
        <f t="shared" si="8"/>
        <v>0</v>
      </c>
      <c r="N21" s="680">
        <f t="shared" si="8"/>
        <v>0</v>
      </c>
      <c r="O21" s="680">
        <f t="shared" si="8"/>
        <v>0</v>
      </c>
      <c r="P21" s="680">
        <f>DSUM(MercadoBase,$B21,P$14:P$15)</f>
        <v>0</v>
      </c>
      <c r="Q21" s="680">
        <f t="shared" si="8"/>
        <v>0</v>
      </c>
      <c r="R21" s="9"/>
      <c r="S21" s="9"/>
      <c r="T21" s="9"/>
      <c r="U21" s="9"/>
      <c r="V21" s="9"/>
    </row>
    <row r="22" spans="1:22">
      <c r="A22" s="1329" t="s">
        <v>1335</v>
      </c>
      <c r="B22" s="1330" t="s">
        <v>1194</v>
      </c>
      <c r="C22" s="1331">
        <f>VLOOKUP($Q$15,Índices!$B:$F,2,FALSE)/VLOOKUP(EDATE(C15,-1),Índices!$B:$F,2,FALSE)</f>
        <v>1.1082167683385875</v>
      </c>
      <c r="D22" s="1331">
        <f>VLOOKUP($Q$15,Índices!$B:$F,2,FALSE)/VLOOKUP(EDATE(D15,-1),Índices!$B:$F,2,FALSE)</f>
        <v>1.1015781797155986</v>
      </c>
      <c r="E22" s="1331">
        <f>VLOOKUP($Q$15,Índices!$B:$F,2,FALSE)/VLOOKUP(EDATE(E15,-1),Índices!$B:$F,2,FALSE)</f>
        <v>1.0930813258985603</v>
      </c>
      <c r="F22" s="1331">
        <f>VLOOKUP($Q$15,Índices!$B:$F,2,FALSE)/VLOOKUP(EDATE(F15,-1),Índices!$B:$F,2,FALSE)</f>
        <v>1.0858745154816776</v>
      </c>
      <c r="G22" s="1331">
        <f>VLOOKUP($Q$15,Índices!$B:$F,2,FALSE)/VLOOKUP(EDATE(G15,-1),Índices!$B:$F,2,FALSE)</f>
        <v>1.0928625709205468</v>
      </c>
      <c r="H22" s="1331">
        <f>VLOOKUP($Q$15,Índices!$B:$F,2,FALSE)/VLOOKUP(EDATE(H15,-1),Índices!$B:$F,2,FALSE)</f>
        <v>1.0858814807891262</v>
      </c>
      <c r="I22" s="1331">
        <f>VLOOKUP($Q$15,Índices!$B:$F,2,FALSE)/VLOOKUP(EDATE(I15,-1),Índices!$B:$F,2,FALSE)</f>
        <v>1.0856825071943401</v>
      </c>
      <c r="J22" s="1331">
        <f>VLOOKUP($Q$15,Índices!$B:$F,2,FALSE)/VLOOKUP(EDATE(J15,-1),Índices!$B:$F,2,FALSE)</f>
        <v>1.0763096418852884</v>
      </c>
      <c r="K22" s="1331">
        <f>VLOOKUP($Q$15,Índices!$B:$F,2,FALSE)/VLOOKUP(EDATE(K15,-1),Índices!$B:$F,2,FALSE)</f>
        <v>1.0570963934847399</v>
      </c>
      <c r="L22" s="1331">
        <f>VLOOKUP($Q$15,Índices!$B:$F,2,FALSE)/VLOOKUP(EDATE(L15,-1),Índices!$B:$F,2,FALSE)</f>
        <v>1.0380694251480009</v>
      </c>
      <c r="M22" s="1331">
        <f>VLOOKUP($Q$15,Índices!$B:$F,2,FALSE)/VLOOKUP(EDATE(M15,-1),Índices!$B:$F,2,FALSE)</f>
        <v>1.0203079339221537</v>
      </c>
      <c r="N22" s="1331">
        <f>VLOOKUP($Q$15,Índices!$B:$F,2,FALSE)/VLOOKUP(EDATE(N15,-1),Índices!$B:$F,2,FALSE)</f>
        <v>1.0061088003233121</v>
      </c>
      <c r="O22" s="1331">
        <f>VLOOKUP($Q$15,Índices!$B:$F,2,FALSE)/VLOOKUP(EDATE(O15,-1),Índices!$B:$F,2,FALSE)</f>
        <v>1.0008877041571751</v>
      </c>
      <c r="P22" s="1331">
        <f>VLOOKUP($Q$15,Índices!$B:$F,2,FALSE)/VLOOKUP(EDATE(P15,-1),Índices!$B:$F,2,FALSE)</f>
        <v>0.99506416252827723</v>
      </c>
      <c r="Q22" s="1331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2" t="s">
        <v>1336</v>
      </c>
      <c r="B23" s="1333"/>
      <c r="C23" s="1334">
        <f t="shared" ref="C23:Q23" si="10">SUM(C16:C21)*C22</f>
        <v>0</v>
      </c>
      <c r="D23" s="1334">
        <f t="shared" si="10"/>
        <v>0</v>
      </c>
      <c r="E23" s="1334">
        <f t="shared" si="10"/>
        <v>0</v>
      </c>
      <c r="F23" s="1335">
        <f>SUM(F16:F21)*F22</f>
        <v>117790.2026673658</v>
      </c>
      <c r="G23" s="1335">
        <f t="shared" si="10"/>
        <v>123630.66935983665</v>
      </c>
      <c r="H23" s="1335">
        <f t="shared" si="10"/>
        <v>131788.35544384684</v>
      </c>
      <c r="I23" s="1335">
        <f t="shared" si="10"/>
        <v>145138.94695289599</v>
      </c>
      <c r="J23" s="1335">
        <f t="shared" si="10"/>
        <v>184584.73822713725</v>
      </c>
      <c r="K23" s="1335">
        <f t="shared" si="10"/>
        <v>173669.44592167038</v>
      </c>
      <c r="L23" s="1335">
        <f t="shared" si="10"/>
        <v>134699.66687349926</v>
      </c>
      <c r="M23" s="1335">
        <f t="shared" si="10"/>
        <v>115876.20352719634</v>
      </c>
      <c r="N23" s="1335">
        <f t="shared" si="10"/>
        <v>107107.79390174974</v>
      </c>
      <c r="O23" s="1335">
        <f t="shared" si="10"/>
        <v>103314.07854380214</v>
      </c>
      <c r="P23" s="1335">
        <f t="shared" si="10"/>
        <v>94170.673136439655</v>
      </c>
      <c r="Q23" s="1335">
        <f t="shared" si="10"/>
        <v>105198.75101790436</v>
      </c>
      <c r="R23" s="9"/>
      <c r="S23" s="9"/>
      <c r="T23" s="9"/>
      <c r="U23" s="9"/>
      <c r="V23" s="9"/>
    </row>
    <row r="24" spans="1:22">
      <c r="A24" s="9"/>
      <c r="B24" s="9"/>
      <c r="C24" s="9" t="s">
        <v>1337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5" t="s">
        <v>1338</v>
      </c>
      <c r="B25" s="663"/>
      <c r="C25" s="663"/>
      <c r="D25" s="663"/>
      <c r="E25" s="663"/>
      <c r="F25" s="663"/>
      <c r="G25" s="663"/>
      <c r="H25" s="663"/>
      <c r="I25" s="663"/>
      <c r="J25" s="663"/>
      <c r="K25" s="663"/>
      <c r="L25" s="663"/>
      <c r="M25" s="663"/>
      <c r="N25" s="663"/>
      <c r="O25" s="353"/>
      <c r="P25" s="353"/>
      <c r="Q25" s="353"/>
      <c r="R25" s="9"/>
      <c r="S25" s="9"/>
      <c r="T25" s="9"/>
      <c r="U25" s="9"/>
      <c r="V25" s="9"/>
    </row>
    <row r="26" spans="1:22">
      <c r="A26" s="1838" t="s">
        <v>22</v>
      </c>
      <c r="B26" s="1839" t="s">
        <v>1328</v>
      </c>
      <c r="C26" s="675" t="s">
        <v>874</v>
      </c>
      <c r="D26" s="675" t="s">
        <v>874</v>
      </c>
      <c r="E26" s="675" t="s">
        <v>874</v>
      </c>
      <c r="F26" s="675" t="s">
        <v>874</v>
      </c>
      <c r="G26" s="675" t="s">
        <v>874</v>
      </c>
      <c r="H26" s="675" t="s">
        <v>874</v>
      </c>
      <c r="I26" s="675" t="s">
        <v>874</v>
      </c>
      <c r="J26" s="675" t="s">
        <v>874</v>
      </c>
      <c r="K26" s="675" t="s">
        <v>874</v>
      </c>
      <c r="L26" s="675" t="s">
        <v>874</v>
      </c>
      <c r="M26" s="675" t="s">
        <v>874</v>
      </c>
      <c r="N26" s="675" t="s">
        <v>874</v>
      </c>
      <c r="O26" s="675" t="s">
        <v>874</v>
      </c>
      <c r="P26" s="675" t="s">
        <v>874</v>
      </c>
      <c r="Q26" s="675" t="s">
        <v>874</v>
      </c>
      <c r="R26" s="9"/>
      <c r="S26" s="9"/>
      <c r="T26" s="9"/>
      <c r="U26" s="9"/>
      <c r="V26" s="9"/>
    </row>
    <row r="27" spans="1:22">
      <c r="A27" s="1838"/>
      <c r="B27" s="1839"/>
      <c r="C27" s="676">
        <f t="shared" ref="C27:Q27" si="11">C15</f>
        <v>44348</v>
      </c>
      <c r="D27" s="676">
        <f t="shared" si="11"/>
        <v>44378</v>
      </c>
      <c r="E27" s="676">
        <f t="shared" si="11"/>
        <v>44409</v>
      </c>
      <c r="F27" s="677">
        <f>F15</f>
        <v>44440</v>
      </c>
      <c r="G27" s="677">
        <f t="shared" si="11"/>
        <v>44470</v>
      </c>
      <c r="H27" s="677">
        <f t="shared" si="11"/>
        <v>44501</v>
      </c>
      <c r="I27" s="677">
        <f t="shared" si="11"/>
        <v>44531</v>
      </c>
      <c r="J27" s="677">
        <f t="shared" si="11"/>
        <v>44562</v>
      </c>
      <c r="K27" s="677">
        <f t="shared" si="11"/>
        <v>44593</v>
      </c>
      <c r="L27" s="677">
        <f t="shared" si="11"/>
        <v>44621</v>
      </c>
      <c r="M27" s="677">
        <f t="shared" si="11"/>
        <v>44652</v>
      </c>
      <c r="N27" s="677">
        <f t="shared" si="11"/>
        <v>44682</v>
      </c>
      <c r="O27" s="677">
        <f t="shared" si="11"/>
        <v>44713</v>
      </c>
      <c r="P27" s="677">
        <f t="shared" si="11"/>
        <v>44743</v>
      </c>
      <c r="Q27" s="677">
        <f t="shared" si="11"/>
        <v>44774</v>
      </c>
      <c r="S27" s="9"/>
      <c r="T27" s="9"/>
      <c r="U27" s="9"/>
      <c r="V27" s="9"/>
    </row>
    <row r="28" spans="1:22">
      <c r="A28" s="678" t="s">
        <v>1329</v>
      </c>
      <c r="B28" s="679" t="s">
        <v>697</v>
      </c>
      <c r="C28" s="680">
        <f>IF(C40=0,0,VLOOKUP($B28,BD!$B$61:$C$66,2,FALSE))</f>
        <v>0</v>
      </c>
      <c r="D28" s="680">
        <f>IF(D40=0,0,VLOOKUP($B28,BD!$B$61:$C$66,2,FALSE))</f>
        <v>0</v>
      </c>
      <c r="E28" s="680">
        <f>IF(E40=0,0,VLOOKUP($B28,BD!$B$61:$C$66,2,FALSE))</f>
        <v>0</v>
      </c>
      <c r="F28" s="680">
        <f>VLOOKUP($B28,BD!$B$61:$C$66,2,FALSE)</f>
        <v>0</v>
      </c>
      <c r="G28" s="680">
        <f>VLOOKUP($B28,BD!$B$61:$C$66,2,FALSE)</f>
        <v>0</v>
      </c>
      <c r="H28" s="680">
        <f>VLOOKUP($B28,BD!$B$61:$C$66,2,FALSE)</f>
        <v>0</v>
      </c>
      <c r="I28" s="680">
        <f>VLOOKUP($B28,BD!$B$61:$C$66,2,FALSE)</f>
        <v>0</v>
      </c>
      <c r="J28" s="680">
        <f>VLOOKUP($B28,BD!$B$61:$C$66,2,FALSE)</f>
        <v>0</v>
      </c>
      <c r="K28" s="680">
        <f>VLOOKUP($B28,BD!$B$61:$C$66,2,FALSE)</f>
        <v>0</v>
      </c>
      <c r="L28" s="680">
        <f>VLOOKUP($B28,BD!$B$61:$C$66,2,FALSE)</f>
        <v>0</v>
      </c>
      <c r="M28" s="680">
        <f>VLOOKUP($B28,BD!$B$61:$C$66,2,FALSE)</f>
        <v>0</v>
      </c>
      <c r="N28" s="680">
        <f>VLOOKUP($B28,BD!$B$61:$C$66,2,FALSE)</f>
        <v>0</v>
      </c>
      <c r="O28" s="680">
        <f>VLOOKUP($B28,BD!$B$61:$C$66,2,FALSE)</f>
        <v>0</v>
      </c>
      <c r="P28" s="680">
        <f>VLOOKUP($B28,BD!$B$61:$C$66,2,FALSE)</f>
        <v>0</v>
      </c>
      <c r="Q28" s="680">
        <f>VLOOKUP($B28,BD!$B$61:$C$66,2,FALSE)</f>
        <v>0</v>
      </c>
      <c r="S28" s="9"/>
      <c r="T28" s="9"/>
      <c r="U28" s="9"/>
      <c r="V28" s="9"/>
    </row>
    <row r="29" spans="1:22">
      <c r="A29" s="678" t="s">
        <v>1330</v>
      </c>
      <c r="B29" s="679" t="s">
        <v>699</v>
      </c>
      <c r="C29" s="680">
        <f>IF(C41=0,0,VLOOKUP($B29,BD!$B$61:$C$66,2,FALSE))</f>
        <v>0</v>
      </c>
      <c r="D29" s="680">
        <f>IF(D41=0,0,VLOOKUP($B29,BD!$B$61:$C$66,2,FALSE))</f>
        <v>0</v>
      </c>
      <c r="E29" s="680">
        <f>IF(E41=0,0,VLOOKUP($B29,BD!$B$61:$C$66,2,FALSE))</f>
        <v>0</v>
      </c>
      <c r="F29" s="680">
        <f>VLOOKUP($B29,BD!$B$61:$C$66,2,FALSE)</f>
        <v>0</v>
      </c>
      <c r="G29" s="680">
        <f>VLOOKUP($B29,BD!$B$61:$C$66,2,FALSE)</f>
        <v>0</v>
      </c>
      <c r="H29" s="680">
        <f>VLOOKUP($B29,BD!$B$61:$C$66,2,FALSE)</f>
        <v>0</v>
      </c>
      <c r="I29" s="680">
        <f>VLOOKUP($B29,BD!$B$61:$C$66,2,FALSE)</f>
        <v>0</v>
      </c>
      <c r="J29" s="680">
        <f>VLOOKUP($B29,BD!$B$61:$C$66,2,FALSE)</f>
        <v>0</v>
      </c>
      <c r="K29" s="680">
        <f>VLOOKUP($B29,BD!$B$61:$C$66,2,FALSE)</f>
        <v>0</v>
      </c>
      <c r="L29" s="680">
        <f>VLOOKUP($B29,BD!$B$61:$C$66,2,FALSE)</f>
        <v>0</v>
      </c>
      <c r="M29" s="680">
        <f>VLOOKUP($B29,BD!$B$61:$C$66,2,FALSE)</f>
        <v>0</v>
      </c>
      <c r="N29" s="680">
        <f>VLOOKUP($B29,BD!$B$61:$C$66,2,FALSE)</f>
        <v>0</v>
      </c>
      <c r="O29" s="680">
        <f>VLOOKUP($B29,BD!$B$61:$C$66,2,FALSE)</f>
        <v>0</v>
      </c>
      <c r="P29" s="680">
        <f>VLOOKUP($B29,BD!$B$61:$C$66,2,FALSE)</f>
        <v>0</v>
      </c>
      <c r="Q29" s="680">
        <f>VLOOKUP($B29,BD!$B$61:$C$66,2,FALSE)</f>
        <v>0</v>
      </c>
      <c r="S29" s="9"/>
      <c r="T29" s="9"/>
      <c r="U29" s="9"/>
      <c r="V29" s="9"/>
    </row>
    <row r="30" spans="1:22">
      <c r="A30" s="678" t="s">
        <v>1331</v>
      </c>
      <c r="B30" s="679" t="s">
        <v>701</v>
      </c>
      <c r="C30" s="680">
        <f>IF(C42=0,0,VLOOKUP($B30,BD!$B$61:$C$66,2,FALSE))</f>
        <v>0</v>
      </c>
      <c r="D30" s="680">
        <f>IF(D42=0,0,VLOOKUP($B30,BD!$B$61:$C$66,2,FALSE))</f>
        <v>0</v>
      </c>
      <c r="E30" s="680">
        <f>IF(E42=0,0,VLOOKUP($B30,BD!$B$61:$C$66,2,FALSE))</f>
        <v>0</v>
      </c>
      <c r="F30" s="680">
        <f>VLOOKUP($B30,BD!$B$61:$C$66,2,FALSE)</f>
        <v>0</v>
      </c>
      <c r="G30" s="680">
        <f>VLOOKUP($B30,BD!$B$61:$C$66,2,FALSE)</f>
        <v>0</v>
      </c>
      <c r="H30" s="680">
        <f>VLOOKUP($B30,BD!$B$61:$C$66,2,FALSE)</f>
        <v>0</v>
      </c>
      <c r="I30" s="680">
        <f>VLOOKUP($B30,BD!$B$61:$C$66,2,FALSE)</f>
        <v>0</v>
      </c>
      <c r="J30" s="680">
        <f>VLOOKUP($B30,BD!$B$61:$C$66,2,FALSE)</f>
        <v>0</v>
      </c>
      <c r="K30" s="680">
        <f>VLOOKUP($B30,BD!$B$61:$C$66,2,FALSE)</f>
        <v>0</v>
      </c>
      <c r="L30" s="680">
        <f>VLOOKUP($B30,BD!$B$61:$C$66,2,FALSE)</f>
        <v>0</v>
      </c>
      <c r="M30" s="680">
        <f>VLOOKUP($B30,BD!$B$61:$C$66,2,FALSE)</f>
        <v>0</v>
      </c>
      <c r="N30" s="680">
        <f>VLOOKUP($B30,BD!$B$61:$C$66,2,FALSE)</f>
        <v>0</v>
      </c>
      <c r="O30" s="680">
        <f>VLOOKUP($B30,BD!$B$61:$C$66,2,FALSE)</f>
        <v>0</v>
      </c>
      <c r="P30" s="680">
        <f>VLOOKUP($B30,BD!$B$61:$C$66,2,FALSE)</f>
        <v>0</v>
      </c>
      <c r="Q30" s="680">
        <f>VLOOKUP($B30,BD!$B$61:$C$66,2,FALSE)</f>
        <v>0</v>
      </c>
      <c r="S30" s="9"/>
      <c r="T30" s="9"/>
      <c r="U30" s="9"/>
      <c r="V30" s="9"/>
    </row>
    <row r="31" spans="1:22">
      <c r="A31" s="678" t="s">
        <v>1332</v>
      </c>
      <c r="B31" s="679" t="s">
        <v>702</v>
      </c>
      <c r="C31" s="680">
        <f>IF(C43=0,0,VLOOKUP($B31,BD!$B$61:$C$66,2,FALSE))</f>
        <v>0</v>
      </c>
      <c r="D31" s="680">
        <f>IF(D43=0,0,VLOOKUP($B31,BD!$B$61:$C$66,2,FALSE))</f>
        <v>0</v>
      </c>
      <c r="E31" s="680">
        <f>IF(E43=0,0,VLOOKUP($B31,BD!$B$61:$C$66,2,FALSE))</f>
        <v>0</v>
      </c>
      <c r="F31" s="680">
        <f>VLOOKUP($B31,BD!$B$61:$C$66,2,FALSE)</f>
        <v>161.91</v>
      </c>
      <c r="G31" s="680">
        <f>VLOOKUP($B31,BD!$B$61:$C$66,2,FALSE)</f>
        <v>161.91</v>
      </c>
      <c r="H31" s="680">
        <f>VLOOKUP($B31,BD!$B$61:$C$66,2,FALSE)</f>
        <v>161.91</v>
      </c>
      <c r="I31" s="680">
        <f>VLOOKUP($B31,BD!$B$61:$C$66,2,FALSE)</f>
        <v>161.91</v>
      </c>
      <c r="J31" s="680">
        <f>VLOOKUP($B31,BD!$B$61:$C$66,2,FALSE)</f>
        <v>161.91</v>
      </c>
      <c r="K31" s="680">
        <f>VLOOKUP($B31,BD!$B$61:$C$66,2,FALSE)</f>
        <v>161.91</v>
      </c>
      <c r="L31" s="680">
        <f>VLOOKUP($B31,BD!$B$61:$C$66,2,FALSE)</f>
        <v>161.91</v>
      </c>
      <c r="M31" s="680">
        <f>VLOOKUP($B31,BD!$B$61:$C$66,2,FALSE)</f>
        <v>161.91</v>
      </c>
      <c r="N31" s="680">
        <f>VLOOKUP($B31,BD!$B$61:$C$66,2,FALSE)</f>
        <v>161.91</v>
      </c>
      <c r="O31" s="680">
        <f>VLOOKUP($B31,BD!$B$61:$C$66,2,FALSE)</f>
        <v>161.91</v>
      </c>
      <c r="P31" s="680">
        <f>VLOOKUP($B31,BD!$B$61:$C$66,2,FALSE)</f>
        <v>161.91</v>
      </c>
      <c r="Q31" s="680">
        <f>VLOOKUP($B31,BD!$B$61:$C$66,2,FALSE)</f>
        <v>161.91</v>
      </c>
      <c r="S31" s="9"/>
      <c r="T31" s="9"/>
      <c r="U31" s="9"/>
      <c r="V31" s="9"/>
    </row>
    <row r="32" spans="1:22">
      <c r="A32" s="678" t="s">
        <v>1333</v>
      </c>
      <c r="B32" s="679" t="s">
        <v>705</v>
      </c>
      <c r="C32" s="680">
        <f>IF(C44=0,0,VLOOKUP($B32,BD!$B$61:$C$66,2,FALSE))</f>
        <v>0</v>
      </c>
      <c r="D32" s="680">
        <f>IF(D44=0,0,VLOOKUP($B32,BD!$B$61:$C$66,2,FALSE))</f>
        <v>0</v>
      </c>
      <c r="E32" s="680">
        <f>IF(E44=0,0,VLOOKUP($B32,BD!$B$61:$C$66,2,FALSE))</f>
        <v>0</v>
      </c>
      <c r="F32" s="680">
        <f>VLOOKUP($B32,BD!$B$61:$C$66,2,FALSE)</f>
        <v>124892.83</v>
      </c>
      <c r="G32" s="680">
        <f>VLOOKUP($B32,BD!$B$61:$C$66,2,FALSE)</f>
        <v>124892.83</v>
      </c>
      <c r="H32" s="680">
        <f>VLOOKUP($B32,BD!$B$61:$C$66,2,FALSE)</f>
        <v>124892.83</v>
      </c>
      <c r="I32" s="680">
        <f>VLOOKUP($B32,BD!$B$61:$C$66,2,FALSE)</f>
        <v>124892.83</v>
      </c>
      <c r="J32" s="680">
        <f>VLOOKUP($B32,BD!$B$61:$C$66,2,FALSE)</f>
        <v>124892.83</v>
      </c>
      <c r="K32" s="680">
        <f>VLOOKUP($B32,BD!$B$61:$C$66,2,FALSE)</f>
        <v>124892.83</v>
      </c>
      <c r="L32" s="680">
        <f>VLOOKUP($B32,BD!$B$61:$C$66,2,FALSE)</f>
        <v>124892.83</v>
      </c>
      <c r="M32" s="680">
        <f>VLOOKUP($B32,BD!$B$61:$C$66,2,FALSE)</f>
        <v>124892.83</v>
      </c>
      <c r="N32" s="680">
        <f>VLOOKUP($B32,BD!$B$61:$C$66,2,FALSE)</f>
        <v>124892.83</v>
      </c>
      <c r="O32" s="680">
        <f>VLOOKUP($B32,BD!$B$61:$C$66,2,FALSE)</f>
        <v>124892.83</v>
      </c>
      <c r="P32" s="680">
        <f>VLOOKUP($B32,BD!$B$61:$C$66,2,FALSE)</f>
        <v>124892.83</v>
      </c>
      <c r="Q32" s="680">
        <f>VLOOKUP($B32,BD!$B$61:$C$66,2,FALSE)</f>
        <v>124892.83</v>
      </c>
      <c r="S32" s="9"/>
      <c r="T32" s="9"/>
      <c r="U32" s="9"/>
      <c r="V32" s="9"/>
    </row>
    <row r="33" spans="1:22">
      <c r="A33" s="681" t="s">
        <v>1334</v>
      </c>
      <c r="B33" s="679" t="s">
        <v>707</v>
      </c>
      <c r="C33" s="680">
        <f>IF(C45=0,0,VLOOKUP($B33,BD!$B$61:$C$66,2,FALSE))</f>
        <v>0</v>
      </c>
      <c r="D33" s="680">
        <f>IF(D45=0,0,VLOOKUP($B33,BD!$B$61:$C$66,2,FALSE))</f>
        <v>0</v>
      </c>
      <c r="E33" s="680">
        <f>IF(E45=0,0,VLOOKUP($B33,BD!$B$61:$C$66,2,FALSE))</f>
        <v>0</v>
      </c>
      <c r="F33" s="680">
        <f>VLOOKUP($B33,BD!$B$61:$C$66,2,FALSE)</f>
        <v>0</v>
      </c>
      <c r="G33" s="680">
        <f>VLOOKUP($B33,BD!$B$61:$C$66,2,FALSE)</f>
        <v>0</v>
      </c>
      <c r="H33" s="680">
        <f>VLOOKUP($B33,BD!$B$61:$C$66,2,FALSE)</f>
        <v>0</v>
      </c>
      <c r="I33" s="680">
        <f>VLOOKUP($B33,BD!$B$61:$C$66,2,FALSE)</f>
        <v>0</v>
      </c>
      <c r="J33" s="680">
        <f>VLOOKUP($B33,BD!$B$61:$C$66,2,FALSE)</f>
        <v>0</v>
      </c>
      <c r="K33" s="680">
        <f>VLOOKUP($B33,BD!$B$61:$C$66,2,FALSE)</f>
        <v>0</v>
      </c>
      <c r="L33" s="680">
        <f>VLOOKUP($B33,BD!$B$61:$C$66,2,FALSE)</f>
        <v>0</v>
      </c>
      <c r="M33" s="680">
        <f>VLOOKUP($B33,BD!$B$61:$C$66,2,FALSE)</f>
        <v>0</v>
      </c>
      <c r="N33" s="680">
        <f>VLOOKUP($B33,BD!$B$61:$C$66,2,FALSE)</f>
        <v>0</v>
      </c>
      <c r="O33" s="680">
        <f>VLOOKUP($B33,BD!$B$61:$C$66,2,FALSE)</f>
        <v>0</v>
      </c>
      <c r="P33" s="680">
        <f>VLOOKUP($B33,BD!$B$61:$C$66,2,FALSE)</f>
        <v>0</v>
      </c>
      <c r="Q33" s="680">
        <f>VLOOKUP($B33,BD!$B$61:$C$66,2,FALSE)</f>
        <v>0</v>
      </c>
      <c r="S33" s="9"/>
      <c r="T33" s="9"/>
      <c r="U33" s="9"/>
      <c r="V33" s="9"/>
    </row>
    <row r="34" spans="1:22">
      <c r="A34" s="1329" t="s">
        <v>1335</v>
      </c>
      <c r="B34" s="1330" t="s">
        <v>1194</v>
      </c>
      <c r="C34" s="1336">
        <f t="shared" ref="C34:Q34" si="12">C22</f>
        <v>1.1082167683385875</v>
      </c>
      <c r="D34" s="1336">
        <f t="shared" si="12"/>
        <v>1.1015781797155986</v>
      </c>
      <c r="E34" s="1336">
        <f t="shared" si="12"/>
        <v>1.0930813258985603</v>
      </c>
      <c r="F34" s="1331">
        <f t="shared" si="12"/>
        <v>1.0858745154816776</v>
      </c>
      <c r="G34" s="1331">
        <f t="shared" si="12"/>
        <v>1.0928625709205468</v>
      </c>
      <c r="H34" s="1331">
        <f t="shared" si="12"/>
        <v>1.0858814807891262</v>
      </c>
      <c r="I34" s="1331">
        <f t="shared" si="12"/>
        <v>1.0856825071943401</v>
      </c>
      <c r="J34" s="1331">
        <f t="shared" si="12"/>
        <v>1.0763096418852884</v>
      </c>
      <c r="K34" s="1331">
        <f t="shared" si="12"/>
        <v>1.0570963934847399</v>
      </c>
      <c r="L34" s="1331">
        <f t="shared" si="12"/>
        <v>1.0380694251480009</v>
      </c>
      <c r="M34" s="1331">
        <f t="shared" si="12"/>
        <v>1.0203079339221537</v>
      </c>
      <c r="N34" s="1331">
        <f t="shared" si="12"/>
        <v>1.0061088003233121</v>
      </c>
      <c r="O34" s="1331">
        <f t="shared" si="12"/>
        <v>1.0008877041571751</v>
      </c>
      <c r="P34" s="1331">
        <f t="shared" si="12"/>
        <v>0.99506416252827723</v>
      </c>
      <c r="Q34" s="1331">
        <f t="shared" si="12"/>
        <v>0.99301706056210437</v>
      </c>
      <c r="S34" s="9"/>
      <c r="T34" s="9"/>
      <c r="U34" s="9"/>
      <c r="V34" s="9"/>
    </row>
    <row r="35" spans="1:22">
      <c r="A35" s="1332" t="s">
        <v>1336</v>
      </c>
      <c r="B35" s="1333"/>
      <c r="C35" s="1334">
        <f>SUM(C28:C33)*C34</f>
        <v>0</v>
      </c>
      <c r="D35" s="1334">
        <f t="shared" ref="D35:Q35" si="13">SUM(D28:D33)*D34</f>
        <v>0</v>
      </c>
      <c r="E35" s="1334">
        <f t="shared" si="13"/>
        <v>0</v>
      </c>
      <c r="F35" s="1335">
        <f t="shared" si="13"/>
        <v>135793.75520618717</v>
      </c>
      <c r="G35" s="1335">
        <f t="shared" si="13"/>
        <v>136667.64466220056</v>
      </c>
      <c r="H35" s="1335">
        <f t="shared" si="13"/>
        <v>135794.62625089916</v>
      </c>
      <c r="I35" s="1335">
        <f t="shared" si="13"/>
        <v>135769.74365973633</v>
      </c>
      <c r="J35" s="1335">
        <f t="shared" si="13"/>
        <v>134597.62242545787</v>
      </c>
      <c r="K35" s="1335">
        <f t="shared" si="13"/>
        <v>132194.91464217185</v>
      </c>
      <c r="L35" s="1335">
        <f t="shared" si="13"/>
        <v>129815.50206383273</v>
      </c>
      <c r="M35" s="1335">
        <f t="shared" si="13"/>
        <v>127594.34339657212</v>
      </c>
      <c r="N35" s="1335">
        <f t="shared" si="13"/>
        <v>125818.67443614372</v>
      </c>
      <c r="O35" s="1335">
        <f t="shared" si="13"/>
        <v>125165.75161257245</v>
      </c>
      <c r="P35" s="1335">
        <f t="shared" si="13"/>
        <v>124437.49012829145</v>
      </c>
      <c r="Q35" s="1335">
        <f t="shared" si="13"/>
        <v>124181.49032415822</v>
      </c>
      <c r="R35" s="9"/>
      <c r="S35" s="9"/>
      <c r="T35" s="9"/>
      <c r="U35" s="9"/>
      <c r="V35" s="9"/>
    </row>
    <row r="36" spans="1:22">
      <c r="A36" s="1337"/>
      <c r="B36" s="1319"/>
      <c r="C36" s="1337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5" t="s">
        <v>1339</v>
      </c>
      <c r="B37" s="679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8" t="s">
        <v>22</v>
      </c>
      <c r="B38" s="1839" t="s">
        <v>1328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8"/>
      <c r="B39" s="1840"/>
      <c r="C39" s="1338">
        <f>C27</f>
        <v>44348</v>
      </c>
      <c r="D39" s="1338">
        <f t="shared" ref="D39:E39" si="14">D27</f>
        <v>44378</v>
      </c>
      <c r="E39" s="1338">
        <f t="shared" si="14"/>
        <v>44409</v>
      </c>
      <c r="G39" s="835"/>
      <c r="H39" s="835"/>
      <c r="I39" s="835"/>
      <c r="J39" s="835"/>
      <c r="K39" s="835"/>
      <c r="L39" s="838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8" t="s">
        <v>1329</v>
      </c>
      <c r="B40" s="682"/>
      <c r="C40" s="683"/>
      <c r="D40" s="684"/>
      <c r="E40" s="684"/>
      <c r="F40" s="65"/>
      <c r="G40" s="839"/>
      <c r="H40" s="680"/>
      <c r="I40" s="680"/>
      <c r="J40" s="680"/>
      <c r="K40" s="680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8" t="s">
        <v>1330</v>
      </c>
      <c r="B41" s="682"/>
      <c r="C41" s="683"/>
      <c r="D41" s="684"/>
      <c r="E41" s="684"/>
      <c r="F41" s="65"/>
      <c r="G41" s="839"/>
      <c r="H41" s="680"/>
      <c r="I41" s="680"/>
      <c r="J41" s="680"/>
      <c r="K41" s="680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8" t="s">
        <v>1331</v>
      </c>
      <c r="B42" s="682"/>
      <c r="C42" s="683"/>
      <c r="D42" s="684"/>
      <c r="E42" s="684"/>
      <c r="F42" s="65"/>
      <c r="G42" s="839"/>
      <c r="H42" s="680"/>
      <c r="I42" s="680"/>
      <c r="J42" s="680"/>
      <c r="K42" s="680"/>
      <c r="L42" s="840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8" t="s">
        <v>1332</v>
      </c>
      <c r="B43" s="682"/>
      <c r="C43" s="683"/>
      <c r="D43" s="684"/>
      <c r="E43" s="684"/>
      <c r="F43" s="65"/>
      <c r="G43" s="839"/>
      <c r="H43" s="680"/>
      <c r="I43" s="680"/>
      <c r="J43" s="680"/>
      <c r="K43" s="680"/>
      <c r="L43" s="840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8" t="s">
        <v>1333</v>
      </c>
      <c r="B44" s="682"/>
      <c r="C44" s="683"/>
      <c r="D44" s="684"/>
      <c r="E44" s="684"/>
      <c r="F44" s="65"/>
      <c r="G44" s="839"/>
      <c r="H44" s="680"/>
      <c r="I44" s="680"/>
      <c r="J44" s="680"/>
      <c r="K44" s="680"/>
      <c r="L44" s="840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1" t="s">
        <v>1334</v>
      </c>
      <c r="B45" s="682"/>
      <c r="C45" s="685"/>
      <c r="D45" s="837"/>
      <c r="E45" s="837"/>
      <c r="F45" s="65"/>
      <c r="G45" s="839"/>
      <c r="H45" s="680"/>
      <c r="I45" s="680"/>
      <c r="J45" s="680"/>
      <c r="K45" s="680"/>
      <c r="L45" s="840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1"/>
      <c r="L46" s="842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39" t="s">
        <v>8</v>
      </c>
      <c r="B49" s="1340"/>
      <c r="C49" s="1339"/>
      <c r="D49" s="9"/>
    </row>
    <row r="50" spans="1:10">
      <c r="A50" s="1340" t="s">
        <v>2</v>
      </c>
      <c r="B50" s="1340"/>
      <c r="C50" s="1316"/>
    </row>
    <row r="51" spans="1:10">
      <c r="A51" s="1340" t="s">
        <v>3</v>
      </c>
      <c r="B51" s="1340"/>
      <c r="C51" s="1316"/>
      <c r="D51" s="232"/>
    </row>
    <row r="52" spans="1:10">
      <c r="A52" s="1340" t="s">
        <v>4</v>
      </c>
      <c r="B52" s="1340"/>
      <c r="C52" s="1316"/>
      <c r="D52" s="232"/>
    </row>
    <row r="53" spans="1:10">
      <c r="A53" s="1340" t="s">
        <v>5</v>
      </c>
      <c r="B53" s="1340"/>
      <c r="C53" s="1316"/>
      <c r="D53" s="232"/>
    </row>
    <row r="54" spans="1:10">
      <c r="A54" s="1340" t="s">
        <v>6</v>
      </c>
      <c r="B54" s="1340"/>
      <c r="C54" s="1316"/>
      <c r="D54" s="232"/>
      <c r="H54" s="1341"/>
      <c r="I54" s="1342"/>
      <c r="J54" s="1343"/>
    </row>
    <row r="55" spans="1:10">
      <c r="A55" s="1340" t="s">
        <v>7</v>
      </c>
      <c r="B55" s="1340"/>
      <c r="C55" s="1316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4" activePane="bottomLeft" state="frozen"/>
      <selection activeCell="D36" sqref="D36"/>
      <selection pane="bottomLeft" activeCell="G16" sqref="G16:H16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7" width="22.7109375" style="68" bestFit="1" customWidth="1"/>
    <col min="8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29" t="s">
        <v>1340</v>
      </c>
      <c r="C1" s="258"/>
      <c r="D1" s="258"/>
      <c r="E1" s="204"/>
      <c r="F1" s="1344"/>
      <c r="G1" s="1128" t="s">
        <v>873</v>
      </c>
      <c r="H1" s="1129">
        <f ca="1">LnkTXTIRTEco</f>
        <v>0.1018</v>
      </c>
    </row>
    <row r="2" spans="2:26" ht="14.25">
      <c r="B2" s="136" t="str">
        <f>CAPA!C9</f>
        <v>Cerej</v>
      </c>
      <c r="C2" s="1345"/>
      <c r="D2" s="1345"/>
      <c r="E2" s="1345"/>
      <c r="F2" s="1346"/>
      <c r="G2" s="120" t="s">
        <v>877</v>
      </c>
      <c r="H2" s="121">
        <f ca="1">LnkTXTIRTTotal</f>
        <v>-0.31169999999999998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9"/>
      <c r="P4" s="1849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47" t="s">
        <v>1341</v>
      </c>
      <c r="M6" s="1348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1342</v>
      </c>
      <c r="D9" s="289" t="s">
        <v>1343</v>
      </c>
      <c r="L9" s="212" t="s">
        <v>1344</v>
      </c>
      <c r="M9" s="213">
        <v>4</v>
      </c>
      <c r="O9" s="267"/>
      <c r="P9" s="287"/>
      <c r="Z9" s="68"/>
    </row>
    <row r="10" spans="2:26" ht="14.25">
      <c r="L10" s="212" t="s">
        <v>1345</v>
      </c>
      <c r="M10" s="214">
        <f>CAPA!K16</f>
        <v>8.5874515481677571E-2</v>
      </c>
      <c r="O10" s="267"/>
      <c r="P10" s="287"/>
      <c r="Z10" s="68"/>
    </row>
    <row r="11" spans="2:26" ht="14.25">
      <c r="B11" s="1852" t="s">
        <v>1346</v>
      </c>
      <c r="C11" s="1853"/>
      <c r="D11" s="1349" t="s">
        <v>1347</v>
      </c>
      <c r="E11" s="1350" t="s">
        <v>1348</v>
      </c>
      <c r="F11" s="1351" t="s">
        <v>1349</v>
      </c>
      <c r="G11" s="1350" t="s">
        <v>2612</v>
      </c>
      <c r="H11" s="1350" t="s">
        <v>2613</v>
      </c>
      <c r="I11" s="1350"/>
      <c r="J11" s="1350"/>
      <c r="L11" s="212" t="s">
        <v>1350</v>
      </c>
      <c r="M11" s="214">
        <f>CAPA!K17</f>
        <v>8.727291292620043E-2</v>
      </c>
      <c r="O11" s="267"/>
      <c r="P11" s="287"/>
      <c r="Z11" s="68"/>
    </row>
    <row r="12" spans="2:26" ht="14.25">
      <c r="B12" s="1858" t="s">
        <v>1351</v>
      </c>
      <c r="C12" s="1853"/>
      <c r="D12" s="1352" t="s">
        <v>1344</v>
      </c>
      <c r="E12" s="1352" t="s">
        <v>772</v>
      </c>
      <c r="F12" s="1352" t="s">
        <v>772</v>
      </c>
      <c r="G12" s="1352" t="s">
        <v>772</v>
      </c>
      <c r="H12" s="1352" t="s">
        <v>772</v>
      </c>
      <c r="I12" s="1352" t="s">
        <v>772</v>
      </c>
      <c r="J12" s="1352" t="s">
        <v>772</v>
      </c>
      <c r="L12" s="1353" t="s">
        <v>1352</v>
      </c>
      <c r="M12" s="1354">
        <v>41275</v>
      </c>
      <c r="O12" s="267"/>
      <c r="P12" s="287"/>
      <c r="Z12" s="68"/>
    </row>
    <row r="13" spans="2:26" ht="14.25">
      <c r="B13" s="1859" t="s">
        <v>1353</v>
      </c>
      <c r="C13" s="1860"/>
      <c r="D13" s="1355">
        <v>43617</v>
      </c>
      <c r="E13" s="1355">
        <v>43617</v>
      </c>
      <c r="F13" s="1355">
        <v>43617</v>
      </c>
      <c r="G13" s="1355">
        <v>44774</v>
      </c>
      <c r="H13" s="1355">
        <f t="shared" ref="H13:J14" si="0">G13</f>
        <v>44774</v>
      </c>
      <c r="I13" s="1355">
        <f t="shared" si="0"/>
        <v>44774</v>
      </c>
      <c r="J13" s="1355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50" t="s">
        <v>1354</v>
      </c>
      <c r="C14" s="1851"/>
      <c r="D14" s="1355">
        <v>42887</v>
      </c>
      <c r="E14" s="1355">
        <v>43252</v>
      </c>
      <c r="F14" s="1355">
        <v>43252</v>
      </c>
      <c r="G14" s="1355">
        <v>44409</v>
      </c>
      <c r="H14" s="1355">
        <f t="shared" si="0"/>
        <v>44409</v>
      </c>
      <c r="I14" s="1355">
        <f t="shared" si="0"/>
        <v>44409</v>
      </c>
      <c r="J14" s="1355">
        <f t="shared" si="0"/>
        <v>44409</v>
      </c>
      <c r="L14" s="1356"/>
      <c r="M14" s="1357">
        <v>41334</v>
      </c>
      <c r="O14" s="267"/>
      <c r="P14" s="287"/>
      <c r="Z14" s="68"/>
    </row>
    <row r="15" spans="2:26" ht="14.25">
      <c r="B15" s="1850" t="s">
        <v>1355</v>
      </c>
      <c r="C15" s="1851"/>
      <c r="D15" s="1358">
        <f>VLOOKUP(D13,Índices!$B$6:$F$500,VLOOKUP(D12,$L$7:$M$9,2,FALSE)+1,FALSE)/VLOOKUP(D14,Índices!$B$6:$F$500,VLOOKUP(D12,$L$7:$M$9,2,FALSE)+1,FALSE)</f>
        <v>1.1414978440075982</v>
      </c>
      <c r="E15" s="1358">
        <f>VLOOKUP(E13,Índices!$B$6:$F$500,VLOOKUP(E12,$L$7:$M$9,2,FALSE)+1,FALSE)/VLOOKUP(E14,Índices!$B$6:$F$500,VLOOKUP(E12,$L$7:$M$9,2,FALSE)+1,FALSE)</f>
        <v>1.0336626715248016</v>
      </c>
      <c r="F15" s="1358">
        <f>VLOOKUP(F13,Índices!$B$6:$F$500,VLOOKUP(F12,$L$7:$M$9,2,FALSE)+1,FALSE)/VLOOKUP(F14,Índices!$B$6:$F$500,VLOOKUP(F12,$L$7:$M$9,2,FALSE)+1,FALSE)</f>
        <v>1.0336626715248016</v>
      </c>
      <c r="G15" s="1358">
        <f>VLOOKUP(G13,Índices!$B$6:$F$500,VLOOKUP(G12,$L$7:$M$9,2,FALSE)+1,FALSE)/VLOOKUP(G14,Índices!$B$6:$F$500,VLOOKUP(G12,$L$7:$M$9,2,FALSE)+1,FALSE)</f>
        <v>1.0872729129262004</v>
      </c>
      <c r="H15" s="1358">
        <f>VLOOKUP(H13,Índices!$B$6:$F$500,VLOOKUP(H12,$L$7:$M$9,2,FALSE)+1,FALSE)/VLOOKUP(H14,Índices!$B$6:$F$500,VLOOKUP(H12,$L$7:$M$9,2,FALSE)+1,FALSE)</f>
        <v>1.0872729129262004</v>
      </c>
      <c r="I15" s="1358">
        <f>VLOOKUP(I13,Índices!$B$6:$F$500,VLOOKUP(I12,$L$7:$M$9,2,FALSE)+1,FALSE)/VLOOKUP(I14,Índices!$B$6:$F$500,VLOOKUP(I12,$L$7:$M$9,2,FALSE)+1,FALSE)</f>
        <v>1.0872729129262004</v>
      </c>
      <c r="J15" s="1358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50" t="s">
        <v>1356</v>
      </c>
      <c r="C16" s="1851"/>
      <c r="D16" s="1359"/>
      <c r="E16" s="1359"/>
      <c r="F16" s="1359"/>
      <c r="G16" s="1359">
        <v>321335.52</v>
      </c>
      <c r="H16" s="1359">
        <v>311331.71000000002</v>
      </c>
      <c r="I16" s="1359"/>
      <c r="J16" s="1359"/>
      <c r="O16" s="267"/>
      <c r="P16" s="287"/>
      <c r="Z16" s="68"/>
    </row>
    <row r="17" spans="1:26" ht="14.25">
      <c r="B17" s="1856" t="s">
        <v>1357</v>
      </c>
      <c r="C17" s="1857"/>
      <c r="D17" s="1360">
        <f t="shared" ref="D17:E17" si="1">D16*D15</f>
        <v>0</v>
      </c>
      <c r="E17" s="1360">
        <f t="shared" si="1"/>
        <v>0</v>
      </c>
      <c r="F17" s="1360">
        <f>F16*F15</f>
        <v>0</v>
      </c>
      <c r="G17" s="1360">
        <f>G16*G15</f>
        <v>349379.40685705538</v>
      </c>
      <c r="H17" s="1360">
        <f>H16*H15</f>
        <v>338502.53521799512</v>
      </c>
      <c r="I17" s="1360">
        <f>I16*I15</f>
        <v>0</v>
      </c>
      <c r="J17" s="1360">
        <f>J16*J15</f>
        <v>0</v>
      </c>
      <c r="O17" s="267"/>
      <c r="P17" s="92"/>
      <c r="Z17" s="68"/>
    </row>
    <row r="18" spans="1:26" ht="14.25">
      <c r="E18" s="290" t="s">
        <v>1358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1359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1360</v>
      </c>
      <c r="E20" s="291" t="s">
        <v>1361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1" t="s">
        <v>1346</v>
      </c>
      <c r="C22" s="1854" t="s">
        <v>2279</v>
      </c>
      <c r="D22" s="1855"/>
      <c r="E22" s="1843" t="s">
        <v>1362</v>
      </c>
      <c r="F22" s="1844"/>
      <c r="G22" s="1843" t="str">
        <f>Financeiros!C25</f>
        <v>Ajuste CUST RB Fronteira + PIS Cofins RB Fronteira</v>
      </c>
      <c r="H22" s="1844"/>
      <c r="I22" s="1845" t="s">
        <v>1176</v>
      </c>
      <c r="J22" s="1846"/>
      <c r="K22" s="1861" t="s">
        <v>1363</v>
      </c>
      <c r="L22" s="1862"/>
      <c r="M22" s="1863" t="s">
        <v>2157</v>
      </c>
      <c r="N22" s="1864"/>
      <c r="O22" s="1841" t="s">
        <v>1364</v>
      </c>
      <c r="P22" s="1842"/>
      <c r="Q22" s="1841" t="s">
        <v>192</v>
      </c>
      <c r="R22" s="1842"/>
      <c r="S22" s="1841" t="s">
        <v>2042</v>
      </c>
      <c r="T22" s="1842"/>
      <c r="U22" s="1841" t="s">
        <v>2043</v>
      </c>
      <c r="V22" s="1842"/>
      <c r="Z22" s="68"/>
    </row>
    <row r="23" spans="1:26" ht="14.25">
      <c r="B23" s="1362" t="s">
        <v>925</v>
      </c>
      <c r="C23" s="1363" t="s">
        <v>1365</v>
      </c>
      <c r="D23" s="1364" t="s">
        <v>772</v>
      </c>
      <c r="E23" s="1363" t="s">
        <v>1365</v>
      </c>
      <c r="F23" s="1364" t="s">
        <v>772</v>
      </c>
      <c r="G23" s="1363" t="s">
        <v>1365</v>
      </c>
      <c r="H23" s="1364" t="s">
        <v>772</v>
      </c>
      <c r="I23" s="1363" t="s">
        <v>1365</v>
      </c>
      <c r="J23" s="1364" t="s">
        <v>772</v>
      </c>
      <c r="K23" s="1363" t="s">
        <v>1365</v>
      </c>
      <c r="L23" s="1364" t="s">
        <v>1344</v>
      </c>
      <c r="M23" s="1365" t="s">
        <v>1365</v>
      </c>
      <c r="N23" s="1366" t="s">
        <v>1344</v>
      </c>
      <c r="O23" s="1365" t="s">
        <v>1365</v>
      </c>
      <c r="P23" s="1366" t="s">
        <v>772</v>
      </c>
      <c r="Q23" s="1365" t="s">
        <v>1365</v>
      </c>
      <c r="R23" s="1366" t="s">
        <v>772</v>
      </c>
      <c r="S23" s="1365" t="s">
        <v>1365</v>
      </c>
      <c r="T23" s="1366" t="s">
        <v>772</v>
      </c>
      <c r="U23" s="1365" t="s">
        <v>1365</v>
      </c>
      <c r="V23" s="1366" t="s">
        <v>772</v>
      </c>
      <c r="Z23" s="68"/>
    </row>
    <row r="24" spans="1:26" ht="14.25">
      <c r="B24" s="1367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28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28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28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28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0" customFormat="1" ht="14.25">
      <c r="A37" s="824"/>
      <c r="B37" s="825">
        <f t="shared" si="2"/>
        <v>44440</v>
      </c>
      <c r="C37" s="826">
        <f>CAPA!C66</f>
        <v>4123.99</v>
      </c>
      <c r="D37" s="827">
        <f>VLOOKUP($B$48,Índices!$B$6:$F$500,VLOOKUP(D$23,$L$7:$M$9,2,FALSE)+1,FALSE)/VLOOKUP(DATE(YEAR($B37),MONTH($B37)-1,1),Índices!$B$6:$F$500,VLOOKUP(D$23,$L$7:$M$9,2,FALSE)+1,FALSE)*C37</f>
        <v>4483.9026201785209</v>
      </c>
      <c r="E37" s="828"/>
      <c r="F37" s="827">
        <f>VLOOKUP($B$48,Índices!$B$6:$F$500,VLOOKUP(F$23,$L$7:$M$9,2,FALSE)+1,FALSE)/VLOOKUP(DATE(YEAR($B37),MONTH($B37)-1,1),Índices!$B$6:$F$500,VLOOKUP(H$23,$L$7:$M$9,2,FALSE)+1,FALSE)*E37</f>
        <v>0</v>
      </c>
      <c r="G37" s="828">
        <f>CAPA!E66</f>
        <v>-36142.81</v>
      </c>
      <c r="H37" s="827">
        <f>VLOOKUP($B$48,Índices!$B$6:$F$500,VLOOKUP(H$23,$L$7:$M$9,2,FALSE)+1,FALSE)/VLOOKUP(DATE(YEAR($B37),MONTH($B37)-1,1),Índices!$B$6:$F$500,VLOOKUP(H$23,$L$7:$M$9,2,FALSE)+1,FALSE)*G37</f>
        <v>-39297.0983100382</v>
      </c>
      <c r="I37" s="829">
        <f>IFERROR(HLOOKUP(B37,'Rede Básica + Ajuste'!$E$70:$P$71,2,FALSE),0)</f>
        <v>0</v>
      </c>
      <c r="J37" s="829">
        <f>VLOOKUP($B$48,Índices!$B$6:$F$500,VLOOKUP(J$23,$L$7:$M$9,2,FALSE)+1,FALSE)/VLOOKUP(DATE(YEAR($B37),MONTH($B37)-1,1),Índices!$B$6:$F$500,VLOOKUP(J$23,$L$7:$M$9,2,FALSE)+1,FALSE)*I37</f>
        <v>0</v>
      </c>
      <c r="K37" s="828">
        <f>CAPA!H66</f>
        <v>0</v>
      </c>
      <c r="L37" s="827">
        <f>VLOOKUP($B$48,Índices!$B$6:$F$500,VLOOKUP(L$23,$L$7:$M$9,2,FALSE)+1,FALSE)/VLOOKUP(DATE(YEAR($B37),MONTH($B37)-1,1),Índices!$B$6:$F$500,VLOOKUP(L$23,$L$7:$M$9,2,FALSE)+1,FALSE)*K37</f>
        <v>0</v>
      </c>
      <c r="M37" s="828">
        <f>CVE!$I$14/12</f>
        <v>0</v>
      </c>
      <c r="N37" s="827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27">
        <f>VLOOKUP($B$48,Índices!$B$6:$F$500,VLOOKUP(P$23,$L$7:$M$9,2,FALSE)+1,FALSE)/VLOOKUP(DATE(YEAR($B37),MONTH($B37)-1,1),Índices!$B$6:$F$500,VLOOKUP(P$23,$L$7:$M$9,2,FALSE)+1,FALSE)*O37</f>
        <v>0</v>
      </c>
      <c r="Q37" s="828">
        <f>CAPA!D66</f>
        <v>0</v>
      </c>
      <c r="R37" s="827">
        <f>VLOOKUP($B$48,Índices!$B$6:$F$500,VLOOKUP(R$23,$L$7:$M$9,2,FALSE)+1,FALSE)/VLOOKUP(DATE(YEAR($B37),MONTH($B37)-1,1),Índices!$B$6:$F$500,VLOOKUP(R$23,$L$7:$M$9,2,FALSE)+1,FALSE)*Q37</f>
        <v>0</v>
      </c>
      <c r="S37" s="828">
        <f>'Tributos suprimento'!$B$14/12</f>
        <v>0</v>
      </c>
      <c r="T37" s="827">
        <f>VLOOKUP($B$48,Índices!$B$6:$F$500,VLOOKUP(T$23,$L$7:$M$9,2,FALSE)+1,FALSE)/VLOOKUP(DATE(YEAR($B37),MONTH($B37)-1,1),Índices!$B$6:$F$500,VLOOKUP(T$23,$L$7:$M$9,2,FALSE)+1,FALSE)*S37</f>
        <v>0</v>
      </c>
      <c r="U37" s="828">
        <f>'Tributos suprimento'!$B$13/12</f>
        <v>0</v>
      </c>
      <c r="V37" s="82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27072.639999999996</v>
      </c>
      <c r="D38" s="225">
        <f>VLOOKUP($B$48,Índices!$B$6:$F$500,VLOOKUP(D$23,$L$7:$M$9,2,FALSE)+1,FALSE)/VLOOKUP(DATE(YEAR($B38),MONTH($B38)-1,1),Índices!$B$6:$F$500,VLOOKUP(D$23,$L$7:$M$9,2,FALSE)+1,FALSE)*C38</f>
        <v>29097.824188041803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28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28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51073.250000000007</v>
      </c>
      <c r="D39" s="225">
        <f>VLOOKUP($B$48,Índices!$B$6:$F$500,VLOOKUP(D$23,$L$7:$M$9,2,FALSE)+1,FALSE)/VLOOKUP(DATE(YEAR($B39),MONTH($B39)-1,1),Índices!$B$6:$F$500,VLOOKUP(D$23,$L$7:$M$9,2,FALSE)+1,FALSE)*C39</f>
        <v>54216.135676022808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-15249.539999999999</v>
      </c>
      <c r="H39" s="225">
        <f>VLOOKUP($B$48,Índices!$B$6:$F$500,VLOOKUP(H$23,$L$7:$M$9,2,FALSE)+1,FALSE)/VLOOKUP(DATE(YEAR($B39),MONTH($B39)-1,1),Índices!$B$6:$F$500,VLOOKUP(H$23,$L$7:$M$9,2,FALSE)+1,FALSE)*G39</f>
        <v>-16187.948282847414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28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28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57059.76999999999</v>
      </c>
      <c r="D40" s="225">
        <f>VLOOKUP($B$48,Índices!$B$6:$F$500,VLOOKUP(D$23,$L$7:$M$9,2,FALSE)+1,FALSE)/VLOOKUP(DATE(YEAR($B40),MONTH($B40)-1,1),Índices!$B$6:$F$500,VLOOKUP(D$23,$L$7:$M$9,2,FALSE)+1,FALSE)*C40</f>
        <v>60000.996225926596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-41791.15</v>
      </c>
      <c r="H40" s="225">
        <f>VLOOKUP($B$48,Índices!$B$6:$F$500,VLOOKUP(H$23,$L$7:$M$9,2,FALSE)+1,FALSE)/VLOOKUP(DATE(YEAR($B40),MONTH($B40)-1,1),Índices!$B$6:$F$500,VLOOKUP(H$23,$L$7:$M$9,2,FALSE)+1,FALSE)*G40</f>
        <v>-43945.333698806229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28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28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63633.9</v>
      </c>
      <c r="D41" s="225">
        <f>VLOOKUP($B$48,Índices!$B$6:$F$500,VLOOKUP(D$23,$L$7:$M$9,2,FALSE)+1,FALSE)/VLOOKUP(DATE(YEAR($B41),MONTH($B41)-1,1),Índices!$B$6:$F$500,VLOOKUP(D$23,$L$7:$M$9,2,FALSE)+1,FALSE)*C41</f>
        <v>66429.094367520476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-19365.55</v>
      </c>
      <c r="H41" s="225">
        <f>VLOOKUP($B$48,Índices!$B$6:$F$500,VLOOKUP(H$23,$L$7:$M$9,2,FALSE)+1,FALSE)/VLOOKUP(DATE(YEAR($B41),MONTH($B41)-1,1),Índices!$B$6:$F$500,VLOOKUP(H$23,$L$7:$M$9,2,FALSE)+1,FALSE)*G41</f>
        <v>-20216.204702665342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28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28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87912.549999999988</v>
      </c>
      <c r="D42" s="225">
        <f>VLOOKUP($B$48,Índices!$B$6:$F$500,VLOOKUP(D$23,$L$7:$M$9,2,FALSE)+1,FALSE)/VLOOKUP(DATE(YEAR($B42),MONTH($B42)-1,1),Índices!$B$6:$F$500,VLOOKUP(D$23,$L$7:$M$9,2,FALSE)+1,FALSE)*C42</f>
        <v>91281.267349981863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-207890.80000000002</v>
      </c>
      <c r="H42" s="225">
        <f>VLOOKUP($B$48,Índices!$B$6:$F$500,VLOOKUP(H$23,$L$7:$M$9,2,FALSE)+1,FALSE)/VLOOKUP(DATE(YEAR($B42),MONTH($B42)-1,1),Índices!$B$6:$F$500,VLOOKUP(H$23,$L$7:$M$9,2,FALSE)+1,FALSE)*G42</f>
        <v>-215856.95892567799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28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28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44033.84</v>
      </c>
      <c r="D43" s="225">
        <f>VLOOKUP($B$48,Índices!$B$6:$F$500,VLOOKUP(D$23,$L$7:$M$9,2,FALSE)+1,FALSE)/VLOOKUP(DATE(YEAR($B43),MONTH($B43)-1,1),Índices!$B$6:$F$500,VLOOKUP(D$23,$L$7:$M$9,2,FALSE)+1,FALSE)*C43</f>
        <v>45263.976831272805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-17596.900000000001</v>
      </c>
      <c r="H43" s="225">
        <f>VLOOKUP($B$48,Índices!$B$6:$F$500,VLOOKUP(H$23,$L$7:$M$9,2,FALSE)+1,FALSE)/VLOOKUP(DATE(YEAR($B43),MONTH($B43)-1,1),Índices!$B$6:$F$500,VLOOKUP(H$23,$L$7:$M$9,2,FALSE)+1,FALSE)*G43</f>
        <v>-18088.4899863883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28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28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51041.06</v>
      </c>
      <c r="D44" s="225">
        <f>VLOOKUP($B$48,Índices!$B$6:$F$500,VLOOKUP(D$23,$L$7:$M$9,2,FALSE)+1,FALSE)/VLOOKUP(DATE(YEAR($B44),MONTH($B44)-1,1),Índices!$B$6:$F$500,VLOOKUP(D$23,$L$7:$M$9,2,FALSE)+1,FALSE)*C44</f>
        <v>51630.511579799015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-17184.739999999998</v>
      </c>
      <c r="H44" s="225">
        <f>VLOOKUP($B$48,Índices!$B$6:$F$500,VLOOKUP(H$23,$L$7:$M$9,2,FALSE)+1,FALSE)/VLOOKUP(DATE(YEAR($B44),MONTH($B44)-1,1),Índices!$B$6:$F$500,VLOOKUP(H$23,$L$7:$M$9,2,FALSE)+1,FALSE)*G44</f>
        <v>-17383.19928241763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28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28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30347.249999999996</v>
      </c>
      <c r="D45" s="225">
        <f>VLOOKUP($B$48,Índices!$B$6:$F$500,VLOOKUP(D$23,$L$7:$M$9,2,FALSE)+1,FALSE)/VLOOKUP(DATE(YEAR($B45),MONTH($B45)-1,1),Índices!$B$6:$F$500,VLOOKUP(D$23,$L$7:$M$9,2,FALSE)+1,FALSE)*C45</f>
        <v>30375.729311455008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28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28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45676.740000000005</v>
      </c>
      <c r="D46" s="225">
        <f>VLOOKUP($B$48,Índices!$B$6:$F$500,VLOOKUP(D$23,$L$7:$M$9,2,FALSE)+1,FALSE)/VLOOKUP(DATE(YEAR($B46),MONTH($B46)-1,1),Índices!$B$6:$F$500,VLOOKUP(D$23,$L$7:$M$9,2,FALSE)+1,FALSE)*C46</f>
        <v>45505.725022735496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-61501.65</v>
      </c>
      <c r="H46" s="225">
        <f>VLOOKUP($B$48,Índices!$B$6:$F$500,VLOOKUP(H$23,$L$7:$M$9,2,FALSE)+1,FALSE)/VLOOKUP(DATE(YEAR($B46),MONTH($B46)-1,1),Índices!$B$6:$F$500,VLOOKUP(H$23,$L$7:$M$9,2,FALSE)+1,FALSE)*G46</f>
        <v>-61271.386122225893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416731.8222</v>
      </c>
      <c r="L46" s="225">
        <f>VLOOKUP($B$48,Índices!$B$6:$F$500,VLOOKUP(L$23,$L$7:$M$9,2,FALSE)+1,FALSE)/VLOOKUP(DATE(YEAR($B46),MONTH($B46)-1,1),Índices!$B$6:$F$500,VLOOKUP(L$23,$L$7:$M$9,2,FALSE)+1,FALSE)*K46</f>
        <v>430292.78768611461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28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28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57756.84</v>
      </c>
      <c r="D47" s="225">
        <f>VLOOKUP($B$48,Índices!$B$6:$F$500,VLOOKUP(D$23,$L$7:$M$9,2,FALSE)+1,FALSE)/VLOOKUP(DATE(YEAR($B47),MONTH($B47)-1,1),Índices!$B$6:$F$500,VLOOKUP(D$23,$L$7:$M$9,2,FALSE)+1,FALSE)*C47</f>
        <v>57157.607808545727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-1178.51</v>
      </c>
      <c r="H47" s="225">
        <f>VLOOKUP($B$48,Índices!$B$6:$F$500,VLOOKUP(H$23,$L$7:$M$9,2,FALSE)+1,FALSE)/VLOOKUP(DATE(YEAR($B47),MONTH($B47)-1,1),Índices!$B$6:$F$500,VLOOKUP(H$23,$L$7:$M$9,2,FALSE)+1,FALSE)*G47</f>
        <v>-1166.2828572070291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63031.052799999998</v>
      </c>
      <c r="L47" s="225">
        <f>VLOOKUP($B$48,Índices!$B$6:$F$500,VLOOKUP(L$23,$L$7:$M$9,2,FALSE)+1,FALSE)/VLOOKUP(DATE(YEAR($B47),MONTH($B47)-1,1),Índices!$B$6:$F$500,VLOOKUP(L$23,$L$7:$M$9,2,FALSE)+1,FALSE)*K47</f>
        <v>64428.01302454259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28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28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68">
        <f>DATE(YEAR(CAPA!$C$15),MONTH(CAPA!$C$15)-1,1)</f>
        <v>44774</v>
      </c>
      <c r="C48" s="293">
        <f>CAPA!C77</f>
        <v>76322.38</v>
      </c>
      <c r="D48" s="225">
        <f>VLOOKUP($B$48,Índices!$B$6:$F$500,VLOOKUP(D$23,$L$7:$M$9,2,FALSE)+1,FALSE)/VLOOKUP(DATE(YEAR($B48),MONTH($B48)-1,1),Índices!$B$6:$F$500,VLOOKUP(D$23,$L$7:$M$9,2,FALSE)+1,FALSE)*C48</f>
        <v>76047.655379502336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-5188.0499999999993</v>
      </c>
      <c r="H48" s="225">
        <f>VLOOKUP($B$48,Índices!$B$6:$F$500,VLOOKUP(H$23,$L$7:$M$9,2,FALSE)+1,FALSE)/VLOOKUP(DATE(YEAR($B48),MONTH($B48)-1,1),Índices!$B$6:$F$500,VLOOKUP(H$23,$L$7:$M$9,2,FALSE)+1,FALSE)*G48</f>
        <v>-5169.3754635485293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-32.799999999999997</v>
      </c>
      <c r="L48" s="225">
        <f>VLOOKUP($B$48,Índices!$B$6:$F$500,VLOOKUP(L$23,$L$7:$M$9,2,FALSE)+1,FALSE)/VLOOKUP(DATE(YEAR($B48),MONTH($B48)-1,1),Índices!$B$6:$F$500,VLOOKUP(L$23,$L$7:$M$9,2,FALSE)+1,FALSE)*K48</f>
        <v>-33.183550499842063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28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28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69">
        <f t="shared" ref="C49:P49" si="3">SUM(C25:C48)</f>
        <v>596054.21</v>
      </c>
      <c r="D49" s="1370">
        <f t="shared" si="3"/>
        <v>611490.42636098247</v>
      </c>
      <c r="E49" s="1369">
        <f t="shared" si="3"/>
        <v>0</v>
      </c>
      <c r="F49" s="1370">
        <f t="shared" si="3"/>
        <v>0</v>
      </c>
      <c r="G49" s="1369">
        <f t="shared" si="3"/>
        <v>-423089.70000000007</v>
      </c>
      <c r="H49" s="1370">
        <f t="shared" si="3"/>
        <v>-438582.27763182262</v>
      </c>
      <c r="I49" s="1371">
        <f>SUM(I24:I48)</f>
        <v>0</v>
      </c>
      <c r="J49" s="1371">
        <f>SUM(J24:J48)</f>
        <v>0</v>
      </c>
      <c r="K49" s="1372">
        <f t="shared" si="3"/>
        <v>479730.07500000001</v>
      </c>
      <c r="L49" s="1373">
        <f t="shared" si="3"/>
        <v>494687.61716015736</v>
      </c>
      <c r="M49" s="1374">
        <f t="shared" si="3"/>
        <v>0</v>
      </c>
      <c r="N49" s="1375">
        <f t="shared" si="3"/>
        <v>0</v>
      </c>
      <c r="O49" s="1374">
        <f t="shared" si="3"/>
        <v>0</v>
      </c>
      <c r="P49" s="1375">
        <f t="shared" si="3"/>
        <v>0</v>
      </c>
      <c r="Q49" s="1374">
        <f t="shared" ref="Q49:R49" si="4">SUM(Q25:Q48)</f>
        <v>0</v>
      </c>
      <c r="R49" s="1375">
        <f t="shared" si="4"/>
        <v>0</v>
      </c>
      <c r="S49" s="1374">
        <f>-S51</f>
        <v>0</v>
      </c>
      <c r="T49" s="1375">
        <f t="shared" ref="T49:V49" si="5">SUM(T25:T48)</f>
        <v>0</v>
      </c>
      <c r="U49" s="1374">
        <f>-S52</f>
        <v>0</v>
      </c>
      <c r="V49" s="1375">
        <f t="shared" si="5"/>
        <v>0</v>
      </c>
      <c r="Z49" s="68"/>
    </row>
    <row r="50" spans="2:30" ht="14.25">
      <c r="J50" s="68" t="s">
        <v>848</v>
      </c>
      <c r="M50" s="198"/>
      <c r="N50" s="107"/>
      <c r="S50" s="1308"/>
      <c r="T50" s="68" t="s">
        <v>1366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47" t="s">
        <v>2085</v>
      </c>
      <c r="D53" s="1848"/>
      <c r="E53" s="1847" t="s">
        <v>1367</v>
      </c>
      <c r="F53" s="1848"/>
      <c r="G53" s="1847" t="s">
        <v>1368</v>
      </c>
      <c r="H53" s="1848"/>
      <c r="I53" s="1847" t="s">
        <v>1369</v>
      </c>
      <c r="J53" s="1848"/>
      <c r="K53" s="1843" t="s">
        <v>1370</v>
      </c>
      <c r="L53" s="1844"/>
      <c r="M53" s="1847" t="s">
        <v>1371</v>
      </c>
      <c r="N53" s="1848"/>
      <c r="O53" s="1847" t="s">
        <v>2087</v>
      </c>
      <c r="P53" s="1848"/>
      <c r="Q53" s="1847" t="s">
        <v>2088</v>
      </c>
      <c r="R53" s="1848"/>
      <c r="S53" s="1847" t="s">
        <v>1372</v>
      </c>
      <c r="T53" s="1848"/>
      <c r="U53" s="1847" t="s">
        <v>1373</v>
      </c>
      <c r="V53" s="1848"/>
      <c r="W53" s="1847" t="s">
        <v>36</v>
      </c>
      <c r="X53" s="1848"/>
      <c r="Z53" s="68"/>
    </row>
    <row r="54" spans="2:30" ht="14.25">
      <c r="C54" s="1365" t="s">
        <v>1365</v>
      </c>
      <c r="D54" s="1366" t="s">
        <v>772</v>
      </c>
      <c r="E54" s="1365" t="s">
        <v>1365</v>
      </c>
      <c r="F54" s="1366" t="s">
        <v>772</v>
      </c>
      <c r="G54" s="1365" t="s">
        <v>1365</v>
      </c>
      <c r="H54" s="1366" t="s">
        <v>772</v>
      </c>
      <c r="I54" s="1365" t="s">
        <v>1365</v>
      </c>
      <c r="J54" s="1366" t="s">
        <v>772</v>
      </c>
      <c r="K54" s="1363" t="s">
        <v>1365</v>
      </c>
      <c r="L54" s="1364" t="s">
        <v>772</v>
      </c>
      <c r="M54" s="1365" t="s">
        <v>1365</v>
      </c>
      <c r="N54" s="1366" t="s">
        <v>772</v>
      </c>
      <c r="O54" s="1365" t="s">
        <v>1365</v>
      </c>
      <c r="P54" s="1366" t="s">
        <v>772</v>
      </c>
      <c r="Q54" s="1365" t="s">
        <v>1365</v>
      </c>
      <c r="R54" s="1366" t="s">
        <v>772</v>
      </c>
      <c r="S54" s="1365" t="s">
        <v>1365</v>
      </c>
      <c r="T54" s="1366" t="s">
        <v>772</v>
      </c>
      <c r="U54" s="1365" t="s">
        <v>1365</v>
      </c>
      <c r="V54" s="1366" t="s">
        <v>772</v>
      </c>
      <c r="W54" s="1365" t="s">
        <v>1365</v>
      </c>
      <c r="X54" s="1376" t="s">
        <v>1344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645.35530101376298</v>
      </c>
      <c r="H68" s="225">
        <f ca="1">VLOOKUP($B$48,Índices!$B$6:$F$500,VLOOKUP(H$54,$L$7:$M$9,2,FALSE)+1,FALSE)/VLOOKUP(DATE(YEAR($B68),MONTH($B68)-1,1),Índices!$B$6:$F$500,VLOOKUP(H$54,$L$7:$M$9,2,FALSE)+1,FALSE)*G68</f>
        <v>701.67733800559904</v>
      </c>
      <c r="I68" s="207">
        <f ca="1">Encargos!F31</f>
        <v>16467.447342568194</v>
      </c>
      <c r="J68" s="225">
        <f ca="1">VLOOKUP($B$48,Índices!$B$6:$F$500,VLOOKUP(J$54,$L$7:$M$9,2,FALSE)+1,FALSE)/VLOOKUP(DATE(YEAR($B68),MONTH($B68)-1,1),Índices!$B$6:$F$500,VLOOKUP(J$54,$L$7:$M$9,2,FALSE)+1,FALSE)*I68</f>
        <v>17904.609440612938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2528.5599232685054</v>
      </c>
      <c r="N68" s="225">
        <f ca="1">VLOOKUP($B$48,Índices!$B$6:$F$500,VLOOKUP(N$54,$L$7:$M$9,2,FALSE)+1,FALSE)/VLOOKUP(DATE(YEAR($B68),MONTH($B68)-1,1),Índices!$B$6:$F$500,VLOOKUP(N$54,$L$7:$M$9,2,FALSE)+1,FALSE)*M68</f>
        <v>2749.2347132805976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511.05718662017534</v>
      </c>
      <c r="H69" s="225">
        <f ca="1">VLOOKUP($B$48,Índices!$B$6:$F$500,VLOOKUP(H$54,$L$7:$M$9,2,FALSE)+1,FALSE)/VLOOKUP(DATE(YEAR($B69),MONTH($B69)-1,1),Índices!$B$6:$F$500,VLOOKUP(H$54,$L$7:$M$9,2,FALSE)+1,FALSE)*G69</f>
        <v>549.28710928484008</v>
      </c>
      <c r="I69" s="207">
        <f ca="1">Encargos!F32</f>
        <v>13384.167777132388</v>
      </c>
      <c r="J69" s="225">
        <f ca="1">VLOOKUP($B$48,Índices!$B$6:$F$500,VLOOKUP(J$54,$L$7:$M$9,2,FALSE)+1,FALSE)/VLOOKUP(DATE(YEAR($B69),MONTH($B69)-1,1),Índices!$B$6:$F$500,VLOOKUP(J$54,$L$7:$M$9,2,FALSE)+1,FALSE)*I69</f>
        <v>14385.378037836448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2072.4972754207192</v>
      </c>
      <c r="N69" s="225">
        <f ca="1">VLOOKUP($B$48,Índices!$B$6:$F$500,VLOOKUP(N$54,$L$7:$M$9,2,FALSE)+1,FALSE)/VLOOKUP(DATE(YEAR($B69),MONTH($B69)-1,1),Índices!$B$6:$F$500,VLOOKUP(N$54,$L$7:$M$9,2,FALSE)+1,FALSE)*M69</f>
        <v>2227.5316094177642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239.36782573748314</v>
      </c>
      <c r="H70" s="225">
        <f ca="1">VLOOKUP($B$48,Índices!$B$6:$F$500,VLOOKUP(H$54,$L$7:$M$9,2,FALSE)+1,FALSE)/VLOOKUP(DATE(YEAR($B70),MONTH($B70)-1,1),Índices!$B$6:$F$500,VLOOKUP(H$54,$L$7:$M$9,2,FALSE)+1,FALSE)*G70</f>
        <v>254.09776187452272</v>
      </c>
      <c r="I70" s="207">
        <f ca="1">Encargos!F33</f>
        <v>4762.6592509524198</v>
      </c>
      <c r="J70" s="225">
        <f ca="1">VLOOKUP($B$48,Índices!$B$6:$F$500,VLOOKUP(J$54,$L$7:$M$9,2,FALSE)+1,FALSE)/VLOOKUP(DATE(YEAR($B70),MONTH($B70)-1,1),Índices!$B$6:$F$500,VLOOKUP(J$54,$L$7:$M$9,2,FALSE)+1,FALSE)*I70</f>
        <v>5055.7381824791155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675.34979214036139</v>
      </c>
      <c r="N70" s="225">
        <f ca="1">VLOOKUP($B$48,Índices!$B$6:$F$500,VLOOKUP(N$54,$L$7:$M$9,2,FALSE)+1,FALSE)/VLOOKUP(DATE(YEAR($B70),MONTH($B70)-1,1),Índices!$B$6:$F$500,VLOOKUP(N$54,$L$7:$M$9,2,FALSE)+1,FALSE)*M70</f>
        <v>716.90867449115979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-86.5490295128875</v>
      </c>
      <c r="H71" s="225">
        <f ca="1">VLOOKUP($B$48,Índices!$B$6:$F$500,VLOOKUP(H$54,$L$7:$M$9,2,FALSE)+1,FALSE)/VLOOKUP(DATE(YEAR($B71),MONTH($B71)-1,1),Índices!$B$6:$F$500,VLOOKUP(H$54,$L$7:$M$9,2,FALSE)+1,FALSE)*G71</f>
        <v>-91.010321162534893</v>
      </c>
      <c r="I71" s="207">
        <f ca="1">Encargos!F34</f>
        <v>-3415.9610609192459</v>
      </c>
      <c r="J71" s="225">
        <f ca="1">VLOOKUP($B$48,Índices!$B$6:$F$500,VLOOKUP(J$54,$L$7:$M$9,2,FALSE)+1,FALSE)/VLOOKUP(DATE(YEAR($B71),MONTH($B71)-1,1),Índices!$B$6:$F$500,VLOOKUP(J$54,$L$7:$M$9,2,FALSE)+1,FALSE)*I71</f>
        <v>-3592.0415859392338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-574.20964020993415</v>
      </c>
      <c r="N71" s="225">
        <f ca="1">VLOOKUP($B$48,Índices!$B$6:$F$500,VLOOKUP(N$54,$L$7:$M$9,2,FALSE)+1,FALSE)/VLOOKUP(DATE(YEAR($B71),MONTH($B71)-1,1),Índices!$B$6:$F$500,VLOOKUP(N$54,$L$7:$M$9,2,FALSE)+1,FALSE)*M71</f>
        <v>-603.80808501553599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-2142.3051666215033</v>
      </c>
      <c r="H72" s="225">
        <f ca="1">VLOOKUP($B$48,Índices!$B$6:$F$500,VLOOKUP(H$54,$L$7:$M$9,2,FALSE)+1,FALSE)/VLOOKUP(DATE(YEAR($B72),MONTH($B72)-1,1),Índices!$B$6:$F$500,VLOOKUP(H$54,$L$7:$M$9,2,FALSE)+1,FALSE)*G72</f>
        <v>-2236.4084564599452</v>
      </c>
      <c r="I72" s="207">
        <f ca="1">Encargos!F35</f>
        <v>-56425.746520687448</v>
      </c>
      <c r="J72" s="225">
        <f ca="1">VLOOKUP($B$48,Índices!$B$6:$F$500,VLOOKUP(J$54,$L$7:$M$9,2,FALSE)+1,FALSE)/VLOOKUP(DATE(YEAR($B72),MONTH($B72)-1,1),Índices!$B$6:$F$500,VLOOKUP(J$54,$L$7:$M$9,2,FALSE)+1,FALSE)*I72</f>
        <v>-58904.314215858787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-8732.9741413006632</v>
      </c>
      <c r="N72" s="225">
        <f ca="1">VLOOKUP($B$48,Índices!$B$6:$F$500,VLOOKUP(N$54,$L$7:$M$9,2,FALSE)+1,FALSE)/VLOOKUP(DATE(YEAR($B72),MONTH($B72)-1,1),Índices!$B$6:$F$500,VLOOKUP(N$54,$L$7:$M$9,2,FALSE)+1,FALSE)*M72</f>
        <v>-9116.5803658361001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-2055.6832800202938</v>
      </c>
      <c r="H73" s="225">
        <f ca="1">VLOOKUP($B$48,Índices!$B$6:$F$500,VLOOKUP(H$54,$L$7:$M$9,2,FALSE)+1,FALSE)/VLOOKUP(DATE(YEAR($B73),MONTH($B73)-1,1),Índices!$B$6:$F$500,VLOOKUP(H$54,$L$7:$M$9,2,FALSE)+1,FALSE)*G73</f>
        <v>-2134.4549221973434</v>
      </c>
      <c r="I73" s="207">
        <f ca="1">Encargos!F36</f>
        <v>-52998.702567409928</v>
      </c>
      <c r="J73" s="225">
        <f ca="1">VLOOKUP($B$48,Índices!$B$6:$F$500,VLOOKUP(J$54,$L$7:$M$9,2,FALSE)+1,FALSE)/VLOOKUP(DATE(YEAR($B73),MONTH($B73)-1,1),Índices!$B$6:$F$500,VLOOKUP(J$54,$L$7:$M$9,2,FALSE)+1,FALSE)*I73</f>
        <v>-55029.557648571405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-8159.9691412476823</v>
      </c>
      <c r="N73" s="225">
        <f ca="1">VLOOKUP($B$48,Índices!$B$6:$F$500,VLOOKUP(N$54,$L$7:$M$9,2,FALSE)+1,FALSE)/VLOOKUP(DATE(YEAR($B73),MONTH($B73)-1,1),Índices!$B$6:$F$500,VLOOKUP(N$54,$L$7:$M$9,2,FALSE)+1,FALSE)*M73</f>
        <v>-8472.6506596593063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-721.88249190665556</v>
      </c>
      <c r="H74" s="225">
        <f ca="1">VLOOKUP($B$48,Índices!$B$6:$F$500,VLOOKUP(H$54,$L$7:$M$9,2,FALSE)+1,FALSE)/VLOOKUP(DATE(YEAR($B74),MONTH($B74)-1,1),Índices!$B$6:$F$500,VLOOKUP(H$54,$L$7:$M$9,2,FALSE)+1,FALSE)*G74</f>
        <v>-742.04912377762957</v>
      </c>
      <c r="I74" s="207">
        <f ca="1">Encargos!F37</f>
        <v>-18699.430265675212</v>
      </c>
      <c r="J74" s="225">
        <f ca="1">VLOOKUP($B$48,Índices!$B$6:$F$500,VLOOKUP(J$54,$L$7:$M$9,2,FALSE)+1,FALSE)/VLOOKUP(DATE(YEAR($B74),MONTH($B74)-1,1),Índices!$B$6:$F$500,VLOOKUP(J$54,$L$7:$M$9,2,FALSE)+1,FALSE)*I74</f>
        <v>-19221.820724777222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-2904.7222413166455</v>
      </c>
      <c r="N74" s="225">
        <f ca="1">VLOOKUP($B$48,Índices!$B$6:$F$500,VLOOKUP(N$54,$L$7:$M$9,2,FALSE)+1,FALSE)/VLOOKUP(DATE(YEAR($B74),MONTH($B74)-1,1),Índices!$B$6:$F$500,VLOOKUP(N$54,$L$7:$M$9,2,FALSE)+1,FALSE)*M74</f>
        <v>-2985.8690550776282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-16.780634426899269</v>
      </c>
      <c r="H75" s="225">
        <f ca="1">VLOOKUP($B$48,Índices!$B$6:$F$500,VLOOKUP(H$54,$L$7:$M$9,2,FALSE)+1,FALSE)/VLOOKUP(DATE(YEAR($B75),MONTH($B75)-1,1),Índices!$B$6:$F$500,VLOOKUP(H$54,$L$7:$M$9,2,FALSE)+1,FALSE)*G75</f>
        <v>-16.974426865241369</v>
      </c>
      <c r="I75" s="207">
        <f ca="1">Encargos!F38</f>
        <v>1163.815711099247</v>
      </c>
      <c r="J75" s="225">
        <f ca="1">VLOOKUP($B$48,Índices!$B$6:$F$500,VLOOKUP(J$54,$L$7:$M$9,2,FALSE)+1,FALSE)/VLOOKUP(DATE(YEAR($B75),MONTH($B75)-1,1),Índices!$B$6:$F$500,VLOOKUP(J$54,$L$7:$M$9,2,FALSE)+1,FALSE)*I75</f>
        <v>1177.2561257282216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151.29157870700146</v>
      </c>
      <c r="N75" s="225">
        <f ca="1">VLOOKUP($B$48,Índices!$B$6:$F$500,VLOOKUP(N$54,$L$7:$M$9,2,FALSE)+1,FALSE)/VLOOKUP(DATE(YEAR($B75),MONTH($B75)-1,1),Índices!$B$6:$F$500,VLOOKUP(N$54,$L$7:$M$9,2,FALSE)+1,FALSE)*M75</f>
        <v>153.03878105897317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568.73328213782588</v>
      </c>
      <c r="H76" s="225">
        <f ca="1">VLOOKUP($B$48,Índices!$B$6:$F$500,VLOOKUP(H$54,$L$7:$M$9,2,FALSE)+1,FALSE)/VLOOKUP(DATE(YEAR($B76),MONTH($B76)-1,1),Índices!$B$6:$F$500,VLOOKUP(H$54,$L$7:$M$9,2,FALSE)+1,FALSE)*G76</f>
        <v>569.2670086625302</v>
      </c>
      <c r="I76" s="207">
        <f ca="1">Encargos!F39</f>
        <v>14461.253465148766</v>
      </c>
      <c r="J76" s="225">
        <f ca="1">VLOOKUP($B$48,Índices!$B$6:$F$500,VLOOKUP(J$54,$L$7:$M$9,2,FALSE)+1,FALSE)/VLOOKUP(DATE(YEAR($B76),MONTH($B76)-1,1),Índices!$B$6:$F$500,VLOOKUP(J$54,$L$7:$M$9,2,FALSE)+1,FALSE)*I76</f>
        <v>14474.82459734242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2171.2811406055698</v>
      </c>
      <c r="N76" s="225">
        <f ca="1">VLOOKUP($B$48,Índices!$B$6:$F$500,VLOOKUP(N$54,$L$7:$M$9,2,FALSE)+1,FALSE)/VLOOKUP(DATE(YEAR($B76),MONTH($B76)-1,1),Índices!$B$6:$F$500,VLOOKUP(N$54,$L$7:$M$9,2,FALSE)+1,FALSE)*M76</f>
        <v>2173.3187747193592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518.69538945926979</v>
      </c>
      <c r="H77" s="225">
        <f ca="1">VLOOKUP($B$48,Índices!$B$6:$F$500,VLOOKUP(H$54,$L$7:$M$9,2,FALSE)+1,FALSE)/VLOOKUP(DATE(YEAR($B77),MONTH($B77)-1,1),Índices!$B$6:$F$500,VLOOKUP(H$54,$L$7:$M$9,2,FALSE)+1,FALSE)*G77</f>
        <v>516.75337958212924</v>
      </c>
      <c r="I77" s="207">
        <f ca="1">Encargos!F40</f>
        <v>15129.817464759544</v>
      </c>
      <c r="J77" s="225">
        <f ca="1">VLOOKUP($B$48,Índices!$B$6:$F$500,VLOOKUP(J$54,$L$7:$M$9,2,FALSE)+1,FALSE)/VLOOKUP(DATE(YEAR($B77),MONTH($B77)-1,1),Índices!$B$6:$F$500,VLOOKUP(J$54,$L$7:$M$9,2,FALSE)+1,FALSE)*I77</f>
        <v>15073.171009917276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2359.8452637397058</v>
      </c>
      <c r="N77" s="225">
        <f ca="1">VLOOKUP($B$48,Índices!$B$6:$F$500,VLOOKUP(N$54,$L$7:$M$9,2,FALSE)+1,FALSE)/VLOOKUP(DATE(YEAR($B77),MONTH($B77)-1,1),Índices!$B$6:$F$500,VLOOKUP(N$54,$L$7:$M$9,2,FALSE)+1,FALSE)*M77</f>
        <v>2351.0099378358386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1093.6835322548759</v>
      </c>
      <c r="H78" s="225">
        <f ca="1">VLOOKUP($B$48,Índices!$B$6:$F$500,VLOOKUP(H$54,$L$7:$M$9,2,FALSE)+1,FALSE)/VLOOKUP(DATE(YEAR($B78),MONTH($B78)-1,1),Índices!$B$6:$F$500,VLOOKUP(H$54,$L$7:$M$9,2,FALSE)+1,FALSE)*G78</f>
        <v>1082.3364713735928</v>
      </c>
      <c r="I78" s="207">
        <f ca="1">Encargos!F41</f>
        <v>26807.022184542991</v>
      </c>
      <c r="J78" s="225">
        <f ca="1">VLOOKUP($B$48,Índices!$B$6:$F$500,VLOOKUP(J$54,$L$7:$M$9,2,FALSE)+1,FALSE)/VLOOKUP(DATE(YEAR($B78),MONTH($B78)-1,1),Índices!$B$6:$F$500,VLOOKUP(J$54,$L$7:$M$9,2,FALSE)+1,FALSE)*I78</f>
        <v>26528.89701962734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4026.8446679210974</v>
      </c>
      <c r="N78" s="225">
        <f ca="1">VLOOKUP($B$48,Índices!$B$6:$F$500,VLOOKUP(N$54,$L$7:$M$9,2,FALSE)+1,FALSE)/VLOOKUP(DATE(YEAR($B78),MONTH($B78)-1,1),Índices!$B$6:$F$500,VLOOKUP(N$54,$L$7:$M$9,2,FALSE)+1,FALSE)*M78</f>
        <v>3985.0658075297688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202.96430824479648</v>
      </c>
      <c r="H79" s="225">
        <f ca="1">VLOOKUP($B$48,Índices!$B$6:$F$500,VLOOKUP(H$54,$L$7:$M$9,2,FALSE)+1,FALSE)/VLOOKUP(DATE(YEAR($B79),MONTH($B79)-1,1),Índices!$B$6:$F$500,VLOOKUP(H$54,$L$7:$M$9,2,FALSE)+1,FALSE)*G79</f>
        <v>202.23373233040383</v>
      </c>
      <c r="I79" s="207">
        <f ca="1">Encargos!F42</f>
        <v>3249.9491839285183</v>
      </c>
      <c r="J79" s="225">
        <f ca="1">VLOOKUP($B$48,Índices!$B$6:$F$500,VLOOKUP(J$54,$L$7:$M$9,2,FALSE)+1,FALSE)/VLOOKUP(DATE(YEAR($B79),MONTH($B79)-1,1),Índices!$B$6:$F$500,VLOOKUP(J$54,$L$7:$M$9,2,FALSE)+1,FALSE)*I79</f>
        <v>3238.2508975780211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387.4728316588953</v>
      </c>
      <c r="N79" s="225">
        <f ca="1">VLOOKUP($B$48,Índices!$B$6:$F$500,VLOOKUP(N$54,$L$7:$M$9,2,FALSE)+1,FALSE)/VLOOKUP(DATE(YEAR($B79),MONTH($B79)-1,1),Índices!$B$6:$F$500,VLOOKUP(N$54,$L$7:$M$9,2,FALSE)+1,FALSE)*M79</f>
        <v>386.07811196290777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74">
        <f ca="1">SUM(C56:C79)</f>
        <v>0</v>
      </c>
      <c r="D80" s="1375">
        <f ca="1">SUM(D56:D79)</f>
        <v>0</v>
      </c>
      <c r="E80" s="1374">
        <f ca="1">SUM(E56:E79)</f>
        <v>0</v>
      </c>
      <c r="F80" s="1375">
        <f ca="1">SUM(F56:F79)</f>
        <v>0</v>
      </c>
      <c r="G80" s="1374">
        <f ca="1">SUM(G55:G79)</f>
        <v>-1243.3437770200499</v>
      </c>
      <c r="H80" s="1374">
        <f t="shared" ref="H80:N80" ca="1" si="7">SUM(H55:H79)</f>
        <v>-1345.2444493490764</v>
      </c>
      <c r="I80" s="1374">
        <f t="shared" ca="1" si="7"/>
        <v>-36113.708034559764</v>
      </c>
      <c r="J80" s="1374">
        <f t="shared" ca="1" si="7"/>
        <v>-38909.608864024849</v>
      </c>
      <c r="K80" s="1374">
        <f t="shared" ca="1" si="7"/>
        <v>0</v>
      </c>
      <c r="L80" s="1374">
        <f t="shared" ca="1" si="7"/>
        <v>0</v>
      </c>
      <c r="M80" s="1374">
        <f t="shared" ca="1" si="7"/>
        <v>-5998.7326906130693</v>
      </c>
      <c r="N80" s="1374">
        <f t="shared" ca="1" si="7"/>
        <v>-6436.7217552921993</v>
      </c>
      <c r="O80" s="1374">
        <f t="shared" ref="O80:R80" ca="1" si="8">SUM(O55:O79)</f>
        <v>0</v>
      </c>
      <c r="P80" s="1374">
        <f t="shared" ca="1" si="8"/>
        <v>0</v>
      </c>
      <c r="Q80" s="1374">
        <f t="shared" ca="1" si="8"/>
        <v>0</v>
      </c>
      <c r="R80" s="1374">
        <f t="shared" ca="1" si="8"/>
        <v>0</v>
      </c>
      <c r="S80" s="1374">
        <f t="shared" ref="S80:X80" si="9">SUM(S55:S79)</f>
        <v>0</v>
      </c>
      <c r="T80" s="1374">
        <f t="shared" si="9"/>
        <v>0</v>
      </c>
      <c r="U80" s="1374">
        <f t="shared" si="9"/>
        <v>0</v>
      </c>
      <c r="V80" s="1377">
        <f t="shared" si="9"/>
        <v>0</v>
      </c>
      <c r="W80" s="1374">
        <f t="shared" si="9"/>
        <v>0</v>
      </c>
      <c r="X80" s="1377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D11:E11 G11:J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1374</v>
      </c>
      <c r="C1" s="9" t="s">
        <v>1375</v>
      </c>
      <c r="D1" s="9" t="s">
        <v>1376</v>
      </c>
      <c r="E1" s="233" t="s">
        <v>1377</v>
      </c>
      <c r="F1" s="233" t="s">
        <v>1378</v>
      </c>
      <c r="G1" s="233" t="s">
        <v>1379</v>
      </c>
      <c r="H1" s="233" t="s">
        <v>1380</v>
      </c>
      <c r="I1" s="9" t="s">
        <v>192</v>
      </c>
      <c r="J1" s="9" t="s">
        <v>1381</v>
      </c>
      <c r="K1" s="9" t="s">
        <v>1382</v>
      </c>
      <c r="L1" s="9" t="s">
        <v>1383</v>
      </c>
      <c r="M1" s="9" t="s">
        <v>1384</v>
      </c>
      <c r="N1" s="9" t="s">
        <v>961</v>
      </c>
      <c r="O1" s="9" t="s">
        <v>875</v>
      </c>
      <c r="P1" s="9" t="s">
        <v>1385</v>
      </c>
      <c r="Q1" s="8" t="s">
        <v>869</v>
      </c>
      <c r="R1" s="17" t="s">
        <v>1386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1375</v>
      </c>
      <c r="B1" t="s">
        <v>960</v>
      </c>
      <c r="C1" t="s">
        <v>1387</v>
      </c>
      <c r="D1" t="s">
        <v>879</v>
      </c>
      <c r="E1" t="s">
        <v>1388</v>
      </c>
      <c r="F1" t="s">
        <v>58</v>
      </c>
      <c r="G1" t="s">
        <v>524</v>
      </c>
      <c r="H1" t="s">
        <v>961</v>
      </c>
      <c r="I1" t="s">
        <v>108</v>
      </c>
      <c r="J1" t="s">
        <v>1379</v>
      </c>
      <c r="K1" t="s">
        <v>1389</v>
      </c>
      <c r="L1" t="s">
        <v>1390</v>
      </c>
      <c r="M1" t="s">
        <v>1391</v>
      </c>
      <c r="N1" t="s">
        <v>971</v>
      </c>
      <c r="O1" t="s">
        <v>1392</v>
      </c>
      <c r="P1" t="s">
        <v>1393</v>
      </c>
      <c r="Q1" t="s">
        <v>1394</v>
      </c>
      <c r="R1" t="s">
        <v>1395</v>
      </c>
      <c r="S1" t="s">
        <v>192</v>
      </c>
      <c r="T1" t="s">
        <v>1396</v>
      </c>
      <c r="U1" t="s">
        <v>1397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78" t="s">
        <v>1398</v>
      </c>
      <c r="D2" s="3" t="s">
        <v>1399</v>
      </c>
    </row>
    <row r="3" spans="2:15">
      <c r="B3" s="5"/>
    </row>
    <row r="6" spans="2:15">
      <c r="B6" s="1379" t="s">
        <v>1400</v>
      </c>
      <c r="C6" s="1379" t="s">
        <v>1401</v>
      </c>
      <c r="D6" s="1379" t="s">
        <v>772</v>
      </c>
      <c r="E6" s="6" t="s">
        <v>1402</v>
      </c>
      <c r="F6" s="6" t="s">
        <v>1403</v>
      </c>
      <c r="G6" s="1380" t="s">
        <v>1404</v>
      </c>
      <c r="K6" s="1458" t="s">
        <v>2124</v>
      </c>
      <c r="L6" s="1459" t="s">
        <v>37</v>
      </c>
      <c r="M6" s="1460" t="s">
        <v>2125</v>
      </c>
      <c r="N6" s="1459" t="s">
        <v>1320</v>
      </c>
      <c r="O6" s="1461" t="s">
        <v>2126</v>
      </c>
    </row>
    <row r="7" spans="2:15">
      <c r="B7" s="1381">
        <v>32629</v>
      </c>
      <c r="C7" s="1382">
        <v>2.5789999999999999E-5</v>
      </c>
      <c r="D7" s="1382">
        <v>3.4132578959999998E-4</v>
      </c>
      <c r="E7" s="1382">
        <v>0</v>
      </c>
      <c r="F7" s="1382">
        <v>1</v>
      </c>
      <c r="K7" s="1462">
        <v>42064</v>
      </c>
      <c r="L7" s="1463"/>
      <c r="M7" s="1464">
        <v>0</v>
      </c>
      <c r="N7" s="1465">
        <v>1</v>
      </c>
      <c r="O7" s="1465">
        <v>1</v>
      </c>
    </row>
    <row r="8" spans="2:15">
      <c r="B8" s="1381">
        <v>32660</v>
      </c>
      <c r="C8" s="1382">
        <v>3.0859999999999999E-5</v>
      </c>
      <c r="D8" s="1382">
        <v>4.3911559890000003E-4</v>
      </c>
      <c r="E8" s="1382">
        <v>0</v>
      </c>
      <c r="F8" s="1382">
        <v>1</v>
      </c>
      <c r="G8" s="10"/>
      <c r="K8" s="1462">
        <v>42065</v>
      </c>
      <c r="L8" s="1463" t="s">
        <v>2127</v>
      </c>
      <c r="M8" s="1464">
        <v>4.5512999999999998E-2</v>
      </c>
      <c r="N8" s="1465">
        <v>1.00045513</v>
      </c>
      <c r="O8" s="1465">
        <v>1.00045513</v>
      </c>
    </row>
    <row r="9" spans="2:15">
      <c r="B9" s="1381">
        <v>32690</v>
      </c>
      <c r="C9" s="1382">
        <v>4.1940000000000002E-5</v>
      </c>
      <c r="D9" s="1382">
        <v>5.6092617030000002E-4</v>
      </c>
      <c r="E9" s="1382">
        <v>0</v>
      </c>
      <c r="F9" s="1382">
        <v>1</v>
      </c>
      <c r="K9" s="1462">
        <v>42066</v>
      </c>
      <c r="L9" s="1463" t="s">
        <v>2127</v>
      </c>
      <c r="M9" s="1464">
        <v>4.5512999999999998E-2</v>
      </c>
      <c r="N9" s="1465">
        <v>1.0009104671433169</v>
      </c>
      <c r="O9" s="1465">
        <v>1.0009104671433169</v>
      </c>
    </row>
    <row r="10" spans="2:15">
      <c r="B10" s="1381">
        <v>32721</v>
      </c>
      <c r="C10" s="1382">
        <v>5.7429999999999997E-5</v>
      </c>
      <c r="D10" s="1382">
        <v>7.5001448160000002E-4</v>
      </c>
      <c r="E10" s="1382">
        <v>0</v>
      </c>
      <c r="F10" s="1382">
        <v>1</v>
      </c>
      <c r="K10" s="1462">
        <v>42067</v>
      </c>
      <c r="L10" s="1463" t="s">
        <v>2127</v>
      </c>
      <c r="M10" s="1464">
        <v>4.5512999999999998E-2</v>
      </c>
      <c r="N10" s="1465">
        <v>1.0013660115242278</v>
      </c>
      <c r="O10" s="1465">
        <v>1.0013660115242278</v>
      </c>
    </row>
    <row r="11" spans="2:15">
      <c r="B11" s="1381">
        <v>32752</v>
      </c>
      <c r="C11" s="1382">
        <v>8.0350000000000001E-5</v>
      </c>
      <c r="D11" s="1382">
        <v>1.031719911E-3</v>
      </c>
      <c r="E11" s="1382">
        <v>0</v>
      </c>
      <c r="F11" s="1382">
        <v>1</v>
      </c>
      <c r="K11" s="1462">
        <v>42068</v>
      </c>
      <c r="L11" s="1463" t="s">
        <v>2127</v>
      </c>
      <c r="M11" s="1464">
        <v>4.7279000000000002E-2</v>
      </c>
      <c r="N11" s="1465">
        <v>1.0018394473608161</v>
      </c>
      <c r="O11" s="1465">
        <v>1.0018394473608161</v>
      </c>
    </row>
    <row r="12" spans="2:15">
      <c r="B12" s="1381">
        <v>32782</v>
      </c>
      <c r="C12" s="1382">
        <v>1.13E-4</v>
      </c>
      <c r="D12" s="1382">
        <v>1.4420348808E-3</v>
      </c>
      <c r="E12" s="1382">
        <v>0</v>
      </c>
      <c r="F12" s="1382">
        <v>1</v>
      </c>
      <c r="K12" s="1462">
        <v>42069</v>
      </c>
      <c r="L12" s="1463" t="s">
        <v>2127</v>
      </c>
      <c r="M12" s="1464">
        <v>4.7279000000000002E-2</v>
      </c>
      <c r="N12" s="1465">
        <v>1.0023131070331337</v>
      </c>
      <c r="O12" s="1465">
        <v>1.0023131070331337</v>
      </c>
    </row>
    <row r="13" spans="2:15">
      <c r="B13" s="1381">
        <v>32813</v>
      </c>
      <c r="C13" s="1382">
        <v>1.5873999999999999E-4</v>
      </c>
      <c r="D13" s="1382">
        <v>2.1316159802999999E-3</v>
      </c>
      <c r="E13" s="1382">
        <v>0</v>
      </c>
      <c r="F13" s="1382">
        <v>1</v>
      </c>
      <c r="K13" s="1462">
        <v>42070</v>
      </c>
      <c r="L13" s="1463"/>
      <c r="M13" s="1464">
        <v>0</v>
      </c>
      <c r="N13" s="1465">
        <v>1.0023131070331337</v>
      </c>
      <c r="O13" s="1465">
        <v>1.0023131070331337</v>
      </c>
    </row>
    <row r="14" spans="2:15">
      <c r="B14" s="1381">
        <v>32843</v>
      </c>
      <c r="C14" s="1382">
        <v>2.3356000000000001E-4</v>
      </c>
      <c r="D14" s="1382">
        <v>3.2293981927000001E-3</v>
      </c>
      <c r="E14" s="1382">
        <v>0</v>
      </c>
      <c r="F14" s="1382">
        <v>1</v>
      </c>
      <c r="K14" s="1462">
        <v>42071</v>
      </c>
      <c r="L14" s="1463"/>
      <c r="M14" s="1464">
        <v>0</v>
      </c>
      <c r="N14" s="1465">
        <v>1.0023131070331337</v>
      </c>
      <c r="O14" s="1465">
        <v>1.0023131070331337</v>
      </c>
    </row>
    <row r="15" spans="2:15">
      <c r="B15" s="1381">
        <v>32874</v>
      </c>
      <c r="C15" s="1382">
        <v>3.7711E-4</v>
      </c>
      <c r="D15" s="1382">
        <v>5.4108567453999999E-3</v>
      </c>
      <c r="E15" s="1382">
        <v>0</v>
      </c>
      <c r="F15" s="1382">
        <v>1</v>
      </c>
      <c r="K15" s="1462">
        <v>42072</v>
      </c>
      <c r="L15" s="1463" t="s">
        <v>2127</v>
      </c>
      <c r="M15" s="1464">
        <v>4.7279000000000002E-2</v>
      </c>
      <c r="N15" s="1465">
        <v>1.0027869906470077</v>
      </c>
      <c r="O15" s="1465">
        <v>1.0027869906470077</v>
      </c>
    </row>
    <row r="16" spans="2:15">
      <c r="B16" s="1381">
        <v>32905</v>
      </c>
      <c r="C16" s="1382">
        <v>6.8364999999999995E-4</v>
      </c>
      <c r="D16" s="1382">
        <v>9.5084984832999996E-3</v>
      </c>
      <c r="E16" s="1382">
        <v>0</v>
      </c>
      <c r="F16" s="1382">
        <v>1</v>
      </c>
      <c r="K16" s="1462">
        <v>42073</v>
      </c>
      <c r="L16" s="1463" t="s">
        <v>2127</v>
      </c>
      <c r="M16" s="1464">
        <v>4.7279000000000002E-2</v>
      </c>
      <c r="N16" s="1465">
        <v>1.0032610983083157</v>
      </c>
      <c r="O16" s="1465">
        <v>1.0032610983083157</v>
      </c>
    </row>
    <row r="17" spans="2:15">
      <c r="B17" s="1381">
        <v>32933</v>
      </c>
      <c r="C17" s="1382">
        <v>1.2575500000000001E-3</v>
      </c>
      <c r="D17" s="1382">
        <v>1.7342550351000002E-2</v>
      </c>
      <c r="E17" s="1382">
        <v>0</v>
      </c>
      <c r="F17" s="1382">
        <v>1</v>
      </c>
      <c r="K17" s="1462">
        <v>42074</v>
      </c>
      <c r="L17" s="1463" t="s">
        <v>2127</v>
      </c>
      <c r="M17" s="1464">
        <v>4.7279000000000002E-2</v>
      </c>
      <c r="N17" s="1465">
        <v>1.0037354301229848</v>
      </c>
      <c r="O17" s="1465">
        <v>1.0037354301229848</v>
      </c>
    </row>
    <row r="18" spans="2:15">
      <c r="B18" s="1381">
        <v>32964</v>
      </c>
      <c r="C18" s="1382">
        <v>1.61407E-3</v>
      </c>
      <c r="D18" s="1382">
        <v>2.00341140678E-2</v>
      </c>
      <c r="E18" s="1382">
        <v>0</v>
      </c>
      <c r="F18" s="1382">
        <v>1</v>
      </c>
      <c r="K18" s="1462">
        <v>42075</v>
      </c>
      <c r="L18" s="1463" t="s">
        <v>2127</v>
      </c>
      <c r="M18" s="1464">
        <v>4.7279000000000002E-2</v>
      </c>
      <c r="N18" s="1465">
        <v>1.0042099861969926</v>
      </c>
      <c r="O18" s="1465">
        <v>1.0042099861969926</v>
      </c>
    </row>
    <row r="19" spans="2:15">
      <c r="B19" s="1381">
        <v>32994</v>
      </c>
      <c r="C19" s="1382">
        <v>1.70973E-3</v>
      </c>
      <c r="D19" s="1382">
        <v>2.1554703244099999E-2</v>
      </c>
      <c r="E19" s="1382">
        <v>0</v>
      </c>
      <c r="F19" s="1382">
        <v>1</v>
      </c>
      <c r="K19" s="1462">
        <v>42076</v>
      </c>
      <c r="L19" s="1463" t="s">
        <v>2127</v>
      </c>
      <c r="M19" s="1464">
        <v>4.7279000000000002E-2</v>
      </c>
      <c r="N19" s="1465">
        <v>1.0046847666363665</v>
      </c>
      <c r="O19" s="1465">
        <v>1.0046847666363665</v>
      </c>
    </row>
    <row r="20" spans="2:15">
      <c r="B20" s="1381">
        <v>33025</v>
      </c>
      <c r="C20" s="1382">
        <v>1.87962E-3</v>
      </c>
      <c r="D20" s="1382">
        <v>2.4087380951899998E-2</v>
      </c>
      <c r="E20" s="1382">
        <v>0</v>
      </c>
      <c r="F20" s="1382">
        <v>1</v>
      </c>
      <c r="K20" s="1462">
        <v>42077</v>
      </c>
      <c r="L20" s="1463"/>
      <c r="M20" s="1464">
        <v>0</v>
      </c>
      <c r="N20" s="1465">
        <v>1.0046847666363665</v>
      </c>
      <c r="O20" s="1465">
        <v>1.0046847666363665</v>
      </c>
    </row>
    <row r="21" spans="2:15">
      <c r="B21" s="1381">
        <v>33055</v>
      </c>
      <c r="C21" s="1382">
        <v>2.10539E-3</v>
      </c>
      <c r="D21" s="1382">
        <v>2.7199470492E-2</v>
      </c>
      <c r="E21" s="1382">
        <v>0</v>
      </c>
      <c r="F21" s="1382">
        <v>1</v>
      </c>
      <c r="K21" s="1462">
        <v>42078</v>
      </c>
      <c r="L21" s="1463"/>
      <c r="M21" s="1464">
        <v>0</v>
      </c>
      <c r="N21" s="1465">
        <v>1.0046847666363665</v>
      </c>
      <c r="O21" s="1465">
        <v>1.0046847666363665</v>
      </c>
    </row>
    <row r="22" spans="2:15">
      <c r="B22" s="1381">
        <v>33086</v>
      </c>
      <c r="C22" s="1382">
        <v>2.39215E-3</v>
      </c>
      <c r="D22" s="1382">
        <v>3.0702762318699998E-2</v>
      </c>
      <c r="E22" s="1382">
        <v>0</v>
      </c>
      <c r="F22" s="1382">
        <v>1</v>
      </c>
      <c r="K22" s="1462">
        <v>42079</v>
      </c>
      <c r="L22" s="1463" t="s">
        <v>2127</v>
      </c>
      <c r="M22" s="1464">
        <v>4.7279000000000002E-2</v>
      </c>
      <c r="N22" s="1465">
        <v>1.0051597715471845</v>
      </c>
      <c r="O22" s="1465">
        <v>1.0051597715471845</v>
      </c>
    </row>
    <row r="23" spans="2:15">
      <c r="B23" s="1381">
        <v>33117</v>
      </c>
      <c r="C23" s="1382">
        <v>2.6984000000000001E-3</v>
      </c>
      <c r="D23" s="1382">
        <v>3.51270304097E-2</v>
      </c>
      <c r="E23" s="1382">
        <v>0</v>
      </c>
      <c r="F23" s="1382">
        <v>1</v>
      </c>
      <c r="K23" s="1462">
        <v>42080</v>
      </c>
      <c r="L23" s="1463" t="s">
        <v>2127</v>
      </c>
      <c r="M23" s="1464">
        <v>4.7279000000000002E-2</v>
      </c>
      <c r="N23" s="1465">
        <v>1.0056350010355741</v>
      </c>
      <c r="O23" s="1465">
        <v>1.0056350010355741</v>
      </c>
    </row>
    <row r="24" spans="2:15">
      <c r="B24" s="1381">
        <v>33147</v>
      </c>
      <c r="C24" s="1382">
        <v>3.0483699999999999E-3</v>
      </c>
      <c r="D24" s="1382">
        <v>4.0171272055300002E-2</v>
      </c>
      <c r="E24" s="1382">
        <v>0</v>
      </c>
      <c r="F24" s="1382">
        <v>1</v>
      </c>
      <c r="K24" s="1462">
        <v>42081</v>
      </c>
      <c r="L24" s="1463" t="s">
        <v>2127</v>
      </c>
      <c r="M24" s="1464">
        <v>4.7279000000000002E-2</v>
      </c>
      <c r="N24" s="1465">
        <v>1.0061104552077136</v>
      </c>
      <c r="O24" s="1465">
        <v>1.0061104552077136</v>
      </c>
    </row>
    <row r="25" spans="2:15">
      <c r="B25" s="1381">
        <v>33178</v>
      </c>
      <c r="C25" s="1382">
        <v>3.5622900000000001E-3</v>
      </c>
      <c r="D25" s="1382">
        <v>4.6924062784199999E-2</v>
      </c>
      <c r="E25" s="1382">
        <v>0</v>
      </c>
      <c r="F25" s="1382">
        <v>1</v>
      </c>
      <c r="K25" s="1462">
        <v>42082</v>
      </c>
      <c r="L25" s="1463" t="s">
        <v>2127</v>
      </c>
      <c r="M25" s="1464">
        <v>4.7279000000000002E-2</v>
      </c>
      <c r="N25" s="1465">
        <v>1.0065861341698312</v>
      </c>
      <c r="O25" s="1465">
        <v>1.0065861341698312</v>
      </c>
    </row>
    <row r="26" spans="2:15">
      <c r="B26" s="1381">
        <v>33208</v>
      </c>
      <c r="C26" s="1382">
        <v>4.2034799999999999E-3</v>
      </c>
      <c r="D26" s="1382">
        <v>5.5576860018600002E-2</v>
      </c>
      <c r="E26" s="1382">
        <v>0</v>
      </c>
      <c r="F26" s="1382">
        <v>1</v>
      </c>
      <c r="K26" s="1462">
        <v>42083</v>
      </c>
      <c r="L26" s="1463" t="s">
        <v>2127</v>
      </c>
      <c r="M26" s="1464">
        <v>4.7279000000000002E-2</v>
      </c>
      <c r="N26" s="1465">
        <v>1.0070620380282054</v>
      </c>
      <c r="O26" s="1465">
        <v>1.0070620380282054</v>
      </c>
    </row>
    <row r="27" spans="2:15">
      <c r="B27" s="1381">
        <v>33239</v>
      </c>
      <c r="C27" s="1382">
        <v>4.9475200000000004E-3</v>
      </c>
      <c r="D27" s="1382">
        <v>6.7109058472399993E-2</v>
      </c>
      <c r="E27" s="1382">
        <v>0</v>
      </c>
      <c r="F27" s="1382">
        <v>1</v>
      </c>
      <c r="K27" s="1462">
        <v>42084</v>
      </c>
      <c r="L27" s="1463"/>
      <c r="M27" s="1464">
        <v>0</v>
      </c>
      <c r="N27" s="1465">
        <v>1.0070620380282054</v>
      </c>
      <c r="O27" s="1465">
        <v>1.0070620380282054</v>
      </c>
    </row>
    <row r="28" spans="2:15">
      <c r="B28" s="1381">
        <v>33270</v>
      </c>
      <c r="C28" s="1382">
        <v>5.9873900000000004E-3</v>
      </c>
      <c r="D28" s="1382">
        <v>8.1014388849100005E-2</v>
      </c>
      <c r="E28" s="1382">
        <v>0</v>
      </c>
      <c r="F28" s="1382">
        <v>1</v>
      </c>
      <c r="K28" s="1462">
        <v>42085</v>
      </c>
      <c r="L28" s="1463"/>
      <c r="M28" s="1464">
        <v>0</v>
      </c>
      <c r="N28" s="1465">
        <v>1.0070620380282054</v>
      </c>
      <c r="O28" s="1465">
        <v>1.0070620380282054</v>
      </c>
    </row>
    <row r="29" spans="2:15">
      <c r="B29" s="1381">
        <v>33298</v>
      </c>
      <c r="C29" s="1382">
        <v>6.5374099999999996E-3</v>
      </c>
      <c r="D29" s="1382">
        <v>9.0673647120300002E-2</v>
      </c>
      <c r="E29" s="1382">
        <v>0</v>
      </c>
      <c r="F29" s="1382">
        <v>1</v>
      </c>
      <c r="K29" s="1462">
        <v>42086</v>
      </c>
      <c r="L29" s="1463" t="s">
        <v>2127</v>
      </c>
      <c r="M29" s="1464">
        <v>4.7279000000000002E-2</v>
      </c>
      <c r="N29" s="1465">
        <v>1.0075381668891645</v>
      </c>
      <c r="O29" s="1465">
        <v>1.0075381668891645</v>
      </c>
    </row>
    <row r="30" spans="2:15">
      <c r="B30" s="1381">
        <v>33329</v>
      </c>
      <c r="C30" s="1382">
        <v>7.0477600000000001E-3</v>
      </c>
      <c r="D30" s="1382">
        <v>9.5197603525800006E-2</v>
      </c>
      <c r="E30" s="1382">
        <v>0</v>
      </c>
      <c r="F30" s="1382">
        <v>1</v>
      </c>
      <c r="K30" s="1462">
        <v>42087</v>
      </c>
      <c r="L30" s="1463" t="s">
        <v>2127</v>
      </c>
      <c r="M30" s="1464">
        <v>4.7279000000000002E-2</v>
      </c>
      <c r="N30" s="1465">
        <v>1.008014520859088</v>
      </c>
      <c r="O30" s="1465">
        <v>1.008014520859088</v>
      </c>
    </row>
    <row r="31" spans="2:15">
      <c r="B31" s="1381">
        <v>33359</v>
      </c>
      <c r="C31" s="1382">
        <v>7.57502E-3</v>
      </c>
      <c r="D31" s="1382">
        <v>0.10227253780620001</v>
      </c>
      <c r="E31" s="1382">
        <v>0</v>
      </c>
      <c r="F31" s="1382">
        <v>1</v>
      </c>
      <c r="K31" s="1462">
        <v>42088</v>
      </c>
      <c r="L31" s="1463" t="s">
        <v>2127</v>
      </c>
      <c r="M31" s="1464">
        <v>4.7279000000000002E-2</v>
      </c>
      <c r="N31" s="1465">
        <v>1.008491100044405</v>
      </c>
      <c r="O31" s="1465">
        <v>1.008491100044405</v>
      </c>
    </row>
    <row r="32" spans="2:15">
      <c r="B32" s="1381">
        <v>33390</v>
      </c>
      <c r="C32" s="1382">
        <v>8.2174099999999996E-3</v>
      </c>
      <c r="D32" s="1382">
        <v>0.113715813284</v>
      </c>
      <c r="E32" s="1382">
        <v>0</v>
      </c>
      <c r="F32" s="1382">
        <v>1</v>
      </c>
      <c r="K32" s="1462">
        <v>42089</v>
      </c>
      <c r="L32" s="1463" t="s">
        <v>2127</v>
      </c>
      <c r="M32" s="1464">
        <v>4.7279000000000002E-2</v>
      </c>
      <c r="N32" s="1465">
        <v>1.0089679045515949</v>
      </c>
      <c r="O32" s="1465">
        <v>1.0089679045515949</v>
      </c>
    </row>
    <row r="33" spans="2:15">
      <c r="B33" s="1381">
        <v>33420</v>
      </c>
      <c r="C33" s="1382">
        <v>9.3037399999999996E-3</v>
      </c>
      <c r="D33" s="1382">
        <v>0.12782677804270001</v>
      </c>
      <c r="E33" s="1382">
        <v>0</v>
      </c>
      <c r="F33" s="1382">
        <v>1</v>
      </c>
      <c r="K33" s="1462">
        <v>42090</v>
      </c>
      <c r="L33" s="1463" t="s">
        <v>2127</v>
      </c>
      <c r="M33" s="1464">
        <v>4.7279000000000002E-2</v>
      </c>
      <c r="N33" s="1465">
        <v>1.0094449344871876</v>
      </c>
      <c r="O33" s="1465">
        <v>1.0094449344871876</v>
      </c>
    </row>
    <row r="34" spans="2:15">
      <c r="B34" s="1381">
        <v>33451</v>
      </c>
      <c r="C34" s="1382">
        <v>1.072268E-2</v>
      </c>
      <c r="D34" s="1382">
        <v>0.14780665921940001</v>
      </c>
      <c r="E34" s="1383">
        <v>0</v>
      </c>
      <c r="F34" s="1383">
        <v>1</v>
      </c>
      <c r="K34" s="1462">
        <v>42091</v>
      </c>
      <c r="L34" s="1463"/>
      <c r="M34" s="1464">
        <v>0</v>
      </c>
      <c r="N34" s="1465">
        <v>1.0094449344871876</v>
      </c>
      <c r="O34" s="1465">
        <v>1.0094449344871876</v>
      </c>
    </row>
    <row r="35" spans="2:15">
      <c r="B35" s="1381">
        <v>33482</v>
      </c>
      <c r="C35" s="1382">
        <v>1.232337E-2</v>
      </c>
      <c r="D35" s="1382">
        <v>0.17090995992909999</v>
      </c>
      <c r="E35" s="1383">
        <v>0</v>
      </c>
      <c r="F35" s="1383">
        <v>1</v>
      </c>
      <c r="K35" s="1462">
        <v>42092</v>
      </c>
      <c r="L35" s="1463"/>
      <c r="M35" s="1464">
        <v>0</v>
      </c>
      <c r="N35" s="1465">
        <v>1.0094449344871876</v>
      </c>
      <c r="O35" s="1465">
        <v>1.0094449344871876</v>
      </c>
    </row>
    <row r="36" spans="2:15">
      <c r="B36" s="1381">
        <v>33512</v>
      </c>
      <c r="C36" s="1382">
        <v>1.5112230000000001E-2</v>
      </c>
      <c r="D36" s="1382">
        <v>0.20548432454660001</v>
      </c>
      <c r="E36" s="1383">
        <v>0</v>
      </c>
      <c r="F36" s="1383">
        <v>1</v>
      </c>
      <c r="K36" s="1462">
        <v>42093</v>
      </c>
      <c r="L36" s="1463" t="s">
        <v>2127</v>
      </c>
      <c r="M36" s="1464">
        <v>4.7279000000000002E-2</v>
      </c>
      <c r="N36" s="1465">
        <v>1.0099221899577637</v>
      </c>
      <c r="O36" s="1465">
        <v>1.0099221899577637</v>
      </c>
    </row>
    <row r="37" spans="2:15">
      <c r="B37" s="1381">
        <v>33543</v>
      </c>
      <c r="C37" s="1382">
        <v>1.8984250000000001E-2</v>
      </c>
      <c r="D37" s="1382">
        <v>0.2572875157699</v>
      </c>
      <c r="E37" s="1383">
        <v>0</v>
      </c>
      <c r="F37" s="1383">
        <v>1</v>
      </c>
      <c r="K37" s="1462">
        <v>42094</v>
      </c>
      <c r="L37" s="1463" t="s">
        <v>2127</v>
      </c>
      <c r="M37" s="1464">
        <v>4.7279000000000002E-2</v>
      </c>
      <c r="N37" s="1465">
        <v>1.0103996710699537</v>
      </c>
      <c r="O37" s="1465">
        <v>1.0103996710699537</v>
      </c>
    </row>
    <row r="38" spans="2:15">
      <c r="B38" s="1381">
        <v>33573</v>
      </c>
      <c r="C38" s="1382">
        <v>2.347107E-2</v>
      </c>
      <c r="D38" s="1382">
        <v>0.31828867732630001</v>
      </c>
      <c r="E38" s="1383">
        <v>0</v>
      </c>
      <c r="F38" s="1383">
        <v>1</v>
      </c>
      <c r="K38" s="1462">
        <v>42095</v>
      </c>
      <c r="L38" s="1463" t="s">
        <v>2127</v>
      </c>
      <c r="M38" s="1464">
        <v>4.7279000000000002E-2</v>
      </c>
      <c r="N38" s="1465">
        <v>1.0108773779304387</v>
      </c>
      <c r="O38" s="1465">
        <v>1.0108773779304387</v>
      </c>
    </row>
    <row r="39" spans="2:15">
      <c r="B39" s="1381">
        <v>33604</v>
      </c>
      <c r="C39" s="1382">
        <v>2.9000140000000001E-2</v>
      </c>
      <c r="D39" s="1382">
        <v>0.40085366056990002</v>
      </c>
      <c r="E39" s="1383">
        <v>0</v>
      </c>
      <c r="F39" s="1383">
        <v>1</v>
      </c>
      <c r="K39" s="1462">
        <v>42096</v>
      </c>
      <c r="L39" s="1463" t="s">
        <v>2127</v>
      </c>
      <c r="M39" s="1464">
        <v>4.7279000000000002E-2</v>
      </c>
      <c r="N39" s="1465">
        <v>1.0113553106459503</v>
      </c>
      <c r="O39" s="1465">
        <v>1.0113553106459503</v>
      </c>
    </row>
    <row r="40" spans="2:15">
      <c r="B40" s="1381">
        <v>33635</v>
      </c>
      <c r="C40" s="1382">
        <v>3.7078809999999997E-2</v>
      </c>
      <c r="D40" s="1382">
        <v>0.49834103072840003</v>
      </c>
      <c r="E40" s="1383">
        <v>0</v>
      </c>
      <c r="F40" s="1383">
        <v>1</v>
      </c>
      <c r="K40" s="1462">
        <v>42097</v>
      </c>
      <c r="L40" s="1463"/>
      <c r="M40" s="1464">
        <v>0</v>
      </c>
      <c r="N40" s="1465">
        <v>1.0113553106459503</v>
      </c>
      <c r="O40" s="1465">
        <v>1.0113553106459503</v>
      </c>
    </row>
    <row r="41" spans="2:15">
      <c r="B41" s="1381">
        <v>33664</v>
      </c>
      <c r="C41" s="1382">
        <v>4.501144E-2</v>
      </c>
      <c r="D41" s="1382">
        <v>0.60498746741809994</v>
      </c>
      <c r="E41" s="1383">
        <v>0</v>
      </c>
      <c r="F41" s="1383">
        <v>1</v>
      </c>
      <c r="K41" s="1462">
        <v>42098</v>
      </c>
      <c r="L41" s="1463"/>
      <c r="M41" s="1464">
        <v>0</v>
      </c>
      <c r="N41" s="1465">
        <v>1.0113553106459503</v>
      </c>
      <c r="O41" s="1465">
        <v>1.0113553106459503</v>
      </c>
    </row>
    <row r="42" spans="2:15">
      <c r="B42" s="1381">
        <v>33695</v>
      </c>
      <c r="C42" s="1382">
        <v>5.3986060000000002E-2</v>
      </c>
      <c r="D42" s="1382">
        <v>0.72556146522830001</v>
      </c>
      <c r="E42" s="1383">
        <v>0</v>
      </c>
      <c r="F42" s="1383">
        <v>1</v>
      </c>
      <c r="K42" s="1462">
        <v>42099</v>
      </c>
      <c r="L42" s="1463"/>
      <c r="M42" s="1464">
        <v>0</v>
      </c>
      <c r="N42" s="1465">
        <v>1.0113553106459503</v>
      </c>
      <c r="O42" s="1465">
        <v>1.0113553106459503</v>
      </c>
    </row>
    <row r="43" spans="2:15">
      <c r="B43" s="1381">
        <v>33725</v>
      </c>
      <c r="C43" s="1382">
        <v>6.5012799999999996E-2</v>
      </c>
      <c r="D43" s="1382">
        <v>0.90593616441860003</v>
      </c>
      <c r="E43" s="1383">
        <v>0</v>
      </c>
      <c r="F43" s="1383">
        <v>1</v>
      </c>
      <c r="K43" s="1462">
        <v>42100</v>
      </c>
      <c r="L43" s="1463" t="s">
        <v>2127</v>
      </c>
      <c r="M43" s="1464">
        <v>4.7279000000000002E-2</v>
      </c>
      <c r="N43" s="1465">
        <v>1.0118334693232705</v>
      </c>
      <c r="O43" s="1465">
        <v>1.0118334693232705</v>
      </c>
    </row>
    <row r="44" spans="2:15">
      <c r="B44" s="1381">
        <v>33756</v>
      </c>
      <c r="C44" s="1382">
        <v>8.0361459999999996E-2</v>
      </c>
      <c r="D44" s="1382">
        <v>1.0890285720637001</v>
      </c>
      <c r="E44" s="1383">
        <v>0</v>
      </c>
      <c r="F44" s="1383">
        <v>1</v>
      </c>
      <c r="K44" s="1462">
        <v>42101</v>
      </c>
      <c r="L44" s="1463" t="s">
        <v>2127</v>
      </c>
      <c r="M44" s="1464">
        <v>4.7279000000000002E-2</v>
      </c>
      <c r="N44" s="1465">
        <v>1.0123118540692317</v>
      </c>
      <c r="O44" s="1465">
        <v>1.0123118540692317</v>
      </c>
    </row>
    <row r="45" spans="2:15">
      <c r="B45" s="1381">
        <v>33786</v>
      </c>
      <c r="C45" s="1382">
        <v>9.7908469999999997E-2</v>
      </c>
      <c r="D45" s="1382">
        <v>1.3267641484791</v>
      </c>
      <c r="E45" s="1383">
        <v>0</v>
      </c>
      <c r="F45" s="1383">
        <v>1</v>
      </c>
      <c r="K45" s="1462">
        <v>42102</v>
      </c>
      <c r="L45" s="1463" t="s">
        <v>2127</v>
      </c>
      <c r="M45" s="1464">
        <v>4.7279000000000002E-2</v>
      </c>
      <c r="N45" s="1465">
        <v>1.0127904649907171</v>
      </c>
      <c r="O45" s="1465">
        <v>1.0127904649907171</v>
      </c>
    </row>
    <row r="46" spans="2:15">
      <c r="B46" s="1381">
        <v>33817</v>
      </c>
      <c r="C46" s="1382">
        <v>0.12202180999999999</v>
      </c>
      <c r="D46" s="1382">
        <v>1.6205100844213001</v>
      </c>
      <c r="E46" s="1383">
        <v>0</v>
      </c>
      <c r="F46" s="1383">
        <v>1</v>
      </c>
      <c r="K46" s="1462">
        <v>42103</v>
      </c>
      <c r="L46" s="1463" t="s">
        <v>2127</v>
      </c>
      <c r="M46" s="1464">
        <v>4.7279000000000002E-2</v>
      </c>
      <c r="N46" s="1465">
        <v>1.0132693021946599</v>
      </c>
      <c r="O46" s="1465">
        <v>1.0132693021946599</v>
      </c>
    </row>
    <row r="47" spans="2:15">
      <c r="B47" s="1381">
        <v>33848</v>
      </c>
      <c r="C47" s="1382">
        <v>0.15285811999999999</v>
      </c>
      <c r="D47" s="1382">
        <v>2.0196408623306001</v>
      </c>
      <c r="E47" s="1383">
        <v>0</v>
      </c>
      <c r="F47" s="1383">
        <v>1</v>
      </c>
      <c r="K47" s="1462">
        <v>42104</v>
      </c>
      <c r="L47" s="1463" t="s">
        <v>2127</v>
      </c>
      <c r="M47" s="1464">
        <v>4.7279000000000002E-2</v>
      </c>
      <c r="N47" s="1465">
        <v>1.0137483657880444</v>
      </c>
      <c r="O47" s="1465">
        <v>1.0137483657880444</v>
      </c>
    </row>
    <row r="48" spans="2:15">
      <c r="B48" s="1381">
        <v>33878</v>
      </c>
      <c r="C48" s="1382">
        <v>0.19376498</v>
      </c>
      <c r="D48" s="1382">
        <v>2.5293973801068002</v>
      </c>
      <c r="E48" s="1383">
        <v>0</v>
      </c>
      <c r="F48" s="1383">
        <v>1</v>
      </c>
      <c r="K48" s="1462">
        <v>42105</v>
      </c>
      <c r="L48" s="1463"/>
      <c r="M48" s="1464">
        <v>0</v>
      </c>
      <c r="N48" s="1465">
        <v>1.0137483657880444</v>
      </c>
      <c r="O48" s="1465">
        <v>1.0137483657880444</v>
      </c>
    </row>
    <row r="49" spans="2:15">
      <c r="B49" s="1381">
        <v>33909</v>
      </c>
      <c r="C49" s="1382">
        <v>0.23916162999999999</v>
      </c>
      <c r="D49" s="1382">
        <v>3.0982598885127999</v>
      </c>
      <c r="E49" s="1383">
        <v>0</v>
      </c>
      <c r="F49" s="1383">
        <v>1</v>
      </c>
      <c r="K49" s="1462">
        <v>42106</v>
      </c>
      <c r="L49" s="1463"/>
      <c r="M49" s="1464">
        <v>0</v>
      </c>
      <c r="N49" s="1465">
        <v>1.0137483657880444</v>
      </c>
      <c r="O49" s="1465">
        <v>1.0137483657880444</v>
      </c>
    </row>
    <row r="50" spans="2:15">
      <c r="B50" s="1381">
        <v>33939</v>
      </c>
      <c r="C50" s="1382">
        <v>0.29913278999999998</v>
      </c>
      <c r="D50" s="1382">
        <v>3.8802596550900001</v>
      </c>
      <c r="E50" s="1383">
        <v>0</v>
      </c>
      <c r="F50" s="1383">
        <v>1</v>
      </c>
      <c r="K50" s="1462">
        <v>42107</v>
      </c>
      <c r="L50" s="1463" t="s">
        <v>2127</v>
      </c>
      <c r="M50" s="1464">
        <v>4.7279000000000002E-2</v>
      </c>
      <c r="N50" s="1465">
        <v>1.0142276558779053</v>
      </c>
      <c r="O50" s="1465">
        <v>1.0142276558779053</v>
      </c>
    </row>
    <row r="51" spans="2:15">
      <c r="B51" s="1381">
        <v>33970</v>
      </c>
      <c r="C51" s="1382">
        <v>0.37638683000000001</v>
      </c>
      <c r="D51" s="1382">
        <v>5.0579166458253004</v>
      </c>
      <c r="E51" s="1383">
        <v>0</v>
      </c>
      <c r="F51" s="1383">
        <v>1</v>
      </c>
      <c r="K51" s="1462">
        <v>42108</v>
      </c>
      <c r="L51" s="1463" t="s">
        <v>2127</v>
      </c>
      <c r="M51" s="1464">
        <v>4.7279000000000002E-2</v>
      </c>
      <c r="N51" s="1465">
        <v>1.0147071725713277</v>
      </c>
      <c r="O51" s="1465">
        <v>1.0147071725713277</v>
      </c>
    </row>
    <row r="52" spans="2:15">
      <c r="B52" s="1381">
        <v>34001</v>
      </c>
      <c r="C52" s="1382">
        <v>0.48335073000000001</v>
      </c>
      <c r="D52" s="1382">
        <v>6.3213843084293</v>
      </c>
      <c r="E52" s="1383">
        <v>0</v>
      </c>
      <c r="F52" s="1383">
        <v>1</v>
      </c>
      <c r="K52" s="1462">
        <v>42109</v>
      </c>
      <c r="L52" s="1463" t="s">
        <v>2127</v>
      </c>
      <c r="M52" s="1464">
        <v>4.7279000000000002E-2</v>
      </c>
      <c r="N52" s="1465">
        <v>1.0151869159754476</v>
      </c>
      <c r="O52" s="1465">
        <v>1.0151869159754476</v>
      </c>
    </row>
    <row r="53" spans="2:15">
      <c r="B53" s="1381">
        <v>34029</v>
      </c>
      <c r="C53" s="1382">
        <v>0.61023090000000002</v>
      </c>
      <c r="D53" s="1382">
        <v>8.0445948724788998</v>
      </c>
      <c r="E53" s="1383">
        <v>0</v>
      </c>
      <c r="F53" s="1383">
        <v>1</v>
      </c>
      <c r="K53" s="1462">
        <v>42110</v>
      </c>
      <c r="L53" s="1463" t="s">
        <v>2127</v>
      </c>
      <c r="M53" s="1464">
        <v>4.7279000000000002E-2</v>
      </c>
      <c r="N53" s="1465">
        <v>1.0156668861974516</v>
      </c>
      <c r="O53" s="1465">
        <v>1.0156668861974516</v>
      </c>
    </row>
    <row r="54" spans="2:15">
      <c r="B54" s="1381">
        <v>34060</v>
      </c>
      <c r="C54" s="1382">
        <v>0.78617482000000005</v>
      </c>
      <c r="D54" s="1382">
        <v>10.2769672819025</v>
      </c>
      <c r="E54" s="1383">
        <v>0</v>
      </c>
      <c r="F54" s="1383">
        <v>1</v>
      </c>
      <c r="K54" s="1462">
        <v>42111</v>
      </c>
      <c r="L54" s="1463" t="s">
        <v>2127</v>
      </c>
      <c r="M54" s="1464">
        <v>4.7279000000000002E-2</v>
      </c>
      <c r="N54" s="1465">
        <v>1.0161470833445767</v>
      </c>
      <c r="O54" s="1465">
        <v>1.0161470833445767</v>
      </c>
    </row>
    <row r="55" spans="2:15">
      <c r="B55" s="1381">
        <v>34090</v>
      </c>
      <c r="C55" s="1382">
        <v>1.01968087</v>
      </c>
      <c r="D55" s="1382">
        <v>13.1226581300609</v>
      </c>
      <c r="E55" s="1383">
        <v>0</v>
      </c>
      <c r="F55" s="1383">
        <v>1</v>
      </c>
      <c r="K55" s="1462">
        <v>42112</v>
      </c>
      <c r="L55" s="1463"/>
      <c r="M55" s="1464">
        <v>0</v>
      </c>
      <c r="N55" s="1465">
        <v>1.0161470833445767</v>
      </c>
      <c r="O55" s="1465">
        <v>1.0161470833445767</v>
      </c>
    </row>
    <row r="56" spans="2:15">
      <c r="B56" s="1381">
        <v>34121</v>
      </c>
      <c r="C56" s="1382">
        <v>1.3408208699999999</v>
      </c>
      <c r="D56" s="1382">
        <v>17.068642979808899</v>
      </c>
      <c r="E56" s="1383">
        <v>0</v>
      </c>
      <c r="F56" s="1383">
        <v>1</v>
      </c>
      <c r="K56" s="1462">
        <v>42113</v>
      </c>
      <c r="L56" s="1463"/>
      <c r="M56" s="1464">
        <v>0</v>
      </c>
      <c r="N56" s="1465">
        <v>1.0161470833445767</v>
      </c>
      <c r="O56" s="1465">
        <v>1.0161470833445767</v>
      </c>
    </row>
    <row r="57" spans="2:15">
      <c r="B57" s="1381">
        <v>34151</v>
      </c>
      <c r="C57" s="1382">
        <v>1.75984608</v>
      </c>
      <c r="D57" s="1382">
        <v>22.312130761236201</v>
      </c>
      <c r="E57" s="1383">
        <v>0</v>
      </c>
      <c r="F57" s="1383">
        <v>1</v>
      </c>
      <c r="K57" s="1462">
        <v>42114</v>
      </c>
      <c r="L57" s="1463" t="s">
        <v>2127</v>
      </c>
      <c r="M57" s="1464">
        <v>4.7279000000000002E-2</v>
      </c>
      <c r="N57" s="1465">
        <v>1.0166275075241111</v>
      </c>
      <c r="O57" s="1465">
        <v>1.0166275075241111</v>
      </c>
    </row>
    <row r="58" spans="2:15">
      <c r="B58" s="1381">
        <v>34182</v>
      </c>
      <c r="C58" s="1382">
        <v>2.31923637</v>
      </c>
      <c r="D58" s="1382">
        <v>29.666210936414501</v>
      </c>
      <c r="E58" s="1383">
        <v>0</v>
      </c>
      <c r="F58" s="1383">
        <v>1</v>
      </c>
      <c r="K58" s="1462">
        <v>42115</v>
      </c>
      <c r="L58" s="1463"/>
      <c r="M58" s="1464">
        <v>0</v>
      </c>
      <c r="N58" s="1465">
        <v>1.0166275075241111</v>
      </c>
      <c r="O58" s="1465">
        <v>1.0166275075241111</v>
      </c>
    </row>
    <row r="59" spans="2:15">
      <c r="B59" s="1381">
        <v>34213</v>
      </c>
      <c r="C59" s="1382">
        <v>3.1375231000000001</v>
      </c>
      <c r="D59" s="1382">
        <v>40.254080730946797</v>
      </c>
      <c r="E59" s="1383">
        <v>0</v>
      </c>
      <c r="F59" s="1383">
        <v>1</v>
      </c>
      <c r="K59" s="1462">
        <v>42116</v>
      </c>
      <c r="L59" s="1463" t="s">
        <v>2127</v>
      </c>
      <c r="M59" s="1464">
        <v>4.7279000000000002E-2</v>
      </c>
      <c r="N59" s="1465">
        <v>1.0171081588433935</v>
      </c>
      <c r="O59" s="1465">
        <v>1.0171081588433935</v>
      </c>
    </row>
    <row r="60" spans="2:15">
      <c r="B60" s="1381">
        <v>34243</v>
      </c>
      <c r="C60" s="1382">
        <v>4.2367972299999996</v>
      </c>
      <c r="D60" s="1382">
        <v>53.908264834853298</v>
      </c>
      <c r="E60" s="1383">
        <v>0</v>
      </c>
      <c r="F60" s="1383">
        <v>1</v>
      </c>
      <c r="K60" s="1462">
        <v>42117</v>
      </c>
      <c r="L60" s="1463" t="s">
        <v>2127</v>
      </c>
      <c r="M60" s="1464">
        <v>4.7279000000000002E-2</v>
      </c>
      <c r="N60" s="1465">
        <v>1.0175890374098129</v>
      </c>
      <c r="O60" s="1465">
        <v>1.0175890374098129</v>
      </c>
    </row>
    <row r="61" spans="2:15">
      <c r="B61" s="1381">
        <v>34274</v>
      </c>
      <c r="C61" s="1382">
        <v>5.7685216500000003</v>
      </c>
      <c r="D61" s="1382">
        <v>73.078046584524003</v>
      </c>
      <c r="E61" s="1383">
        <v>0</v>
      </c>
      <c r="F61" s="1383">
        <v>1</v>
      </c>
      <c r="K61" s="1462">
        <v>42118</v>
      </c>
      <c r="L61" s="1463" t="s">
        <v>2127</v>
      </c>
      <c r="M61" s="1464">
        <v>4.7279000000000002E-2</v>
      </c>
      <c r="N61" s="1465">
        <v>1.0180701433308097</v>
      </c>
      <c r="O61" s="1465">
        <v>1.0180701433308097</v>
      </c>
    </row>
    <row r="62" spans="2:15">
      <c r="B62" s="1381">
        <v>34304</v>
      </c>
      <c r="C62" s="1382">
        <v>7.9792505900000004</v>
      </c>
      <c r="D62" s="1382">
        <v>100</v>
      </c>
      <c r="E62" s="1383">
        <v>0</v>
      </c>
      <c r="F62" s="1383">
        <v>1</v>
      </c>
      <c r="K62" s="1462">
        <v>42119</v>
      </c>
      <c r="L62" s="1463"/>
      <c r="M62" s="1464">
        <v>0</v>
      </c>
      <c r="N62" s="1465">
        <v>1.0180701433308097</v>
      </c>
      <c r="O62" s="1465">
        <v>1.0180701433308097</v>
      </c>
    </row>
    <row r="63" spans="2:15">
      <c r="B63" s="1381">
        <v>34335</v>
      </c>
      <c r="C63" s="1382">
        <v>11.0967647</v>
      </c>
      <c r="D63" s="1382">
        <v>141.31</v>
      </c>
      <c r="E63" s="1383">
        <v>0</v>
      </c>
      <c r="F63" s="1383">
        <v>1</v>
      </c>
      <c r="K63" s="1462">
        <v>42120</v>
      </c>
      <c r="L63" s="1463"/>
      <c r="M63" s="1464">
        <v>0</v>
      </c>
      <c r="N63" s="1465">
        <v>1.0180701433308097</v>
      </c>
      <c r="O63" s="1465">
        <v>1.0180701433308097</v>
      </c>
    </row>
    <row r="64" spans="2:15">
      <c r="B64" s="1381">
        <v>34366</v>
      </c>
      <c r="C64" s="1382">
        <v>15.62186911</v>
      </c>
      <c r="D64" s="1382">
        <v>198.22</v>
      </c>
      <c r="E64" s="1383">
        <v>0</v>
      </c>
      <c r="F64" s="1383">
        <v>1</v>
      </c>
      <c r="K64" s="1462">
        <v>42121</v>
      </c>
      <c r="L64" s="1463" t="s">
        <v>2127</v>
      </c>
      <c r="M64" s="1464">
        <v>4.7314000000000002E-2</v>
      </c>
      <c r="N64" s="1465">
        <v>1.0185518330384251</v>
      </c>
      <c r="O64" s="1465">
        <v>1.0185518330384251</v>
      </c>
    </row>
    <row r="65" spans="2:15">
      <c r="B65" s="1381">
        <v>34394</v>
      </c>
      <c r="C65" s="1382">
        <v>22.762782099999999</v>
      </c>
      <c r="D65" s="1382">
        <v>282.95999999999998</v>
      </c>
      <c r="E65" s="1383">
        <v>0</v>
      </c>
      <c r="F65" s="1383">
        <v>1</v>
      </c>
      <c r="K65" s="1462">
        <v>42122</v>
      </c>
      <c r="L65" s="1463" t="s">
        <v>2127</v>
      </c>
      <c r="M65" s="1464">
        <v>4.7350000000000003E-2</v>
      </c>
      <c r="N65" s="1465">
        <v>1.0190341173313688</v>
      </c>
      <c r="O65" s="1465">
        <v>1.0190341173313688</v>
      </c>
    </row>
    <row r="66" spans="2:15">
      <c r="B66" s="1381">
        <v>34425</v>
      </c>
      <c r="C66" s="1382">
        <v>32.074938510000003</v>
      </c>
      <c r="D66" s="1382">
        <v>403.73</v>
      </c>
      <c r="E66" s="1383">
        <v>0</v>
      </c>
      <c r="F66" s="1383">
        <v>1</v>
      </c>
      <c r="K66" s="1462">
        <v>42123</v>
      </c>
      <c r="L66" s="1463" t="s">
        <v>2127</v>
      </c>
      <c r="M66" s="1464">
        <v>4.7350000000000003E-2</v>
      </c>
      <c r="N66" s="1465">
        <v>1.0195166299859253</v>
      </c>
      <c r="O66" s="1465">
        <v>1.0195166299859253</v>
      </c>
    </row>
    <row r="67" spans="2:15">
      <c r="B67" s="1381">
        <v>34455</v>
      </c>
      <c r="C67" s="1382">
        <v>45.731576959999998</v>
      </c>
      <c r="D67" s="1382">
        <v>581.49</v>
      </c>
      <c r="E67" s="1383">
        <v>0</v>
      </c>
      <c r="F67" s="1383">
        <v>1</v>
      </c>
      <c r="K67" s="1462">
        <v>42124</v>
      </c>
      <c r="L67" s="1463" t="s">
        <v>2127</v>
      </c>
      <c r="M67" s="1464">
        <v>4.9036999999999997E-2</v>
      </c>
      <c r="N67" s="1465">
        <v>1.0200165703557715</v>
      </c>
      <c r="O67" s="1465">
        <v>1.0200165703557715</v>
      </c>
    </row>
    <row r="68" spans="2:15">
      <c r="B68" s="1381">
        <v>34486</v>
      </c>
      <c r="C68" s="1382">
        <v>66.408212939999999</v>
      </c>
      <c r="D68" s="1382">
        <v>857.29</v>
      </c>
      <c r="E68" s="1383">
        <v>0</v>
      </c>
      <c r="F68" s="1383">
        <v>1</v>
      </c>
      <c r="K68" s="1462">
        <v>42125</v>
      </c>
      <c r="L68" s="1463"/>
      <c r="M68" s="1464">
        <v>0</v>
      </c>
      <c r="N68" s="1465">
        <v>1.0200165703557715</v>
      </c>
      <c r="O68" s="1465">
        <v>1.0200165703557715</v>
      </c>
    </row>
    <row r="69" spans="2:15">
      <c r="B69" s="1381">
        <v>34516</v>
      </c>
      <c r="C69" s="1382">
        <v>92.968426030000003</v>
      </c>
      <c r="D69" s="1382">
        <v>915.93</v>
      </c>
      <c r="E69" s="1383">
        <v>0</v>
      </c>
      <c r="F69" s="1383">
        <v>1</v>
      </c>
      <c r="K69" s="1462">
        <v>42126</v>
      </c>
      <c r="L69" s="1463"/>
      <c r="M69" s="1464">
        <v>0</v>
      </c>
      <c r="N69" s="1465">
        <v>1.0200165703557715</v>
      </c>
      <c r="O69" s="1465">
        <v>1.0200165703557715</v>
      </c>
    </row>
    <row r="70" spans="2:15">
      <c r="B70" s="1381">
        <v>34547</v>
      </c>
      <c r="C70" s="1382">
        <v>100</v>
      </c>
      <c r="D70" s="1382">
        <v>932.97</v>
      </c>
      <c r="E70" s="1383">
        <v>1.0417031360600404</v>
      </c>
      <c r="F70" s="1383">
        <v>1.0417031360600404</v>
      </c>
      <c r="K70" s="1462">
        <v>42127</v>
      </c>
      <c r="L70" s="1463"/>
      <c r="M70" s="1464">
        <v>0</v>
      </c>
      <c r="N70" s="1465">
        <v>1.0200165703557715</v>
      </c>
      <c r="O70" s="1465">
        <v>1.0200165703557715</v>
      </c>
    </row>
    <row r="71" spans="2:15">
      <c r="B71" s="1381">
        <v>34578</v>
      </c>
      <c r="C71" s="1382">
        <v>101.751</v>
      </c>
      <c r="D71" s="1382">
        <v>947.24</v>
      </c>
      <c r="E71" s="1383">
        <v>1.040191380612066</v>
      </c>
      <c r="F71" s="1383">
        <v>1.0835706232862121</v>
      </c>
      <c r="K71" s="1462">
        <v>42128</v>
      </c>
      <c r="L71" s="1463" t="s">
        <v>2127</v>
      </c>
      <c r="M71" s="1464">
        <v>4.9036999999999997E-2</v>
      </c>
      <c r="N71" s="1465">
        <v>1.020516755881377</v>
      </c>
      <c r="O71" s="1465">
        <v>1.020516755881377</v>
      </c>
    </row>
    <row r="72" spans="2:15">
      <c r="B72" s="1381">
        <v>34608</v>
      </c>
      <c r="C72" s="1382">
        <v>103.602</v>
      </c>
      <c r="D72" s="1382">
        <v>972.06</v>
      </c>
      <c r="E72" s="1383">
        <v>1.0400235119965635</v>
      </c>
      <c r="F72" s="1383">
        <v>1.1269389251264317</v>
      </c>
      <c r="K72" s="1462">
        <v>42129</v>
      </c>
      <c r="L72" s="1463" t="s">
        <v>2127</v>
      </c>
      <c r="M72" s="1464">
        <v>4.9036999999999997E-2</v>
      </c>
      <c r="N72" s="1465">
        <v>1.0210171866829587</v>
      </c>
      <c r="O72" s="1465">
        <v>1.0210171866829587</v>
      </c>
    </row>
    <row r="73" spans="2:15">
      <c r="B73" s="1381">
        <v>34639</v>
      </c>
      <c r="C73" s="1382">
        <v>106.553</v>
      </c>
      <c r="D73" s="1382">
        <v>999.37</v>
      </c>
      <c r="E73" s="1383">
        <v>1.0448704061969656</v>
      </c>
      <c r="F73" s="1383">
        <v>1.1775051324560264</v>
      </c>
      <c r="K73" s="1462">
        <v>42130</v>
      </c>
      <c r="L73" s="1463" t="s">
        <v>2127</v>
      </c>
      <c r="M73" s="1464">
        <v>4.9036999999999997E-2</v>
      </c>
      <c r="N73" s="1465">
        <v>1.0215178628807926</v>
      </c>
      <c r="O73" s="1465">
        <v>1.0215178628807926</v>
      </c>
    </row>
    <row r="74" spans="2:15">
      <c r="B74" s="1381">
        <v>34669</v>
      </c>
      <c r="C74" s="1382">
        <v>107.45</v>
      </c>
      <c r="D74" s="1382">
        <v>1016.46</v>
      </c>
      <c r="E74" s="1383">
        <v>1.0379749903132509</v>
      </c>
      <c r="F74" s="1383">
        <v>1.2222208784548472</v>
      </c>
      <c r="K74" s="1462">
        <v>42131</v>
      </c>
      <c r="L74" s="1463" t="s">
        <v>2127</v>
      </c>
      <c r="M74" s="1464">
        <v>4.9036999999999997E-2</v>
      </c>
      <c r="N74" s="1465">
        <v>1.0220187845952136</v>
      </c>
      <c r="O74" s="1465">
        <v>1.0220187845952136</v>
      </c>
    </row>
    <row r="75" spans="2:15">
      <c r="B75" s="1381">
        <v>34700</v>
      </c>
      <c r="C75" s="1382">
        <v>108.44199999999999</v>
      </c>
      <c r="D75" s="1382">
        <v>1033.74</v>
      </c>
      <c r="E75" s="1383">
        <v>1.033745155557255</v>
      </c>
      <c r="F75" s="1383">
        <v>1.2634649121236308</v>
      </c>
      <c r="K75" s="1462">
        <v>42132</v>
      </c>
      <c r="L75" s="1463" t="s">
        <v>2127</v>
      </c>
      <c r="M75" s="1464">
        <v>4.9036999999999997E-2</v>
      </c>
      <c r="N75" s="1465">
        <v>1.0225199519466155</v>
      </c>
      <c r="O75" s="1465">
        <v>1.0225199519466155</v>
      </c>
    </row>
    <row r="76" spans="2:15">
      <c r="B76" s="1381">
        <v>34731</v>
      </c>
      <c r="C76" s="1382">
        <v>109.9455</v>
      </c>
      <c r="D76" s="1382">
        <v>1044.28</v>
      </c>
      <c r="E76" s="1383">
        <v>1.0361946548110796</v>
      </c>
      <c r="F76" s="1383">
        <v>1.3091955884838566</v>
      </c>
      <c r="K76" s="1462">
        <v>42133</v>
      </c>
      <c r="L76" s="1463"/>
      <c r="M76" s="1464">
        <v>0</v>
      </c>
      <c r="N76" s="1465">
        <v>1.0225199519466155</v>
      </c>
      <c r="O76" s="1465">
        <v>1.0225199519466155</v>
      </c>
    </row>
    <row r="77" spans="2:15">
      <c r="B77" s="1381">
        <v>34759</v>
      </c>
      <c r="C77" s="1382">
        <v>111.178</v>
      </c>
      <c r="D77" s="1382">
        <v>1060.47</v>
      </c>
      <c r="E77" s="1383">
        <v>1.0426211014987152</v>
      </c>
      <c r="F77" s="1383">
        <v>1.3649949465422972</v>
      </c>
      <c r="K77" s="1462">
        <v>42134</v>
      </c>
      <c r="L77" s="1463"/>
      <c r="M77" s="1464">
        <v>0</v>
      </c>
      <c r="N77" s="1465">
        <v>1.0225199519466155</v>
      </c>
      <c r="O77" s="1465">
        <v>1.0225199519466155</v>
      </c>
    </row>
    <row r="78" spans="2:15">
      <c r="B78" s="1381">
        <v>34790</v>
      </c>
      <c r="C78" s="1382">
        <v>113.518</v>
      </c>
      <c r="D78" s="1382">
        <v>1086.24</v>
      </c>
      <c r="E78" s="1383">
        <v>1.0502446731743562</v>
      </c>
      <c r="F78" s="1383">
        <v>1.4335786715159629</v>
      </c>
      <c r="K78" s="1462">
        <v>42135</v>
      </c>
      <c r="L78" s="1463" t="s">
        <v>2127</v>
      </c>
      <c r="M78" s="1464">
        <v>4.9036999999999997E-2</v>
      </c>
      <c r="N78" s="1465">
        <v>1.0230213650554516</v>
      </c>
      <c r="O78" s="1465">
        <v>1.0230213650554516</v>
      </c>
    </row>
    <row r="79" spans="2:15">
      <c r="B79" s="1381">
        <v>34820</v>
      </c>
      <c r="C79" s="1382">
        <v>114.17100000000001</v>
      </c>
      <c r="D79" s="1382">
        <v>1115.24</v>
      </c>
      <c r="E79" s="1383">
        <v>1.0450356278102417</v>
      </c>
      <c r="F79" s="1383">
        <v>1.4981407870030565</v>
      </c>
      <c r="K79" s="1462">
        <v>42136</v>
      </c>
      <c r="L79" s="1463" t="s">
        <v>2127</v>
      </c>
      <c r="M79" s="1464">
        <v>4.9036999999999997E-2</v>
      </c>
      <c r="N79" s="1465">
        <v>1.0235230240422339</v>
      </c>
      <c r="O79" s="1465">
        <v>1.0235230240422339</v>
      </c>
    </row>
    <row r="80" spans="2:15">
      <c r="B80" s="1381">
        <v>34851</v>
      </c>
      <c r="C80" s="1382">
        <v>116.98399999999999</v>
      </c>
      <c r="D80" s="1382">
        <v>1140.44</v>
      </c>
      <c r="E80" s="1383">
        <v>1.0423602226147934</v>
      </c>
      <c r="F80" s="1383">
        <v>1.5616023642488079</v>
      </c>
      <c r="K80" s="1462">
        <v>42137</v>
      </c>
      <c r="L80" s="1463" t="s">
        <v>2127</v>
      </c>
      <c r="M80" s="1464">
        <v>4.9036999999999997E-2</v>
      </c>
      <c r="N80" s="1465">
        <v>1.0240249290275336</v>
      </c>
      <c r="O80" s="1465">
        <v>1.0240249290275336</v>
      </c>
    </row>
    <row r="81" spans="2:15">
      <c r="B81" s="1381">
        <v>34881</v>
      </c>
      <c r="C81" s="1382">
        <v>119.114</v>
      </c>
      <c r="D81" s="1382">
        <v>1167.3499999999999</v>
      </c>
      <c r="E81" s="1383">
        <v>1.0402311780170954</v>
      </c>
      <c r="F81" s="1383">
        <v>1.6244274669568188</v>
      </c>
      <c r="K81" s="1462">
        <v>42138</v>
      </c>
      <c r="L81" s="1463" t="s">
        <v>2127</v>
      </c>
      <c r="M81" s="1464">
        <v>4.9036999999999997E-2</v>
      </c>
      <c r="N81" s="1465">
        <v>1.024527080131981</v>
      </c>
      <c r="O81" s="1465">
        <v>1.024527080131981</v>
      </c>
    </row>
    <row r="82" spans="2:15">
      <c r="B82" s="1381">
        <v>34912</v>
      </c>
      <c r="C82" s="1382">
        <v>121.729</v>
      </c>
      <c r="D82" s="1382">
        <v>1178.9100000000001</v>
      </c>
      <c r="E82" s="1382">
        <v>1.0383979241220025</v>
      </c>
      <c r="F82" s="1382">
        <v>1.6868021095747234</v>
      </c>
      <c r="G82" s="7">
        <v>41036.512291666666</v>
      </c>
      <c r="K82" s="1462">
        <v>42139</v>
      </c>
      <c r="L82" s="1463" t="s">
        <v>2127</v>
      </c>
      <c r="M82" s="1464">
        <v>4.9036999999999997E-2</v>
      </c>
      <c r="N82" s="1465">
        <v>1.0250294774762654</v>
      </c>
      <c r="O82" s="1465">
        <v>1.0250294774762654</v>
      </c>
    </row>
    <row r="83" spans="2:15">
      <c r="B83" s="1381">
        <v>34943</v>
      </c>
      <c r="C83" s="1382">
        <v>120.869</v>
      </c>
      <c r="D83" s="1382">
        <v>1190.58</v>
      </c>
      <c r="E83" s="1382">
        <v>1.0349384575781275</v>
      </c>
      <c r="F83" s="1382">
        <v>1.745736373522796</v>
      </c>
      <c r="K83" s="1462">
        <v>42140</v>
      </c>
      <c r="L83" s="1463"/>
      <c r="M83" s="1464">
        <v>0</v>
      </c>
      <c r="N83" s="1465">
        <v>1.0250294774762654</v>
      </c>
      <c r="O83" s="1465">
        <v>1.0250294774762654</v>
      </c>
    </row>
    <row r="84" spans="2:15">
      <c r="B84" s="1381">
        <v>34973</v>
      </c>
      <c r="C84" s="1382">
        <v>121.503</v>
      </c>
      <c r="D84" s="1382">
        <v>1207.3699999999999</v>
      </c>
      <c r="E84" s="1382">
        <v>1.0324041438440343</v>
      </c>
      <c r="F84" s="1382">
        <v>1.8023054660841915</v>
      </c>
      <c r="K84" s="1462">
        <v>42141</v>
      </c>
      <c r="L84" s="1463"/>
      <c r="M84" s="1464">
        <v>0</v>
      </c>
      <c r="N84" s="1465">
        <v>1.0250294774762654</v>
      </c>
      <c r="O84" s="1465">
        <v>1.0250294774762654</v>
      </c>
    </row>
    <row r="85" spans="2:15">
      <c r="B85" s="1381">
        <v>35004</v>
      </c>
      <c r="C85" s="1382">
        <v>122.955</v>
      </c>
      <c r="D85" s="1382">
        <v>1225.1199999999999</v>
      </c>
      <c r="E85" s="1382">
        <v>1.0316999077357936</v>
      </c>
      <c r="F85" s="1382">
        <v>1.8594383830707768</v>
      </c>
      <c r="K85" s="1462">
        <v>42142</v>
      </c>
      <c r="L85" s="1463" t="s">
        <v>2127</v>
      </c>
      <c r="M85" s="1464">
        <v>4.9036999999999997E-2</v>
      </c>
      <c r="N85" s="1465">
        <v>1.0255321211811355</v>
      </c>
      <c r="O85" s="1465">
        <v>1.0255321211811355</v>
      </c>
    </row>
    <row r="86" spans="2:15">
      <c r="B86" s="1381">
        <v>35034</v>
      </c>
      <c r="C86" s="1382">
        <v>123.833</v>
      </c>
      <c r="D86" s="1382">
        <v>1244.23</v>
      </c>
      <c r="E86" s="1382">
        <v>1.0292086837764389</v>
      </c>
      <c r="F86" s="1382">
        <v>1.913750130803664</v>
      </c>
      <c r="K86" s="1462">
        <v>42143</v>
      </c>
      <c r="L86" s="1463" t="s">
        <v>2127</v>
      </c>
      <c r="M86" s="1464">
        <v>4.9036999999999997E-2</v>
      </c>
      <c r="N86" s="1465">
        <v>1.0260350113673991</v>
      </c>
      <c r="O86" s="1465">
        <v>1.0260350113673991</v>
      </c>
    </row>
    <row r="87" spans="2:15">
      <c r="B87" s="1381">
        <v>35065</v>
      </c>
      <c r="C87" s="1382">
        <v>125.977</v>
      </c>
      <c r="D87" s="1382">
        <v>1260.9000000000001</v>
      </c>
      <c r="E87" s="1382">
        <v>1.0271429062533448</v>
      </c>
      <c r="F87" s="1382">
        <v>1.9656948711963942</v>
      </c>
      <c r="K87" s="1462">
        <v>42144</v>
      </c>
      <c r="L87" s="1463" t="s">
        <v>2127</v>
      </c>
      <c r="M87" s="1464">
        <v>4.9036999999999997E-2</v>
      </c>
      <c r="N87" s="1465">
        <v>1.0265381481559233</v>
      </c>
      <c r="O87" s="1465">
        <v>1.0265381481559233</v>
      </c>
    </row>
    <row r="88" spans="2:15">
      <c r="B88" s="1381">
        <v>35096</v>
      </c>
      <c r="C88" s="1382">
        <v>127.202</v>
      </c>
      <c r="D88" s="1382">
        <v>1273.8900000000001</v>
      </c>
      <c r="E88" s="1382">
        <v>1.026088709032714</v>
      </c>
      <c r="F88" s="1382">
        <v>2.0169773127381352</v>
      </c>
      <c r="K88" s="1462">
        <v>42145</v>
      </c>
      <c r="L88" s="1463" t="s">
        <v>2127</v>
      </c>
      <c r="M88" s="1464">
        <v>4.9036999999999997E-2</v>
      </c>
      <c r="N88" s="1465">
        <v>1.0270415316676345</v>
      </c>
      <c r="O88" s="1465">
        <v>1.0270415316676345</v>
      </c>
    </row>
    <row r="89" spans="2:15">
      <c r="B89" s="1381">
        <v>35125</v>
      </c>
      <c r="C89" s="1382">
        <v>127.715</v>
      </c>
      <c r="D89" s="1382">
        <v>1278.3499999999999</v>
      </c>
      <c r="E89" s="1382">
        <v>1.0222082178682002</v>
      </c>
      <c r="F89" s="1382">
        <v>2.0617707843346404</v>
      </c>
      <c r="K89" s="1462">
        <v>42146</v>
      </c>
      <c r="L89" s="1463" t="s">
        <v>2127</v>
      </c>
      <c r="M89" s="1464">
        <v>4.9036999999999997E-2</v>
      </c>
      <c r="N89" s="1465">
        <v>1.0275451620235183</v>
      </c>
      <c r="O89" s="1465">
        <v>1.0275451620235183</v>
      </c>
    </row>
    <row r="90" spans="2:15">
      <c r="B90" s="1381">
        <v>35156</v>
      </c>
      <c r="C90" s="1382">
        <v>128.13</v>
      </c>
      <c r="D90" s="1382">
        <v>1294.46</v>
      </c>
      <c r="E90" s="1382">
        <v>1.0227569082086725</v>
      </c>
      <c r="F90" s="1382">
        <v>2.1086903128210666</v>
      </c>
      <c r="K90" s="1462">
        <v>42147</v>
      </c>
      <c r="L90" s="1463"/>
      <c r="M90" s="1464">
        <v>0</v>
      </c>
      <c r="N90" s="1465">
        <v>1.0275451620235183</v>
      </c>
      <c r="O90" s="1465">
        <v>1.0275451620235183</v>
      </c>
    </row>
    <row r="91" spans="2:15">
      <c r="B91" s="1381">
        <v>35186</v>
      </c>
      <c r="C91" s="1382">
        <v>130.12100000000001</v>
      </c>
      <c r="D91" s="1382">
        <v>1310.25</v>
      </c>
      <c r="E91" s="1382">
        <v>1.0210626514511167</v>
      </c>
      <c r="F91" s="1382">
        <v>2.1531049218983629</v>
      </c>
      <c r="K91" s="1462">
        <v>42148</v>
      </c>
      <c r="L91" s="1463"/>
      <c r="M91" s="1464">
        <v>0</v>
      </c>
      <c r="N91" s="1465">
        <v>1.0275451620235183</v>
      </c>
      <c r="O91" s="1465">
        <v>1.0275451620235183</v>
      </c>
    </row>
    <row r="92" spans="2:15">
      <c r="B92" s="1381">
        <v>35217</v>
      </c>
      <c r="C92" s="1382">
        <v>131.44499999999999</v>
      </c>
      <c r="D92" s="1382">
        <v>1325.84</v>
      </c>
      <c r="E92" s="1382">
        <v>1.020826552130859</v>
      </c>
      <c r="F92" s="1382">
        <v>2.1979466737974884</v>
      </c>
      <c r="K92" s="1462">
        <v>42149</v>
      </c>
      <c r="L92" s="1463" t="s">
        <v>2127</v>
      </c>
      <c r="M92" s="1464">
        <v>4.9036999999999997E-2</v>
      </c>
      <c r="N92" s="1465">
        <v>1.0280490393446198</v>
      </c>
      <c r="O92" s="1465">
        <v>1.0280490393446198</v>
      </c>
    </row>
    <row r="93" spans="2:15">
      <c r="B93" s="1381">
        <v>35247</v>
      </c>
      <c r="C93" s="1382">
        <v>133.21299999999999</v>
      </c>
      <c r="D93" s="1382">
        <v>1340.56</v>
      </c>
      <c r="E93" s="1382">
        <v>1.0192856968560815</v>
      </c>
      <c r="F93" s="1382">
        <v>2.2403356070541793</v>
      </c>
      <c r="K93" s="1462">
        <v>42150</v>
      </c>
      <c r="L93" s="1463" t="s">
        <v>2127</v>
      </c>
      <c r="M93" s="1464">
        <v>4.9036999999999997E-2</v>
      </c>
      <c r="N93" s="1465">
        <v>1.0285531637520433</v>
      </c>
      <c r="O93" s="1465">
        <v>1.0285531637520433</v>
      </c>
    </row>
    <row r="94" spans="2:15">
      <c r="B94" s="1381">
        <v>35278</v>
      </c>
      <c r="C94" s="1382">
        <v>133.58699999999999</v>
      </c>
      <c r="D94" s="1382">
        <v>1346.46</v>
      </c>
      <c r="E94" s="1382">
        <v>1.0196791435025818</v>
      </c>
      <c r="F94" s="1382">
        <v>2.2844234929593421</v>
      </c>
      <c r="K94" s="1462">
        <v>42151</v>
      </c>
      <c r="L94" s="1463" t="s">
        <v>2127</v>
      </c>
      <c r="M94" s="1464">
        <v>4.9036999999999997E-2</v>
      </c>
      <c r="N94" s="1465">
        <v>1.0290575353669524</v>
      </c>
      <c r="O94" s="1465">
        <v>1.0290575353669524</v>
      </c>
    </row>
    <row r="95" spans="2:15">
      <c r="B95" s="1381">
        <v>35309</v>
      </c>
      <c r="C95" s="1382">
        <v>133.72200000000001</v>
      </c>
      <c r="D95" s="1382">
        <v>1348.48</v>
      </c>
      <c r="E95" s="1382">
        <v>1.0190405257020327</v>
      </c>
      <c r="F95" s="1382">
        <v>2.3279201171913617</v>
      </c>
      <c r="K95" s="1462">
        <v>42152</v>
      </c>
      <c r="L95" s="1463" t="s">
        <v>2127</v>
      </c>
      <c r="M95" s="1464">
        <v>4.9036999999999997E-2</v>
      </c>
      <c r="N95" s="1465">
        <v>1.0295621543105704</v>
      </c>
      <c r="O95" s="1465">
        <v>1.0295621543105704</v>
      </c>
    </row>
    <row r="96" spans="2:15">
      <c r="B96" s="1381">
        <v>35339</v>
      </c>
      <c r="C96" s="1382">
        <v>133.97800000000001</v>
      </c>
      <c r="D96" s="1382">
        <v>1352.53</v>
      </c>
      <c r="E96" s="1382">
        <v>1.0194350405573067</v>
      </c>
      <c r="F96" s="1382">
        <v>2.3731633390831459</v>
      </c>
      <c r="K96" s="1462">
        <v>42153</v>
      </c>
      <c r="L96" s="1463" t="s">
        <v>2127</v>
      </c>
      <c r="M96" s="1464">
        <v>4.9036999999999997E-2</v>
      </c>
      <c r="N96" s="1465">
        <v>1.0300670207041798</v>
      </c>
      <c r="O96" s="1465">
        <v>1.0300670207041798</v>
      </c>
    </row>
    <row r="97" spans="2:15">
      <c r="B97" s="1381">
        <v>35370</v>
      </c>
      <c r="C97" s="1382">
        <v>134.24199999999999</v>
      </c>
      <c r="D97" s="1382">
        <v>1356.86</v>
      </c>
      <c r="E97" s="1382">
        <v>1.018952291397875</v>
      </c>
      <c r="F97" s="1382">
        <v>2.4181402222202037</v>
      </c>
      <c r="K97" s="1462">
        <v>42154</v>
      </c>
      <c r="L97" s="1463"/>
      <c r="M97" s="1464">
        <v>0</v>
      </c>
      <c r="N97" s="1465">
        <v>1.0300670207041798</v>
      </c>
      <c r="O97" s="1465">
        <v>1.0300670207041798</v>
      </c>
    </row>
    <row r="98" spans="2:15">
      <c r="B98" s="1381">
        <v>35400</v>
      </c>
      <c r="C98" s="1382">
        <v>135.22499999999999</v>
      </c>
      <c r="D98" s="1382">
        <v>1363.24</v>
      </c>
      <c r="E98" s="1382">
        <v>1.0189221360623306</v>
      </c>
      <c r="F98" s="1382">
        <v>2.4638966005228489</v>
      </c>
      <c r="K98" s="1462">
        <v>42155</v>
      </c>
      <c r="L98" s="1463"/>
      <c r="M98" s="1464">
        <v>0</v>
      </c>
      <c r="N98" s="1465">
        <v>1.0300670207041798</v>
      </c>
      <c r="O98" s="1465">
        <v>1.0300670207041798</v>
      </c>
    </row>
    <row r="99" spans="2:15">
      <c r="B99" s="1381">
        <v>35431</v>
      </c>
      <c r="C99" s="1382">
        <v>137.613</v>
      </c>
      <c r="D99" s="1382">
        <v>1379.33</v>
      </c>
      <c r="E99" s="1382">
        <v>1.0182168360386268</v>
      </c>
      <c r="F99" s="1382">
        <v>2.5087810009107034</v>
      </c>
      <c r="K99" s="1462">
        <v>42156</v>
      </c>
      <c r="L99" s="1463" t="s">
        <v>2127</v>
      </c>
      <c r="M99" s="1464">
        <v>4.9036999999999997E-2</v>
      </c>
      <c r="N99" s="1465">
        <v>1.0305721346691226</v>
      </c>
      <c r="O99" s="1465">
        <v>1.0305721346691226</v>
      </c>
    </row>
    <row r="100" spans="2:15">
      <c r="B100" s="1381">
        <v>35462</v>
      </c>
      <c r="C100" s="1382">
        <v>138.20400000000001</v>
      </c>
      <c r="D100" s="1382">
        <v>1386.23</v>
      </c>
      <c r="E100" s="1382">
        <v>1.018615977536991</v>
      </c>
      <c r="F100" s="1382">
        <v>2.5554844116688868</v>
      </c>
      <c r="K100" s="1462">
        <v>42157</v>
      </c>
      <c r="L100" s="1463" t="s">
        <v>2127</v>
      </c>
      <c r="M100" s="1464">
        <v>4.9036999999999997E-2</v>
      </c>
      <c r="N100" s="1465">
        <v>1.0310774963268003</v>
      </c>
      <c r="O100" s="1465">
        <v>1.0310774963268003</v>
      </c>
    </row>
    <row r="101" spans="2:15">
      <c r="B101" s="1381">
        <v>35490</v>
      </c>
      <c r="C101" s="1382">
        <v>139.79499999999999</v>
      </c>
      <c r="D101" s="1382">
        <v>1393.3</v>
      </c>
      <c r="E101" s="1382">
        <v>1.0181653196053577</v>
      </c>
      <c r="F101" s="1382">
        <v>2.6019056027533618</v>
      </c>
      <c r="K101" s="1462">
        <v>42158</v>
      </c>
      <c r="L101" s="1463" t="s">
        <v>2127</v>
      </c>
      <c r="M101" s="1464">
        <v>4.9036999999999997E-2</v>
      </c>
      <c r="N101" s="1465">
        <v>1.0315831057986742</v>
      </c>
      <c r="O101" s="1465">
        <v>1.0315831057986742</v>
      </c>
    </row>
    <row r="102" spans="2:15">
      <c r="B102" s="1381">
        <v>35521</v>
      </c>
      <c r="C102" s="1382">
        <v>140.74199999999999</v>
      </c>
      <c r="D102" s="1382">
        <v>1405.56</v>
      </c>
      <c r="E102" s="1382">
        <v>1.0174130782041242</v>
      </c>
      <c r="F102" s="1382">
        <v>2.6472127884938548</v>
      </c>
      <c r="K102" s="1462">
        <v>42159</v>
      </c>
      <c r="L102" s="1463"/>
      <c r="M102" s="1464">
        <v>0</v>
      </c>
      <c r="N102" s="1465">
        <v>1.0315831057986742</v>
      </c>
      <c r="O102" s="1465">
        <v>1.0315831057986742</v>
      </c>
    </row>
    <row r="103" spans="2:15">
      <c r="B103" s="1381">
        <v>35551</v>
      </c>
      <c r="C103" s="1382">
        <v>141.04</v>
      </c>
      <c r="D103" s="1382">
        <v>1411.32</v>
      </c>
      <c r="E103" s="1382">
        <v>1.0173859708262292</v>
      </c>
      <c r="F103" s="1382">
        <v>2.6932371528054295</v>
      </c>
      <c r="K103" s="1462">
        <v>42160</v>
      </c>
      <c r="L103" s="1463" t="s">
        <v>2127</v>
      </c>
      <c r="M103" s="1464">
        <v>5.0788E-2</v>
      </c>
      <c r="N103" s="1465">
        <v>1.0321070262264471</v>
      </c>
      <c r="O103" s="1465">
        <v>1.0321070262264471</v>
      </c>
    </row>
    <row r="104" spans="2:15">
      <c r="B104" s="1381">
        <v>35582</v>
      </c>
      <c r="C104" s="1382">
        <v>142.09</v>
      </c>
      <c r="D104" s="1382">
        <v>1418.94</v>
      </c>
      <c r="E104" s="1382">
        <v>1.0160683269749473</v>
      </c>
      <c r="F104" s="1382">
        <v>2.7365129679977831</v>
      </c>
      <c r="K104" s="1462">
        <v>42161</v>
      </c>
      <c r="L104" s="1463"/>
      <c r="M104" s="1464">
        <v>0</v>
      </c>
      <c r="N104" s="1465">
        <v>1.0321070262264471</v>
      </c>
      <c r="O104" s="1465">
        <v>1.0321070262264471</v>
      </c>
    </row>
    <row r="105" spans="2:15">
      <c r="B105" s="1381">
        <v>35612</v>
      </c>
      <c r="C105" s="1382">
        <v>142.221</v>
      </c>
      <c r="D105" s="1382">
        <v>1422.06</v>
      </c>
      <c r="E105" s="1382">
        <v>1.0160384417373229</v>
      </c>
      <c r="F105" s="1382">
        <v>2.7804023717984441</v>
      </c>
      <c r="K105" s="1462">
        <v>42162</v>
      </c>
      <c r="L105" s="1463"/>
      <c r="M105" s="1464">
        <v>0</v>
      </c>
      <c r="N105" s="1465">
        <v>1.0321070262264471</v>
      </c>
      <c r="O105" s="1465">
        <v>1.0321070262264471</v>
      </c>
    </row>
    <row r="106" spans="2:15">
      <c r="B106" s="1381">
        <v>35643</v>
      </c>
      <c r="C106" s="1382">
        <v>142.35300000000001</v>
      </c>
      <c r="D106" s="1382">
        <v>1421.78</v>
      </c>
      <c r="E106" s="1382">
        <v>1.0158585469231169</v>
      </c>
      <c r="F106" s="1382">
        <v>2.8244955132767555</v>
      </c>
      <c r="K106" s="1462">
        <v>42163</v>
      </c>
      <c r="L106" s="1463" t="s">
        <v>2127</v>
      </c>
      <c r="M106" s="1464">
        <v>5.0788E-2</v>
      </c>
      <c r="N106" s="1465">
        <v>1.0326312127429271</v>
      </c>
      <c r="O106" s="1465">
        <v>1.0326312127429271</v>
      </c>
    </row>
    <row r="107" spans="2:15">
      <c r="B107" s="1381">
        <v>35674</v>
      </c>
      <c r="C107" s="1382">
        <v>143.042</v>
      </c>
      <c r="D107" s="1382">
        <v>1422.63</v>
      </c>
      <c r="E107" s="1382">
        <v>1.0159028051900765</v>
      </c>
      <c r="F107" s="1382">
        <v>2.869412915184641</v>
      </c>
      <c r="K107" s="1462">
        <v>42164</v>
      </c>
      <c r="L107" s="1463" t="s">
        <v>2127</v>
      </c>
      <c r="M107" s="1464">
        <v>5.0788E-2</v>
      </c>
      <c r="N107" s="1465">
        <v>1.033155665483255</v>
      </c>
      <c r="O107" s="1465">
        <v>1.033155665483255</v>
      </c>
    </row>
    <row r="108" spans="2:15">
      <c r="B108" s="1381">
        <v>35704</v>
      </c>
      <c r="C108" s="1382">
        <v>143.56700000000001</v>
      </c>
      <c r="D108" s="1382">
        <v>1425.9</v>
      </c>
      <c r="E108" s="1382">
        <v>1.0167288802763557</v>
      </c>
      <c r="F108" s="1382">
        <v>2.9174149803061935</v>
      </c>
      <c r="K108" s="1462">
        <v>42165</v>
      </c>
      <c r="L108" s="1463" t="s">
        <v>2127</v>
      </c>
      <c r="M108" s="1464">
        <v>5.0788E-2</v>
      </c>
      <c r="N108" s="1465">
        <v>1.0336803845826406</v>
      </c>
      <c r="O108" s="1465">
        <v>1.0336803845826406</v>
      </c>
    </row>
    <row r="109" spans="2:15">
      <c r="B109" s="1381">
        <v>35735</v>
      </c>
      <c r="C109" s="1382">
        <v>144.48099999999999</v>
      </c>
      <c r="D109" s="1382">
        <v>1428.32</v>
      </c>
      <c r="E109" s="1382">
        <v>1.0304347964479648</v>
      </c>
      <c r="F109" s="1382">
        <v>3.0062059113860555</v>
      </c>
      <c r="K109" s="1462">
        <v>42166</v>
      </c>
      <c r="L109" s="1463" t="s">
        <v>2127</v>
      </c>
      <c r="M109" s="1464">
        <v>5.0788E-2</v>
      </c>
      <c r="N109" s="1465">
        <v>1.0342053701763625</v>
      </c>
      <c r="O109" s="1465">
        <v>1.0342053701763625</v>
      </c>
    </row>
    <row r="110" spans="2:15">
      <c r="B110" s="1381">
        <v>35765</v>
      </c>
      <c r="C110" s="1382">
        <v>145.69499999999999</v>
      </c>
      <c r="D110" s="1382">
        <v>1434.46</v>
      </c>
      <c r="E110" s="1382">
        <v>1.0311549813439238</v>
      </c>
      <c r="F110" s="1382">
        <v>3.0998642004712815</v>
      </c>
      <c r="K110" s="1462">
        <v>42167</v>
      </c>
      <c r="L110" s="1463" t="s">
        <v>2127</v>
      </c>
      <c r="M110" s="1464">
        <v>5.0788E-2</v>
      </c>
      <c r="N110" s="1465">
        <v>1.0347306223997677</v>
      </c>
      <c r="O110" s="1465">
        <v>1.0347306223997677</v>
      </c>
    </row>
    <row r="111" spans="2:15">
      <c r="B111" s="1381">
        <v>35796</v>
      </c>
      <c r="C111" s="1382">
        <v>147.09100000000001</v>
      </c>
      <c r="D111" s="1382">
        <v>1444.64</v>
      </c>
      <c r="E111" s="1382">
        <v>1.0280960413836384</v>
      </c>
      <c r="F111" s="1382">
        <v>3.1869581133313818</v>
      </c>
      <c r="K111" s="1462">
        <v>42168</v>
      </c>
      <c r="L111" s="1463"/>
      <c r="M111" s="1464">
        <v>0</v>
      </c>
      <c r="N111" s="1465">
        <v>1.0347306223997677</v>
      </c>
      <c r="O111" s="1465">
        <v>1.0347306223997677</v>
      </c>
    </row>
    <row r="112" spans="2:15">
      <c r="B112" s="1381">
        <v>35827</v>
      </c>
      <c r="C112" s="1382">
        <v>147.35599999999999</v>
      </c>
      <c r="D112" s="1382">
        <v>1451.29</v>
      </c>
      <c r="E112" s="1382">
        <v>1.0236711069024262</v>
      </c>
      <c r="F112" s="1382">
        <v>3.2623969395256034</v>
      </c>
      <c r="K112" s="1462">
        <v>42169</v>
      </c>
      <c r="L112" s="1463"/>
      <c r="M112" s="1464">
        <v>0</v>
      </c>
      <c r="N112" s="1465">
        <v>1.0347306223997677</v>
      </c>
      <c r="O112" s="1465">
        <v>1.0347306223997677</v>
      </c>
    </row>
    <row r="113" spans="2:15">
      <c r="B113" s="1381">
        <v>35855</v>
      </c>
      <c r="C113" s="1382">
        <v>147.63499999999999</v>
      </c>
      <c r="D113" s="1382">
        <v>1456.22</v>
      </c>
      <c r="E113" s="1382">
        <v>1.0220072916308196</v>
      </c>
      <c r="F113" s="1382">
        <v>3.3341934603892365</v>
      </c>
      <c r="K113" s="1462">
        <v>42170</v>
      </c>
      <c r="L113" s="1463" t="s">
        <v>2127</v>
      </c>
      <c r="M113" s="1464">
        <v>5.0788E-2</v>
      </c>
      <c r="N113" s="1465">
        <v>1.0352561413882722</v>
      </c>
      <c r="O113" s="1465">
        <v>1.0352561413882722</v>
      </c>
    </row>
    <row r="114" spans="2:15">
      <c r="B114" s="1381">
        <v>35886</v>
      </c>
      <c r="C114" s="1382">
        <v>147.821</v>
      </c>
      <c r="D114" s="1382">
        <v>1459.71</v>
      </c>
      <c r="E114" s="1382">
        <v>1.0199031041694671</v>
      </c>
      <c r="F114" s="1382">
        <v>3.4005542601525192</v>
      </c>
      <c r="K114" s="1462">
        <v>42171</v>
      </c>
      <c r="L114" s="1463" t="s">
        <v>2127</v>
      </c>
      <c r="M114" s="1464">
        <v>5.0788E-2</v>
      </c>
      <c r="N114" s="1465">
        <v>1.0357819272773605</v>
      </c>
      <c r="O114" s="1465">
        <v>1.0357819272773605</v>
      </c>
    </row>
    <row r="115" spans="2:15">
      <c r="B115" s="1381">
        <v>35916</v>
      </c>
      <c r="C115" s="1382">
        <v>148.02099999999999</v>
      </c>
      <c r="D115" s="1382">
        <v>1467.01</v>
      </c>
      <c r="E115" s="1382">
        <v>1.0171306475499944</v>
      </c>
      <c r="F115" s="1382">
        <v>3.4588079566578238</v>
      </c>
      <c r="K115" s="1462">
        <v>42172</v>
      </c>
      <c r="L115" s="1463" t="s">
        <v>2127</v>
      </c>
      <c r="M115" s="1464">
        <v>5.0788E-2</v>
      </c>
      <c r="N115" s="1465">
        <v>1.0363079802025861</v>
      </c>
      <c r="O115" s="1465">
        <v>1.0363079802025861</v>
      </c>
    </row>
    <row r="116" spans="2:15">
      <c r="B116" s="1381">
        <v>35947</v>
      </c>
      <c r="C116" s="1382">
        <v>148.58799999999999</v>
      </c>
      <c r="D116" s="1382">
        <v>1467.3</v>
      </c>
      <c r="E116" s="1382">
        <v>1.0167959651913006</v>
      </c>
      <c r="F116" s="1382">
        <v>3.5169019747012422</v>
      </c>
      <c r="K116" s="1462">
        <v>42173</v>
      </c>
      <c r="L116" s="1463" t="s">
        <v>2127</v>
      </c>
      <c r="M116" s="1464">
        <v>5.0788E-2</v>
      </c>
      <c r="N116" s="1465">
        <v>1.0368343002995715</v>
      </c>
      <c r="O116" s="1465">
        <v>1.0368343002995715</v>
      </c>
    </row>
    <row r="117" spans="2:15">
      <c r="B117" s="1381">
        <v>35977</v>
      </c>
      <c r="C117" s="1382">
        <v>148.339</v>
      </c>
      <c r="D117" s="1382">
        <v>1465.54</v>
      </c>
      <c r="E117" s="1382">
        <v>1.0170373206405035</v>
      </c>
      <c r="F117" s="1382">
        <v>3.5768205613054471</v>
      </c>
      <c r="K117" s="1462">
        <v>42174</v>
      </c>
      <c r="L117" s="1463" t="s">
        <v>2127</v>
      </c>
      <c r="M117" s="1464">
        <v>5.0788E-2</v>
      </c>
      <c r="N117" s="1465">
        <v>1.0373608877040077</v>
      </c>
      <c r="O117" s="1465">
        <v>1.0373608877040077</v>
      </c>
    </row>
    <row r="118" spans="2:15">
      <c r="B118" s="1381">
        <v>36008</v>
      </c>
      <c r="C118" s="1382">
        <v>148.10900000000001</v>
      </c>
      <c r="D118" s="1382">
        <v>1458.07</v>
      </c>
      <c r="E118" s="1382">
        <v>1.0147631694962493</v>
      </c>
      <c r="F118" s="1382">
        <v>3.6296257695096692</v>
      </c>
      <c r="K118" s="1462">
        <v>42175</v>
      </c>
      <c r="L118" s="1463"/>
      <c r="M118" s="1464">
        <v>0</v>
      </c>
      <c r="N118" s="1465">
        <v>1.0373608877040077</v>
      </c>
      <c r="O118" s="1465">
        <v>1.0373608877040077</v>
      </c>
    </row>
    <row r="119" spans="2:15">
      <c r="B119" s="1381">
        <v>36039</v>
      </c>
      <c r="C119" s="1382">
        <v>147.98400000000001</v>
      </c>
      <c r="D119" s="1382">
        <v>1454.86</v>
      </c>
      <c r="E119" s="1382">
        <v>1.0255896332244516</v>
      </c>
      <c r="F119" s="1382">
        <v>3.7225065616934394</v>
      </c>
      <c r="K119" s="1462">
        <v>42176</v>
      </c>
      <c r="L119" s="1463"/>
      <c r="M119" s="1464">
        <v>0</v>
      </c>
      <c r="N119" s="1465">
        <v>1.0373608877040077</v>
      </c>
      <c r="O119" s="1465">
        <v>1.0373608877040077</v>
      </c>
    </row>
    <row r="120" spans="2:15">
      <c r="B120" s="1381">
        <v>36069</v>
      </c>
      <c r="C120" s="1382">
        <v>148.1</v>
      </c>
      <c r="D120" s="1382">
        <v>1455.15</v>
      </c>
      <c r="E120" s="1382">
        <v>1.0308188720930029</v>
      </c>
      <c r="F120" s="1382">
        <v>3.8372300152836338</v>
      </c>
      <c r="K120" s="1462">
        <v>42177</v>
      </c>
      <c r="L120" s="1463" t="s">
        <v>2127</v>
      </c>
      <c r="M120" s="1464">
        <v>5.0788E-2</v>
      </c>
      <c r="N120" s="1465">
        <v>1.0378877425516548</v>
      </c>
      <c r="O120" s="1465">
        <v>1.0378877425516548</v>
      </c>
    </row>
    <row r="121" spans="2:15">
      <c r="B121" s="1381">
        <v>36100</v>
      </c>
      <c r="C121" s="1382">
        <v>147.62799999999999</v>
      </c>
      <c r="D121" s="1382">
        <v>1453.4</v>
      </c>
      <c r="E121" s="1382">
        <v>1.0277678356785036</v>
      </c>
      <c r="F121" s="1382">
        <v>3.9437815878086515</v>
      </c>
      <c r="K121" s="1462">
        <v>42178</v>
      </c>
      <c r="L121" s="1463" t="s">
        <v>2127</v>
      </c>
      <c r="M121" s="1464">
        <v>5.0788E-2</v>
      </c>
      <c r="N121" s="1465">
        <v>1.038414864978342</v>
      </c>
      <c r="O121" s="1465">
        <v>1.038414864978342</v>
      </c>
    </row>
    <row r="122" spans="2:15">
      <c r="B122" s="1381">
        <v>36130</v>
      </c>
      <c r="C122" s="1382">
        <v>148.291</v>
      </c>
      <c r="D122" s="1382">
        <v>1458.2</v>
      </c>
      <c r="E122" s="1382">
        <v>1.025049538167373</v>
      </c>
      <c r="F122" s="1382">
        <v>4.0425714952162473</v>
      </c>
      <c r="K122" s="1462">
        <v>42179</v>
      </c>
      <c r="L122" s="1463" t="s">
        <v>2127</v>
      </c>
      <c r="M122" s="1464">
        <v>5.0788E-2</v>
      </c>
      <c r="N122" s="1465">
        <v>1.0389422551199672</v>
      </c>
      <c r="O122" s="1465">
        <v>1.0389422551199672</v>
      </c>
    </row>
    <row r="123" spans="2:15">
      <c r="B123" s="1381">
        <v>36161</v>
      </c>
      <c r="C123" s="1382">
        <v>149.53299999999999</v>
      </c>
      <c r="D123" s="1382">
        <v>1468.41</v>
      </c>
      <c r="E123" s="1382">
        <v>1.022811290449001</v>
      </c>
      <c r="F123" s="1382">
        <v>4.1347877677544771</v>
      </c>
      <c r="K123" s="1462">
        <v>42180</v>
      </c>
      <c r="L123" s="1463" t="s">
        <v>2127</v>
      </c>
      <c r="M123" s="1464">
        <v>5.0788E-2</v>
      </c>
      <c r="N123" s="1465">
        <v>1.0394699131124976</v>
      </c>
      <c r="O123" s="1465">
        <v>1.0394699131124976</v>
      </c>
    </row>
    <row r="124" spans="2:15">
      <c r="B124" s="1381">
        <v>36192</v>
      </c>
      <c r="C124" s="1382">
        <v>154.93299999999999</v>
      </c>
      <c r="D124" s="1382">
        <v>1483.83</v>
      </c>
      <c r="E124" s="1382">
        <v>1.0264662861429437</v>
      </c>
      <c r="F124" s="1382">
        <v>4.2442202439562102</v>
      </c>
      <c r="K124" s="1462">
        <v>42181</v>
      </c>
      <c r="L124" s="1463" t="s">
        <v>2127</v>
      </c>
      <c r="M124" s="1464">
        <v>5.0788E-2</v>
      </c>
      <c r="N124" s="1465">
        <v>1.0399978390919691</v>
      </c>
      <c r="O124" s="1465">
        <v>1.0399978390919691</v>
      </c>
    </row>
    <row r="125" spans="2:15">
      <c r="B125" s="1381">
        <v>36220</v>
      </c>
      <c r="C125" s="1382">
        <v>159.32499999999999</v>
      </c>
      <c r="D125" s="1382">
        <v>1500.15</v>
      </c>
      <c r="E125" s="1382">
        <v>1.033345195070198</v>
      </c>
      <c r="F125" s="1382">
        <v>4.3857445959118131</v>
      </c>
      <c r="K125" s="1462">
        <v>42182</v>
      </c>
      <c r="L125" s="1463"/>
      <c r="M125" s="1464">
        <v>0</v>
      </c>
      <c r="N125" s="1465">
        <v>1.0399978390919691</v>
      </c>
      <c r="O125" s="1465">
        <v>1.0399978390919691</v>
      </c>
    </row>
    <row r="126" spans="2:15">
      <c r="B126" s="1381">
        <v>36251</v>
      </c>
      <c r="C126" s="1382">
        <v>160.459</v>
      </c>
      <c r="D126" s="1382">
        <v>1508.55</v>
      </c>
      <c r="E126" s="1382">
        <v>1.027563660965396</v>
      </c>
      <c r="F126" s="1382">
        <v>4.5066317730343437</v>
      </c>
      <c r="K126" s="1462">
        <v>42183</v>
      </c>
      <c r="L126" s="1463"/>
      <c r="M126" s="1464">
        <v>0</v>
      </c>
      <c r="N126" s="1465">
        <v>1.0399978390919691</v>
      </c>
      <c r="O126" s="1465">
        <v>1.0399978390919691</v>
      </c>
    </row>
    <row r="127" spans="2:15">
      <c r="B127" s="1381">
        <v>36281</v>
      </c>
      <c r="C127" s="1382">
        <v>159.99600000000001</v>
      </c>
      <c r="D127" s="1382">
        <v>1513.08</v>
      </c>
      <c r="E127" s="1382">
        <v>1.0201883000304468</v>
      </c>
      <c r="F127" s="1382">
        <v>4.5976130073951058</v>
      </c>
      <c r="K127" s="1462">
        <v>42184</v>
      </c>
      <c r="L127" s="1463" t="s">
        <v>2127</v>
      </c>
      <c r="M127" s="1464">
        <v>5.0788E-2</v>
      </c>
      <c r="N127" s="1465">
        <v>1.0405260331944872</v>
      </c>
      <c r="O127" s="1465">
        <v>1.0405260331944872</v>
      </c>
    </row>
    <row r="128" spans="2:15">
      <c r="B128" s="1381">
        <v>36312</v>
      </c>
      <c r="C128" s="1382">
        <v>160.57300000000001</v>
      </c>
      <c r="D128" s="1382">
        <v>1515.95</v>
      </c>
      <c r="E128" s="1382">
        <v>1.0175637707499077</v>
      </c>
      <c r="F128" s="1382">
        <v>4.6783644282537873</v>
      </c>
      <c r="K128" s="1462">
        <v>42185</v>
      </c>
      <c r="L128" s="1463" t="s">
        <v>2127</v>
      </c>
      <c r="M128" s="1464">
        <v>5.0788E-2</v>
      </c>
      <c r="N128" s="1465">
        <v>1.041054495556226</v>
      </c>
      <c r="O128" s="1465">
        <v>1.041054495556226</v>
      </c>
    </row>
    <row r="129" spans="2:15">
      <c r="B129" s="1381">
        <v>36342</v>
      </c>
      <c r="C129" s="1382">
        <v>163.06</v>
      </c>
      <c r="D129" s="1382">
        <v>1532.47</v>
      </c>
      <c r="E129" s="1382">
        <v>1.0165876375704719</v>
      </c>
      <c r="F129" s="1382">
        <v>4.7559674418122491</v>
      </c>
      <c r="K129" s="1462">
        <v>42186</v>
      </c>
      <c r="L129" s="1463" t="s">
        <v>2127</v>
      </c>
      <c r="M129" s="1464">
        <v>5.0788E-2</v>
      </c>
      <c r="N129" s="1465">
        <v>1.041583226313429</v>
      </c>
      <c r="O129" s="1465">
        <v>1.041583226313429</v>
      </c>
    </row>
    <row r="130" spans="2:15">
      <c r="B130" s="1381">
        <v>36373</v>
      </c>
      <c r="C130" s="1382">
        <v>165.60300000000001</v>
      </c>
      <c r="D130" s="1382">
        <v>1541.05</v>
      </c>
      <c r="E130" s="1382">
        <v>1.0156847483880824</v>
      </c>
      <c r="F130" s="1382">
        <v>4.8305635944789866</v>
      </c>
      <c r="K130" s="1462">
        <v>42187</v>
      </c>
      <c r="L130" s="1463" t="s">
        <v>2127</v>
      </c>
      <c r="M130" s="1464">
        <v>5.0788E-2</v>
      </c>
      <c r="N130" s="1465">
        <v>1.0421122256024091</v>
      </c>
      <c r="O130" s="1465">
        <v>1.0421122256024091</v>
      </c>
    </row>
    <row r="131" spans="2:15">
      <c r="B131" s="1381">
        <v>36404</v>
      </c>
      <c r="C131" s="1382">
        <v>167.99700000000001</v>
      </c>
      <c r="D131" s="1382">
        <v>1545.83</v>
      </c>
      <c r="E131" s="1382">
        <v>1.0155901672784533</v>
      </c>
      <c r="F131" s="1382">
        <v>4.9058728889661207</v>
      </c>
      <c r="K131" s="1462">
        <v>42188</v>
      </c>
      <c r="L131" s="1463" t="s">
        <v>2127</v>
      </c>
      <c r="M131" s="1464">
        <v>5.0788E-2</v>
      </c>
      <c r="N131" s="1465">
        <v>1.042641493559548</v>
      </c>
      <c r="O131" s="1465">
        <v>1.042641493559548</v>
      </c>
    </row>
    <row r="132" spans="2:15">
      <c r="B132" s="1381">
        <v>36434</v>
      </c>
      <c r="C132" s="1382">
        <v>170.86099999999999</v>
      </c>
      <c r="D132" s="1382">
        <v>1564.23</v>
      </c>
      <c r="E132" s="1382">
        <v>1.0145370189540868</v>
      </c>
      <c r="F132" s="1382">
        <v>4.9771896561393616</v>
      </c>
      <c r="K132" s="1462">
        <v>42189</v>
      </c>
      <c r="L132" s="1463"/>
      <c r="M132" s="1464">
        <v>0</v>
      </c>
      <c r="N132" s="1465">
        <v>1.042641493559548</v>
      </c>
      <c r="O132" s="1465">
        <v>1.042641493559548</v>
      </c>
    </row>
    <row r="133" spans="2:15">
      <c r="B133" s="1381">
        <v>36465</v>
      </c>
      <c r="C133" s="1382">
        <v>174.93899999999999</v>
      </c>
      <c r="D133" s="1382">
        <v>1579.09</v>
      </c>
      <c r="E133" s="1382">
        <v>1.0152599173733607</v>
      </c>
      <c r="F133" s="1382">
        <v>5.0531411590435944</v>
      </c>
      <c r="K133" s="1462">
        <v>42190</v>
      </c>
      <c r="L133" s="1463"/>
      <c r="M133" s="1464">
        <v>0</v>
      </c>
      <c r="N133" s="1465">
        <v>1.042641493559548</v>
      </c>
      <c r="O133" s="1465">
        <v>1.042641493559548</v>
      </c>
    </row>
    <row r="134" spans="2:15">
      <c r="B134" s="1381">
        <v>36495</v>
      </c>
      <c r="C134" s="1382">
        <v>178.09899999999999</v>
      </c>
      <c r="D134" s="1382">
        <v>1588.56</v>
      </c>
      <c r="E134" s="1382">
        <v>1.0159962861507461</v>
      </c>
      <c r="F134" s="1382">
        <v>5.1339726509837682</v>
      </c>
      <c r="K134" s="1462">
        <v>42191</v>
      </c>
      <c r="L134" s="1463" t="s">
        <v>2127</v>
      </c>
      <c r="M134" s="1464">
        <v>5.0788E-2</v>
      </c>
      <c r="N134" s="1465">
        <v>1.0431710303212971</v>
      </c>
      <c r="O134" s="1465">
        <v>1.0431710303212971</v>
      </c>
    </row>
    <row r="135" spans="2:15">
      <c r="B135" s="1381">
        <v>36526</v>
      </c>
      <c r="C135" s="1382">
        <v>180.30099999999999</v>
      </c>
      <c r="D135" s="1382">
        <v>1598.41</v>
      </c>
      <c r="E135" s="1382">
        <v>1.0145573263269665</v>
      </c>
      <c r="F135" s="1382">
        <v>5.20870956621786</v>
      </c>
      <c r="K135" s="1462">
        <v>42192</v>
      </c>
      <c r="L135" s="1463" t="s">
        <v>2127</v>
      </c>
      <c r="M135" s="1464">
        <v>5.0788E-2</v>
      </c>
      <c r="N135" s="1465">
        <v>1.0437008360241766</v>
      </c>
      <c r="O135" s="1465">
        <v>1.0437008360241766</v>
      </c>
    </row>
    <row r="136" spans="2:15">
      <c r="B136" s="1381">
        <v>36557</v>
      </c>
      <c r="C136" s="1382">
        <v>180.935</v>
      </c>
      <c r="D136" s="1382">
        <v>1600.49</v>
      </c>
      <c r="E136" s="1382">
        <v>1.0145089461247463</v>
      </c>
      <c r="F136" s="1382">
        <v>5.2842824526935654</v>
      </c>
      <c r="K136" s="1462">
        <v>42193</v>
      </c>
      <c r="L136" s="1463" t="s">
        <v>2127</v>
      </c>
      <c r="M136" s="1464">
        <v>5.0788E-2</v>
      </c>
      <c r="N136" s="1465">
        <v>1.0442309108047767</v>
      </c>
      <c r="O136" s="1465">
        <v>1.0442309108047767</v>
      </c>
    </row>
    <row r="137" spans="2:15">
      <c r="B137" s="1381">
        <v>36586</v>
      </c>
      <c r="C137" s="1382">
        <v>181.214</v>
      </c>
      <c r="D137" s="1382">
        <v>1604.01</v>
      </c>
      <c r="E137" s="1382">
        <v>1.0158860407835757</v>
      </c>
      <c r="F137" s="1382">
        <v>5.3682287792489891</v>
      </c>
      <c r="K137" s="1462">
        <v>42194</v>
      </c>
      <c r="L137" s="1463" t="s">
        <v>2127</v>
      </c>
      <c r="M137" s="1464">
        <v>5.0788E-2</v>
      </c>
      <c r="N137" s="1465">
        <v>1.0447612547997562</v>
      </c>
      <c r="O137" s="1465">
        <v>1.0447612547997562</v>
      </c>
    </row>
    <row r="138" spans="2:15">
      <c r="B138" s="1381">
        <v>36617</v>
      </c>
      <c r="C138" s="1382">
        <v>181.63499999999999</v>
      </c>
      <c r="D138" s="1382">
        <v>1610.75</v>
      </c>
      <c r="E138" s="1382">
        <v>1.0136441914221253</v>
      </c>
      <c r="F138" s="1382">
        <v>5.4414739203108242</v>
      </c>
      <c r="K138" s="1462">
        <v>42195</v>
      </c>
      <c r="L138" s="1463" t="s">
        <v>2127</v>
      </c>
      <c r="M138" s="1464">
        <v>5.0788E-2</v>
      </c>
      <c r="N138" s="1465">
        <v>1.0452918681458438</v>
      </c>
      <c r="O138" s="1465">
        <v>1.0452918681458438</v>
      </c>
    </row>
    <row r="139" spans="2:15">
      <c r="B139" s="1381">
        <v>36647</v>
      </c>
      <c r="C139" s="1382">
        <v>182.18899999999999</v>
      </c>
      <c r="D139" s="1382">
        <v>1610.91</v>
      </c>
      <c r="E139" s="1382">
        <v>1.0156265899953318</v>
      </c>
      <c r="F139" s="1382">
        <v>5.5265056022338124</v>
      </c>
      <c r="K139" s="1462">
        <v>42196</v>
      </c>
      <c r="L139" s="1463"/>
      <c r="M139" s="1464">
        <v>0</v>
      </c>
      <c r="N139" s="1465">
        <v>1.0452918681458438</v>
      </c>
      <c r="O139" s="1465">
        <v>1.0452918681458438</v>
      </c>
    </row>
    <row r="140" spans="2:15">
      <c r="B140" s="1381">
        <v>36678</v>
      </c>
      <c r="C140" s="1382">
        <v>183.745</v>
      </c>
      <c r="D140" s="1382">
        <v>1614.62</v>
      </c>
      <c r="E140" s="1382">
        <v>1.0145668910909638</v>
      </c>
      <c r="F140" s="1382">
        <v>5.6070096074551534</v>
      </c>
      <c r="K140" s="1462">
        <v>42197</v>
      </c>
      <c r="L140" s="1463"/>
      <c r="M140" s="1464">
        <v>0</v>
      </c>
      <c r="N140" s="1465">
        <v>1.0452918681458438</v>
      </c>
      <c r="O140" s="1465">
        <v>1.0452918681458438</v>
      </c>
    </row>
    <row r="141" spans="2:15">
      <c r="B141" s="1381">
        <v>36708</v>
      </c>
      <c r="C141" s="1382">
        <v>186.63399999999999</v>
      </c>
      <c r="D141" s="1382">
        <v>1640.62</v>
      </c>
      <c r="E141" s="1382">
        <v>1.0130599958288005</v>
      </c>
      <c r="F141" s="1382">
        <v>5.6802371295405623</v>
      </c>
      <c r="K141" s="1462">
        <v>42198</v>
      </c>
      <c r="L141" s="1463" t="s">
        <v>2127</v>
      </c>
      <c r="M141" s="1464">
        <v>5.0788E-2</v>
      </c>
      <c r="N141" s="1465">
        <v>1.0458227509798377</v>
      </c>
      <c r="O141" s="1465">
        <v>1.0458227509798377</v>
      </c>
    </row>
    <row r="142" spans="2:15">
      <c r="B142" s="1381">
        <v>36739</v>
      </c>
      <c r="C142" s="1382">
        <v>191.08699999999999</v>
      </c>
      <c r="D142" s="1382">
        <v>1662.11</v>
      </c>
      <c r="E142" s="1382">
        <v>1.0140543715890855</v>
      </c>
      <c r="F142" s="1382">
        <v>5.7600692928732462</v>
      </c>
      <c r="K142" s="1462">
        <v>42199</v>
      </c>
      <c r="L142" s="1463" t="s">
        <v>2127</v>
      </c>
      <c r="M142" s="1464">
        <v>5.0788E-2</v>
      </c>
      <c r="N142" s="1465">
        <v>1.0463539034386053</v>
      </c>
      <c r="O142" s="1465">
        <v>1.0463539034386053</v>
      </c>
    </row>
    <row r="143" spans="2:15">
      <c r="B143" s="1381">
        <v>36770</v>
      </c>
      <c r="C143" s="1382">
        <v>193.297</v>
      </c>
      <c r="D143" s="1382">
        <v>1665.93</v>
      </c>
      <c r="E143" s="1382">
        <v>1.0128508890656427</v>
      </c>
      <c r="F143" s="1382">
        <v>5.8340913043663756</v>
      </c>
      <c r="K143" s="1462">
        <v>42200</v>
      </c>
      <c r="L143" s="1463" t="s">
        <v>2127</v>
      </c>
      <c r="M143" s="1464">
        <v>5.0788E-2</v>
      </c>
      <c r="N143" s="1465">
        <v>1.0468853256590838</v>
      </c>
      <c r="O143" s="1465">
        <v>1.0468853256590838</v>
      </c>
    </row>
    <row r="144" spans="2:15">
      <c r="B144" s="1381">
        <v>36800</v>
      </c>
      <c r="C144" s="1382">
        <v>194.04</v>
      </c>
      <c r="D144" s="1382">
        <v>1668.26</v>
      </c>
      <c r="E144" s="1382">
        <v>1.013495295624836</v>
      </c>
      <c r="F144" s="1382">
        <v>5.9128240912210845</v>
      </c>
      <c r="K144" s="1462">
        <v>42201</v>
      </c>
      <c r="L144" s="1463" t="s">
        <v>2127</v>
      </c>
      <c r="M144" s="1464">
        <v>5.0788E-2</v>
      </c>
      <c r="N144" s="1465">
        <v>1.0474170177782796</v>
      </c>
      <c r="O144" s="1465">
        <v>1.0474170177782796</v>
      </c>
    </row>
    <row r="145" spans="2:15">
      <c r="B145" s="1381">
        <v>36831</v>
      </c>
      <c r="C145" s="1382">
        <v>194.59899999999999</v>
      </c>
      <c r="D145" s="1382">
        <v>1673.6</v>
      </c>
      <c r="E145" s="1382">
        <v>1.013431060777086</v>
      </c>
      <c r="F145" s="1382">
        <v>5.992239590954493</v>
      </c>
      <c r="K145" s="1462">
        <v>42202</v>
      </c>
      <c r="L145" s="1463" t="s">
        <v>2127</v>
      </c>
      <c r="M145" s="1464">
        <v>5.0788E-2</v>
      </c>
      <c r="N145" s="1465">
        <v>1.0479489799332689</v>
      </c>
      <c r="O145" s="1465">
        <v>1.0479489799332689</v>
      </c>
    </row>
    <row r="146" spans="2:15">
      <c r="B146" s="1381">
        <v>36861</v>
      </c>
      <c r="C146" s="1382">
        <v>195.827</v>
      </c>
      <c r="D146" s="1382">
        <v>1683.47</v>
      </c>
      <c r="E146" s="1382">
        <v>1.0125716392096709</v>
      </c>
      <c r="F146" s="1382">
        <v>6.0675718651498789</v>
      </c>
      <c r="K146" s="1462">
        <v>42203</v>
      </c>
      <c r="L146" s="1463"/>
      <c r="M146" s="1464">
        <v>0</v>
      </c>
      <c r="N146" s="1465">
        <v>1.0479489799332689</v>
      </c>
      <c r="O146" s="1465">
        <v>1.0479489799332689</v>
      </c>
    </row>
    <row r="147" spans="2:15">
      <c r="B147" s="1381">
        <v>36892</v>
      </c>
      <c r="C147" s="1382">
        <v>197.04499999999999</v>
      </c>
      <c r="D147" s="1382">
        <v>1693.07</v>
      </c>
      <c r="E147" s="1382">
        <v>1.0126506879847863</v>
      </c>
      <c r="F147" s="1382">
        <v>6.144330823641158</v>
      </c>
      <c r="K147" s="1462">
        <v>42204</v>
      </c>
      <c r="L147" s="1463"/>
      <c r="M147" s="1464">
        <v>0</v>
      </c>
      <c r="N147" s="1465">
        <v>1.0479489799332689</v>
      </c>
      <c r="O147" s="1465">
        <v>1.0479489799332689</v>
      </c>
    </row>
    <row r="148" spans="2:15">
      <c r="B148" s="1381">
        <v>36923</v>
      </c>
      <c r="C148" s="1382">
        <v>197.49100000000001</v>
      </c>
      <c r="D148" s="1382">
        <v>1700.86</v>
      </c>
      <c r="E148" s="1382">
        <v>1.0101583510827936</v>
      </c>
      <c r="F148" s="1382">
        <v>6.206747093316535</v>
      </c>
      <c r="K148" s="1462">
        <v>42205</v>
      </c>
      <c r="L148" s="1463" t="s">
        <v>2127</v>
      </c>
      <c r="M148" s="1464">
        <v>5.0788E-2</v>
      </c>
      <c r="N148" s="1465">
        <v>1.0484812122611973</v>
      </c>
      <c r="O148" s="1465">
        <v>1.0484812122611973</v>
      </c>
    </row>
    <row r="149" spans="2:15">
      <c r="B149" s="1381">
        <v>36951</v>
      </c>
      <c r="C149" s="1382">
        <v>198.60599999999999</v>
      </c>
      <c r="D149" s="1382">
        <v>1707.32</v>
      </c>
      <c r="E149" s="1382">
        <v>1.0125785495836725</v>
      </c>
      <c r="F149" s="1382">
        <v>6.2848189693831324</v>
      </c>
      <c r="K149" s="1462">
        <v>42206</v>
      </c>
      <c r="L149" s="1463" t="s">
        <v>2127</v>
      </c>
      <c r="M149" s="1464">
        <v>5.0788E-2</v>
      </c>
      <c r="N149" s="1465">
        <v>1.0490137148992804</v>
      </c>
      <c r="O149" s="1465">
        <v>1.0490137148992804</v>
      </c>
    </row>
    <row r="150" spans="2:15">
      <c r="B150" s="1381">
        <v>36982</v>
      </c>
      <c r="C150" s="1382">
        <v>200.59100000000001</v>
      </c>
      <c r="D150" s="1382">
        <v>1717.22</v>
      </c>
      <c r="E150" s="1382">
        <v>1.0118637336714187</v>
      </c>
      <c r="F150" s="1382">
        <v>6.3593803878089741</v>
      </c>
      <c r="K150" s="1462">
        <v>42207</v>
      </c>
      <c r="L150" s="1463" t="s">
        <v>2127</v>
      </c>
      <c r="M150" s="1464">
        <v>5.0788E-2</v>
      </c>
      <c r="N150" s="1465">
        <v>1.0495464879848035</v>
      </c>
      <c r="O150" s="1465">
        <v>1.0495464879848035</v>
      </c>
    </row>
    <row r="151" spans="2:15">
      <c r="B151" s="1381">
        <v>37012</v>
      </c>
      <c r="C151" s="1382">
        <v>202.32400000000001</v>
      </c>
      <c r="D151" s="1382">
        <v>1724.26</v>
      </c>
      <c r="E151" s="1382">
        <v>1.0133677002760824</v>
      </c>
      <c r="F151" s="1382">
        <v>6.4443906787748011</v>
      </c>
      <c r="K151" s="1462">
        <v>42208</v>
      </c>
      <c r="L151" s="1463" t="s">
        <v>2127</v>
      </c>
      <c r="M151" s="1464">
        <v>5.0788E-2</v>
      </c>
      <c r="N151" s="1465">
        <v>1.0500795316551212</v>
      </c>
      <c r="O151" s="1465">
        <v>1.0500795316551212</v>
      </c>
    </row>
    <row r="152" spans="2:15">
      <c r="B152" s="1381">
        <v>37043</v>
      </c>
      <c r="C152" s="1382">
        <v>204.31</v>
      </c>
      <c r="D152" s="1382">
        <v>1733.23</v>
      </c>
      <c r="E152" s="1382">
        <v>1.0127331554566117</v>
      </c>
      <c r="F152" s="1382">
        <v>6.5264481071107801</v>
      </c>
      <c r="K152" s="1462">
        <v>42209</v>
      </c>
      <c r="L152" s="1463" t="s">
        <v>2127</v>
      </c>
      <c r="M152" s="1464">
        <v>5.0788E-2</v>
      </c>
      <c r="N152" s="1465">
        <v>1.0506128460476583</v>
      </c>
      <c r="O152" s="1465">
        <v>1.0506128460476583</v>
      </c>
    </row>
    <row r="153" spans="2:15">
      <c r="B153" s="1381">
        <v>37073</v>
      </c>
      <c r="C153" s="1382">
        <v>207.34100000000001</v>
      </c>
      <c r="D153" s="1382">
        <v>1756.28</v>
      </c>
      <c r="E153" s="1382">
        <v>1.014979822756394</v>
      </c>
      <c r="F153" s="1382">
        <v>6.6242131429841029</v>
      </c>
      <c r="K153" s="1462">
        <v>42210</v>
      </c>
      <c r="L153" s="1463"/>
      <c r="M153" s="1464">
        <v>0</v>
      </c>
      <c r="N153" s="1465">
        <v>1.0506128460476583</v>
      </c>
      <c r="O153" s="1465">
        <v>1.0506128460476583</v>
      </c>
    </row>
    <row r="154" spans="2:15">
      <c r="B154" s="1381">
        <v>37104</v>
      </c>
      <c r="C154" s="1382">
        <v>210.21100000000001</v>
      </c>
      <c r="D154" s="1382">
        <v>1768.57</v>
      </c>
      <c r="E154" s="1382">
        <v>1.0160000122718875</v>
      </c>
      <c r="F154" s="1382">
        <v>6.7302006345634471</v>
      </c>
      <c r="K154" s="1462">
        <v>42211</v>
      </c>
      <c r="L154" s="1463"/>
      <c r="M154" s="1464">
        <v>0</v>
      </c>
      <c r="N154" s="1465">
        <v>1.0506128460476583</v>
      </c>
      <c r="O154" s="1465">
        <v>1.0506128460476583</v>
      </c>
    </row>
    <row r="155" spans="2:15">
      <c r="B155" s="1381">
        <v>37135</v>
      </c>
      <c r="C155" s="1382">
        <v>210.85300000000001</v>
      </c>
      <c r="D155" s="1382">
        <v>1773.52</v>
      </c>
      <c r="E155" s="1382">
        <v>1.013243107438228</v>
      </c>
      <c r="F155" s="1382">
        <v>6.8193294046478012</v>
      </c>
      <c r="K155" s="1462">
        <v>42212</v>
      </c>
      <c r="L155" s="1463" t="s">
        <v>2127</v>
      </c>
      <c r="M155" s="1464">
        <v>5.0788E-2</v>
      </c>
      <c r="N155" s="1465">
        <v>1.051146431299909</v>
      </c>
      <c r="O155" s="1465">
        <v>1.051146431299909</v>
      </c>
    </row>
    <row r="156" spans="2:15">
      <c r="B156" s="1381">
        <v>37165</v>
      </c>
      <c r="C156" s="1382">
        <v>213.339</v>
      </c>
      <c r="D156" s="1382">
        <v>1788.24</v>
      </c>
      <c r="E156" s="1382">
        <v>1.0153493751182632</v>
      </c>
      <c r="F156" s="1382">
        <v>6.9240018497347426</v>
      </c>
      <c r="K156" s="1462">
        <v>42213</v>
      </c>
      <c r="L156" s="1463" t="s">
        <v>2127</v>
      </c>
      <c r="M156" s="1464">
        <v>5.0788E-2</v>
      </c>
      <c r="N156" s="1465">
        <v>1.0516802875494375</v>
      </c>
      <c r="O156" s="1465">
        <v>1.0516802875494375</v>
      </c>
    </row>
    <row r="157" spans="2:15">
      <c r="B157" s="1381">
        <v>37196</v>
      </c>
      <c r="C157" s="1382">
        <v>215.685</v>
      </c>
      <c r="D157" s="1382">
        <v>1800.94</v>
      </c>
      <c r="E157" s="1382">
        <v>1.0139343824698488</v>
      </c>
      <c r="F157" s="1382">
        <v>7.0204835397308871</v>
      </c>
      <c r="K157" s="1462">
        <v>42214</v>
      </c>
      <c r="L157" s="1463" t="s">
        <v>2127</v>
      </c>
      <c r="M157" s="1464">
        <v>5.0788E-2</v>
      </c>
      <c r="N157" s="1465">
        <v>1.0522144149338781</v>
      </c>
      <c r="O157" s="1465">
        <v>1.0522144149338781</v>
      </c>
    </row>
    <row r="158" spans="2:15">
      <c r="B158" s="1381">
        <v>37226</v>
      </c>
      <c r="C158" s="1382">
        <v>216.16300000000001</v>
      </c>
      <c r="D158" s="1382">
        <v>1812.65</v>
      </c>
      <c r="E158" s="1382">
        <v>1.0139354159682339</v>
      </c>
      <c r="F158" s="1382">
        <v>7.1183168981551761</v>
      </c>
      <c r="K158" s="1462">
        <v>42215</v>
      </c>
      <c r="L158" s="1463" t="s">
        <v>2127</v>
      </c>
      <c r="M158" s="1464">
        <v>5.2531000000000001E-2</v>
      </c>
      <c r="N158" s="1465">
        <v>1.0527671536881871</v>
      </c>
      <c r="O158" s="1465">
        <v>1.0527671536881871</v>
      </c>
    </row>
    <row r="159" spans="2:15">
      <c r="B159" s="1381">
        <v>37257</v>
      </c>
      <c r="C159" s="1382">
        <v>216.94399999999999</v>
      </c>
      <c r="D159" s="1382">
        <v>1822.08</v>
      </c>
      <c r="E159" s="1382">
        <v>1.0153395939759675</v>
      </c>
      <c r="F159" s="1382">
        <v>7.2275089891651447</v>
      </c>
      <c r="K159" s="1462">
        <v>42216</v>
      </c>
      <c r="L159" s="1463" t="s">
        <v>2127</v>
      </c>
      <c r="M159" s="1464">
        <v>5.2531000000000001E-2</v>
      </c>
      <c r="N159" s="1465">
        <v>1.0533201828016909</v>
      </c>
      <c r="O159" s="1465">
        <v>1.0533201828016909</v>
      </c>
    </row>
    <row r="160" spans="2:15">
      <c r="B160" s="1381">
        <v>37288</v>
      </c>
      <c r="C160" s="1382">
        <v>217.07400000000001</v>
      </c>
      <c r="D160" s="1382">
        <v>1828.64</v>
      </c>
      <c r="E160" s="1382">
        <v>1.012482154231837</v>
      </c>
      <c r="F160" s="1382">
        <v>7.3177238710798918</v>
      </c>
      <c r="K160" s="1462">
        <v>42217</v>
      </c>
      <c r="L160" s="1463"/>
      <c r="M160" s="1464">
        <v>0</v>
      </c>
      <c r="N160" s="1465">
        <v>1.0533201828016909</v>
      </c>
      <c r="O160" s="1465">
        <v>1.0533201828016909</v>
      </c>
    </row>
    <row r="161" spans="2:15">
      <c r="B161" s="1381">
        <v>37316</v>
      </c>
      <c r="C161" s="1382">
        <v>217.27600000000001</v>
      </c>
      <c r="D161" s="1382">
        <v>1839.61</v>
      </c>
      <c r="E161" s="1382">
        <v>1.013713327882185</v>
      </c>
      <c r="F161" s="1382">
        <v>7.4180742178753025</v>
      </c>
      <c r="K161" s="1462">
        <v>42218</v>
      </c>
      <c r="L161" s="1463"/>
      <c r="M161" s="1464">
        <v>0</v>
      </c>
      <c r="N161" s="1465">
        <v>1.0533201828016909</v>
      </c>
      <c r="O161" s="1465">
        <v>1.0533201828016909</v>
      </c>
    </row>
    <row r="162" spans="2:15">
      <c r="B162" s="1381">
        <v>37347</v>
      </c>
      <c r="C162" s="1382">
        <v>218.48599999999999</v>
      </c>
      <c r="D162" s="1382">
        <v>1854.33</v>
      </c>
      <c r="E162" s="1382">
        <v>1.0148356719718208</v>
      </c>
      <c r="F162" s="1382">
        <v>7.5281263336343214</v>
      </c>
      <c r="K162" s="1462">
        <v>42219</v>
      </c>
      <c r="L162" s="1463" t="s">
        <v>2127</v>
      </c>
      <c r="M162" s="1464">
        <v>5.2531000000000001E-2</v>
      </c>
      <c r="N162" s="1465">
        <v>1.0538735024269186</v>
      </c>
      <c r="O162" s="1465">
        <v>1.0538735024269186</v>
      </c>
    </row>
    <row r="163" spans="2:15">
      <c r="B163" s="1381">
        <v>37377</v>
      </c>
      <c r="C163" s="1382">
        <v>220.292</v>
      </c>
      <c r="D163" s="1382">
        <v>1858.22</v>
      </c>
      <c r="E163" s="1382">
        <v>1.0141498936566418</v>
      </c>
      <c r="F163" s="1382">
        <v>7.6346485206890113</v>
      </c>
      <c r="K163" s="1462">
        <v>42220</v>
      </c>
      <c r="L163" s="1463" t="s">
        <v>2127</v>
      </c>
      <c r="M163" s="1464">
        <v>5.2531000000000001E-2</v>
      </c>
      <c r="N163" s="1465">
        <v>1.0544271127164784</v>
      </c>
      <c r="O163" s="1465">
        <v>1.0544271127164784</v>
      </c>
    </row>
    <row r="164" spans="2:15">
      <c r="B164" s="1381">
        <v>37408</v>
      </c>
      <c r="C164" s="1382">
        <v>223.68799999999999</v>
      </c>
      <c r="D164" s="1382">
        <v>1866.02</v>
      </c>
      <c r="E164" s="1382">
        <v>1.0132903281280037</v>
      </c>
      <c r="F164" s="1382">
        <v>7.7361155046709458</v>
      </c>
      <c r="K164" s="1462">
        <v>42221</v>
      </c>
      <c r="L164" s="1463" t="s">
        <v>2127</v>
      </c>
      <c r="M164" s="1464">
        <v>5.2531000000000001E-2</v>
      </c>
      <c r="N164" s="1465">
        <v>1.0549810138230595</v>
      </c>
      <c r="O164" s="1465">
        <v>1.0549810138230595</v>
      </c>
    </row>
    <row r="165" spans="2:15">
      <c r="B165" s="1381">
        <v>37438</v>
      </c>
      <c r="C165" s="1382">
        <v>228.05699999999999</v>
      </c>
      <c r="D165" s="1382">
        <v>1888.23</v>
      </c>
      <c r="E165" s="1382">
        <v>1.0153543455443825</v>
      </c>
      <c r="F165" s="1382">
        <v>7.8548984953009189</v>
      </c>
      <c r="K165" s="1462">
        <v>42222</v>
      </c>
      <c r="L165" s="1463" t="s">
        <v>2127</v>
      </c>
      <c r="M165" s="1464">
        <v>5.2531000000000001E-2</v>
      </c>
      <c r="N165" s="1465">
        <v>1.055535205899431</v>
      </c>
      <c r="O165" s="1465">
        <v>1.055535205899431</v>
      </c>
    </row>
    <row r="166" spans="2:15">
      <c r="B166" s="1381">
        <v>37469</v>
      </c>
      <c r="C166" s="1382">
        <v>233.34800000000001</v>
      </c>
      <c r="D166" s="1382">
        <v>1900.5</v>
      </c>
      <c r="E166" s="1382">
        <v>1.0144340404848073</v>
      </c>
      <c r="F166" s="1382">
        <v>7.9682764181861447</v>
      </c>
      <c r="K166" s="1462">
        <v>42223</v>
      </c>
      <c r="L166" s="1463" t="s">
        <v>2127</v>
      </c>
      <c r="M166" s="1464">
        <v>5.2531000000000001E-2</v>
      </c>
      <c r="N166" s="1465">
        <v>1.0560896890984419</v>
      </c>
      <c r="O166" s="1465">
        <v>1.0560896890984419</v>
      </c>
    </row>
    <row r="167" spans="2:15">
      <c r="B167" s="1381">
        <v>37500</v>
      </c>
      <c r="C167" s="1382">
        <v>238.94300000000001</v>
      </c>
      <c r="D167" s="1382">
        <v>1914.18</v>
      </c>
      <c r="E167" s="1382">
        <v>1.0138126637754254</v>
      </c>
      <c r="F167" s="1382">
        <v>8.0783395412202008</v>
      </c>
      <c r="K167" s="1462">
        <v>42224</v>
      </c>
      <c r="L167" s="1463"/>
      <c r="M167" s="1464">
        <v>0</v>
      </c>
      <c r="N167" s="1465">
        <v>1.0560896890984419</v>
      </c>
      <c r="O167" s="1465">
        <v>1.0560896890984419</v>
      </c>
    </row>
    <row r="168" spans="2:15">
      <c r="B168" s="1381">
        <v>37530</v>
      </c>
      <c r="C168" s="1382">
        <v>248.19900000000001</v>
      </c>
      <c r="D168" s="1382">
        <v>1939.26</v>
      </c>
      <c r="E168" s="1382">
        <v>1.0164592520111337</v>
      </c>
      <c r="F168" s="1382">
        <v>8.2113029675606501</v>
      </c>
      <c r="K168" s="1462">
        <v>42225</v>
      </c>
      <c r="L168" s="1463"/>
      <c r="M168" s="1464">
        <v>0</v>
      </c>
      <c r="N168" s="1465">
        <v>1.0560896890984419</v>
      </c>
      <c r="O168" s="1465">
        <v>1.0560896890984419</v>
      </c>
    </row>
    <row r="169" spans="2:15">
      <c r="B169" s="1381">
        <v>37561</v>
      </c>
      <c r="C169" s="1382">
        <v>261.08</v>
      </c>
      <c r="D169" s="1382">
        <v>1997.83</v>
      </c>
      <c r="E169" s="1382">
        <v>1.0154093077816833</v>
      </c>
      <c r="F169" s="1382">
        <v>8.337833462276441</v>
      </c>
      <c r="K169" s="1462">
        <v>42226</v>
      </c>
      <c r="L169" s="1463" t="s">
        <v>2127</v>
      </c>
      <c r="M169" s="1464">
        <v>5.2531000000000001E-2</v>
      </c>
      <c r="N169" s="1465">
        <v>1.0566444635730223</v>
      </c>
      <c r="O169" s="1465">
        <v>1.0566444635730223</v>
      </c>
    </row>
    <row r="170" spans="2:15">
      <c r="B170" s="1381">
        <v>37591</v>
      </c>
      <c r="C170" s="1382">
        <v>270.86700000000002</v>
      </c>
      <c r="D170" s="1382">
        <v>2039.78</v>
      </c>
      <c r="E170" s="1382">
        <v>1.0174244857414556</v>
      </c>
      <c r="F170" s="1382">
        <v>8.483115922554509</v>
      </c>
      <c r="K170" s="1462">
        <v>42227</v>
      </c>
      <c r="L170" s="1463" t="s">
        <v>2127</v>
      </c>
      <c r="M170" s="1464">
        <v>5.2531000000000001E-2</v>
      </c>
      <c r="N170" s="1465">
        <v>1.0571995294761818</v>
      </c>
      <c r="O170" s="1465">
        <v>1.0571995294761818</v>
      </c>
    </row>
    <row r="171" spans="2:15">
      <c r="B171" s="1381">
        <v>37622</v>
      </c>
      <c r="C171" s="1382">
        <v>277.173</v>
      </c>
      <c r="D171" s="1382">
        <v>2085.6799999999998</v>
      </c>
      <c r="E171" s="1382">
        <v>1.0197126646415859</v>
      </c>
      <c r="F171" s="1382">
        <v>8.6503407418515241</v>
      </c>
      <c r="K171" s="1462">
        <v>42228</v>
      </c>
      <c r="L171" s="1463" t="s">
        <v>2127</v>
      </c>
      <c r="M171" s="1464">
        <v>5.2531000000000001E-2</v>
      </c>
      <c r="N171" s="1465">
        <v>1.0577548869610109</v>
      </c>
      <c r="O171" s="1465">
        <v>1.0577548869610109</v>
      </c>
    </row>
    <row r="172" spans="2:15">
      <c r="B172" s="1381">
        <v>37653</v>
      </c>
      <c r="C172" s="1382">
        <v>283.50599999999997</v>
      </c>
      <c r="D172" s="1382">
        <v>2118.4299999999998</v>
      </c>
      <c r="E172" s="1382">
        <v>1.0183037986307939</v>
      </c>
      <c r="F172" s="1382">
        <v>8.8086748368781276</v>
      </c>
      <c r="K172" s="1462">
        <v>42229</v>
      </c>
      <c r="L172" s="1463" t="s">
        <v>2127</v>
      </c>
      <c r="M172" s="1464">
        <v>5.2531000000000001E-2</v>
      </c>
      <c r="N172" s="1465">
        <v>1.0583105361806804</v>
      </c>
      <c r="O172" s="1465">
        <v>1.0583105361806804</v>
      </c>
    </row>
    <row r="173" spans="2:15">
      <c r="B173" s="1381">
        <v>37681</v>
      </c>
      <c r="C173" s="1382">
        <v>287.85500000000002</v>
      </c>
      <c r="D173" s="1382">
        <v>2144.4899999999998</v>
      </c>
      <c r="E173" s="1382">
        <v>1.0177701866474056</v>
      </c>
      <c r="F173" s="1382">
        <v>8.9652066328457565</v>
      </c>
      <c r="K173" s="1462">
        <v>42230</v>
      </c>
      <c r="L173" s="1463" t="s">
        <v>2127</v>
      </c>
      <c r="M173" s="1464">
        <v>5.2531000000000001E-2</v>
      </c>
      <c r="N173" s="1465">
        <v>1.0588664772884415</v>
      </c>
      <c r="O173" s="1465">
        <v>1.0588664772884415</v>
      </c>
    </row>
    <row r="174" spans="2:15">
      <c r="B174" s="1381">
        <v>37712</v>
      </c>
      <c r="C174" s="1382">
        <v>290.512</v>
      </c>
      <c r="D174" s="1382">
        <v>2165.29</v>
      </c>
      <c r="E174" s="1382">
        <v>1.0187159495984839</v>
      </c>
      <c r="F174" s="1382">
        <v>9.1329989883260918</v>
      </c>
      <c r="K174" s="1462">
        <v>42231</v>
      </c>
      <c r="L174" s="1463"/>
      <c r="M174" s="1464">
        <v>0</v>
      </c>
      <c r="N174" s="1465">
        <v>1.0588664772884415</v>
      </c>
      <c r="O174" s="1465">
        <v>1.0588664772884415</v>
      </c>
    </row>
    <row r="175" spans="2:15">
      <c r="B175" s="1381">
        <v>37742</v>
      </c>
      <c r="C175" s="1382">
        <v>289.74700000000001</v>
      </c>
      <c r="D175" s="1382">
        <v>2178.5</v>
      </c>
      <c r="E175" s="1382">
        <v>1.0196535248447016</v>
      </c>
      <c r="F175" s="1382">
        <v>9.312494610849793</v>
      </c>
      <c r="K175" s="1462">
        <v>42232</v>
      </c>
      <c r="L175" s="1463"/>
      <c r="M175" s="1464">
        <v>0</v>
      </c>
      <c r="N175" s="1465">
        <v>1.0588664772884415</v>
      </c>
      <c r="O175" s="1465">
        <v>1.0588664772884415</v>
      </c>
    </row>
    <row r="176" spans="2:15">
      <c r="B176" s="1381">
        <v>37773</v>
      </c>
      <c r="C176" s="1382">
        <v>286.84300000000002</v>
      </c>
      <c r="D176" s="1382">
        <v>2175.23</v>
      </c>
      <c r="E176" s="1382">
        <v>1.0185667947451373</v>
      </c>
      <c r="F176" s="1382">
        <v>9.4853977868546391</v>
      </c>
      <c r="K176" s="1462">
        <v>42233</v>
      </c>
      <c r="L176" s="1463" t="s">
        <v>2127</v>
      </c>
      <c r="M176" s="1464">
        <v>5.2531000000000001E-2</v>
      </c>
      <c r="N176" s="1465">
        <v>1.0594227104376259</v>
      </c>
      <c r="O176" s="1465">
        <v>1.0594227104376259</v>
      </c>
    </row>
    <row r="177" spans="2:15">
      <c r="B177" s="1381">
        <v>37803</v>
      </c>
      <c r="C177" s="1382">
        <v>285.649</v>
      </c>
      <c r="D177" s="1382">
        <v>2179.58</v>
      </c>
      <c r="E177" s="1382">
        <v>1.0208424747911398</v>
      </c>
      <c r="F177" s="1382">
        <v>9.6830969511110894</v>
      </c>
      <c r="K177" s="1462">
        <v>42234</v>
      </c>
      <c r="L177" s="1463" t="s">
        <v>2127</v>
      </c>
      <c r="M177" s="1464">
        <v>5.2531000000000001E-2</v>
      </c>
      <c r="N177" s="1465">
        <v>1.059979235781646</v>
      </c>
      <c r="O177" s="1465">
        <v>1.059979235781646</v>
      </c>
    </row>
    <row r="178" spans="2:15">
      <c r="B178" s="1381">
        <v>37834</v>
      </c>
      <c r="C178" s="1382">
        <v>286.73500000000001</v>
      </c>
      <c r="D178" s="1382">
        <v>2186.9899999999998</v>
      </c>
      <c r="E178" s="1382">
        <v>1.0177426111342931</v>
      </c>
      <c r="F178" s="1382">
        <v>9.8549003748903132</v>
      </c>
      <c r="K178" s="1462">
        <v>42235</v>
      </c>
      <c r="L178" s="1463" t="s">
        <v>2127</v>
      </c>
      <c r="M178" s="1464">
        <v>5.2531000000000001E-2</v>
      </c>
      <c r="N178" s="1465">
        <v>1.0605360534739945</v>
      </c>
      <c r="O178" s="1465">
        <v>1.0605360534739945</v>
      </c>
    </row>
    <row r="179" spans="2:15">
      <c r="B179" s="1381">
        <v>37865</v>
      </c>
      <c r="C179" s="1382">
        <v>290.12700000000001</v>
      </c>
      <c r="D179" s="1382">
        <v>2204.0500000000002</v>
      </c>
      <c r="E179" s="1382">
        <v>1.0167950902831471</v>
      </c>
      <c r="F179" s="1382">
        <v>10.020414316418016</v>
      </c>
      <c r="K179" s="1462">
        <v>42236</v>
      </c>
      <c r="L179" s="1463" t="s">
        <v>2127</v>
      </c>
      <c r="M179" s="1464">
        <v>5.2531000000000001E-2</v>
      </c>
      <c r="N179" s="1465">
        <v>1.061093163668245</v>
      </c>
      <c r="O179" s="1465">
        <v>1.061093163668245</v>
      </c>
    </row>
    <row r="180" spans="2:15">
      <c r="B180" s="1381">
        <v>37895</v>
      </c>
      <c r="C180" s="1382">
        <v>291.22899999999998</v>
      </c>
      <c r="D180" s="1382">
        <v>2210.44</v>
      </c>
      <c r="E180" s="1382">
        <v>1.0164205992977207</v>
      </c>
      <c r="F180" s="1382">
        <v>10.18495552470506</v>
      </c>
      <c r="K180" s="1462">
        <v>42237</v>
      </c>
      <c r="L180" s="1463" t="s">
        <v>2127</v>
      </c>
      <c r="M180" s="1464">
        <v>5.2531000000000001E-2</v>
      </c>
      <c r="N180" s="1465">
        <v>1.0616505665180516</v>
      </c>
      <c r="O180" s="1465">
        <v>1.0616505665180516</v>
      </c>
    </row>
    <row r="181" spans="2:15">
      <c r="B181" s="1381">
        <v>37926</v>
      </c>
      <c r="C181" s="1382">
        <v>292.65699999999998</v>
      </c>
      <c r="D181" s="1382">
        <v>2217.96</v>
      </c>
      <c r="E181" s="1382">
        <v>1.0134353138584866</v>
      </c>
      <c r="F181" s="1382">
        <v>10.3217935988142</v>
      </c>
      <c r="K181" s="1462">
        <v>42238</v>
      </c>
      <c r="L181" s="1463"/>
      <c r="M181" s="1464">
        <v>0</v>
      </c>
      <c r="N181" s="1465">
        <v>1.0616505665180516</v>
      </c>
      <c r="O181" s="1465">
        <v>1.0616505665180516</v>
      </c>
    </row>
    <row r="182" spans="2:15">
      <c r="B182" s="1381">
        <v>37956</v>
      </c>
      <c r="C182" s="1382">
        <v>294.45499999999998</v>
      </c>
      <c r="D182" s="1382">
        <v>2229.4899999999998</v>
      </c>
      <c r="E182" s="1382">
        <v>1.0137325047762002</v>
      </c>
      <c r="F182" s="1382">
        <v>10.463537678708869</v>
      </c>
      <c r="K182" s="1462">
        <v>42239</v>
      </c>
      <c r="L182" s="1463"/>
      <c r="M182" s="1464">
        <v>0</v>
      </c>
      <c r="N182" s="1465">
        <v>1.0616505665180516</v>
      </c>
      <c r="O182" s="1465">
        <v>1.0616505665180516</v>
      </c>
    </row>
    <row r="183" spans="2:15">
      <c r="B183" s="1381">
        <v>37987</v>
      </c>
      <c r="C183" s="1382">
        <v>297.03899999999999</v>
      </c>
      <c r="D183" s="1382">
        <v>2246.4299999999998</v>
      </c>
      <c r="E183" s="1382">
        <v>1.0126755135884871</v>
      </c>
      <c r="F183" s="1382">
        <v>10.59616839273899</v>
      </c>
      <c r="K183" s="1462">
        <v>42240</v>
      </c>
      <c r="L183" s="1463" t="s">
        <v>2127</v>
      </c>
      <c r="M183" s="1464">
        <v>5.2531000000000001E-2</v>
      </c>
      <c r="N183" s="1465">
        <v>1.0622082621771491</v>
      </c>
      <c r="O183" s="1465">
        <v>1.0622082621771491</v>
      </c>
    </row>
    <row r="184" spans="2:15">
      <c r="B184" s="1381">
        <v>38018</v>
      </c>
      <c r="C184" s="1382">
        <v>299.09699999999998</v>
      </c>
      <c r="D184" s="1382">
        <v>2260.13</v>
      </c>
      <c r="E184" s="1382">
        <v>1.0108439419169848</v>
      </c>
      <c r="F184" s="1382">
        <v>10.711072627332442</v>
      </c>
      <c r="K184" s="1462">
        <v>42241</v>
      </c>
      <c r="L184" s="1463" t="s">
        <v>2127</v>
      </c>
      <c r="M184" s="1464">
        <v>5.2531000000000001E-2</v>
      </c>
      <c r="N184" s="1465">
        <v>1.0627662507993534</v>
      </c>
      <c r="O184" s="1465">
        <v>1.0627662507993534</v>
      </c>
    </row>
    <row r="185" spans="2:15">
      <c r="B185" s="1381">
        <v>38047</v>
      </c>
      <c r="C185" s="1382">
        <v>302.48399999999998</v>
      </c>
      <c r="D185" s="1382">
        <v>2270.75</v>
      </c>
      <c r="E185" s="1382">
        <v>1.0137912342986635</v>
      </c>
      <c r="F185" s="1382">
        <v>10.858791539525985</v>
      </c>
      <c r="K185" s="1462">
        <v>42242</v>
      </c>
      <c r="L185" s="1463" t="s">
        <v>2127</v>
      </c>
      <c r="M185" s="1464">
        <v>5.2531000000000001E-2</v>
      </c>
      <c r="N185" s="1465">
        <v>1.0633245325385607</v>
      </c>
      <c r="O185" s="1465">
        <v>1.0633245325385607</v>
      </c>
    </row>
    <row r="186" spans="2:15">
      <c r="B186" s="1381">
        <v>38078</v>
      </c>
      <c r="C186" s="1382">
        <v>306.15100000000001</v>
      </c>
      <c r="D186" s="1382">
        <v>2279.15</v>
      </c>
      <c r="E186" s="1382">
        <v>1.011818501098614</v>
      </c>
      <c r="F186" s="1382">
        <v>10.987126179265493</v>
      </c>
      <c r="K186" s="1462">
        <v>42243</v>
      </c>
      <c r="L186" s="1463" t="s">
        <v>2127</v>
      </c>
      <c r="M186" s="1464">
        <v>5.2531000000000001E-2</v>
      </c>
      <c r="N186" s="1465">
        <v>1.0638831075487485</v>
      </c>
      <c r="O186" s="1465">
        <v>1.0638831075487485</v>
      </c>
    </row>
    <row r="187" spans="2:15">
      <c r="B187" s="1381">
        <v>38108</v>
      </c>
      <c r="C187" s="1382">
        <v>310.15199999999999</v>
      </c>
      <c r="D187" s="1382">
        <v>2290.77</v>
      </c>
      <c r="E187" s="1382">
        <v>1.0122780474663127</v>
      </c>
      <c r="F187" s="1382">
        <v>11.122026636012881</v>
      </c>
      <c r="K187" s="1462">
        <v>42244</v>
      </c>
      <c r="L187" s="1463" t="s">
        <v>2127</v>
      </c>
      <c r="M187" s="1464">
        <v>5.2531000000000001E-2</v>
      </c>
      <c r="N187" s="1465">
        <v>1.0644419759839749</v>
      </c>
      <c r="O187" s="1465">
        <v>1.0644419759839749</v>
      </c>
    </row>
    <row r="188" spans="2:15">
      <c r="B188" s="1381">
        <v>38139</v>
      </c>
      <c r="C188" s="1382">
        <v>314.41899999999998</v>
      </c>
      <c r="D188" s="1382">
        <v>2307.0300000000002</v>
      </c>
      <c r="E188" s="1382">
        <v>1.0122988884857291</v>
      </c>
      <c r="F188" s="1382">
        <v>11.258815201344513</v>
      </c>
      <c r="K188" s="1462">
        <v>42245</v>
      </c>
      <c r="L188" s="1463"/>
      <c r="M188" s="1464">
        <v>0</v>
      </c>
      <c r="N188" s="1465">
        <v>1.0644419759839749</v>
      </c>
      <c r="O188" s="1465">
        <v>1.0644419759839749</v>
      </c>
    </row>
    <row r="189" spans="2:15">
      <c r="B189" s="1381">
        <v>38169</v>
      </c>
      <c r="C189" s="1382">
        <v>318.53199999999998</v>
      </c>
      <c r="D189" s="1382">
        <v>2328.02</v>
      </c>
      <c r="E189" s="1382">
        <v>1.012868893920805</v>
      </c>
      <c r="F189" s="1382">
        <v>11.403703699844563</v>
      </c>
      <c r="K189" s="1462">
        <v>42246</v>
      </c>
      <c r="L189" s="1463"/>
      <c r="M189" s="1464">
        <v>0</v>
      </c>
      <c r="N189" s="1465">
        <v>1.0644419759839749</v>
      </c>
      <c r="O189" s="1465">
        <v>1.0644419759839749</v>
      </c>
    </row>
    <row r="190" spans="2:15">
      <c r="B190" s="1381">
        <v>38200</v>
      </c>
      <c r="C190" s="1382">
        <v>322.41199999999998</v>
      </c>
      <c r="D190" s="1382">
        <v>2344.08</v>
      </c>
      <c r="E190" s="1382">
        <v>1.0129358583775749</v>
      </c>
      <c r="F190" s="1382">
        <v>11.551220395885579</v>
      </c>
      <c r="K190" s="1462">
        <v>42247</v>
      </c>
      <c r="L190" s="1463" t="s">
        <v>2127</v>
      </c>
      <c r="M190" s="1464">
        <v>5.2531000000000001E-2</v>
      </c>
      <c r="N190" s="1465">
        <v>1.065001137998379</v>
      </c>
      <c r="O190" s="1465">
        <v>1.065001137998379</v>
      </c>
    </row>
    <row r="191" spans="2:15">
      <c r="B191" s="1381">
        <v>38231</v>
      </c>
      <c r="C191" s="1382">
        <v>324.65100000000001</v>
      </c>
      <c r="D191" s="1382">
        <v>2351.8200000000002</v>
      </c>
      <c r="E191" s="1382">
        <v>1.0125132709021758</v>
      </c>
      <c r="F191" s="1382">
        <v>11.695763945950034</v>
      </c>
      <c r="K191" s="1462">
        <v>42248</v>
      </c>
      <c r="L191" s="1463" t="s">
        <v>2127</v>
      </c>
      <c r="M191" s="1464">
        <v>5.2531000000000001E-2</v>
      </c>
      <c r="N191" s="1465">
        <v>1.065560593746181</v>
      </c>
      <c r="O191" s="1465">
        <v>1.065560593746181</v>
      </c>
    </row>
    <row r="192" spans="2:15">
      <c r="B192" s="1381">
        <v>38261</v>
      </c>
      <c r="C192" s="1382">
        <v>325.92500000000001</v>
      </c>
      <c r="D192" s="1382">
        <v>2362.17</v>
      </c>
      <c r="E192" s="1382">
        <v>1.0121322386789289</v>
      </c>
      <c r="F192" s="1382">
        <v>11.837659745674712</v>
      </c>
      <c r="K192" s="1462">
        <v>42249</v>
      </c>
      <c r="L192" s="1463" t="s">
        <v>2127</v>
      </c>
      <c r="M192" s="1464">
        <v>5.2531000000000001E-2</v>
      </c>
      <c r="N192" s="1465">
        <v>1.0661203433816817</v>
      </c>
      <c r="O192" s="1465">
        <v>1.0661203433816817</v>
      </c>
    </row>
    <row r="193" spans="2:15">
      <c r="B193" s="1381">
        <v>38292</v>
      </c>
      <c r="C193" s="1382">
        <v>328.58800000000002</v>
      </c>
      <c r="D193" s="1382">
        <v>2378.4699999999998</v>
      </c>
      <c r="E193" s="1382">
        <v>1.0125098562166484</v>
      </c>
      <c r="F193" s="1382">
        <v>11.985747167034708</v>
      </c>
      <c r="K193" s="1462">
        <v>42250</v>
      </c>
      <c r="L193" s="1463" t="s">
        <v>2127</v>
      </c>
      <c r="M193" s="1464">
        <v>5.2531000000000001E-2</v>
      </c>
      <c r="N193" s="1465">
        <v>1.0666803870592636</v>
      </c>
      <c r="O193" s="1465">
        <v>1.0666803870592636</v>
      </c>
    </row>
    <row r="194" spans="2:15">
      <c r="B194" s="1381">
        <v>38322</v>
      </c>
      <c r="C194" s="1382">
        <v>331.005</v>
      </c>
      <c r="D194" s="1382">
        <v>2398.92</v>
      </c>
      <c r="E194" s="1382">
        <v>1.0148282315457626</v>
      </c>
      <c r="F194" s="1382">
        <v>12.163474601276468</v>
      </c>
      <c r="K194" s="1462">
        <v>42251</v>
      </c>
      <c r="L194" s="1463" t="s">
        <v>2127</v>
      </c>
      <c r="M194" s="1464">
        <v>5.2531000000000001E-2</v>
      </c>
      <c r="N194" s="1465">
        <v>1.0672407249333897</v>
      </c>
      <c r="O194" s="1465">
        <v>1.0672407249333897</v>
      </c>
    </row>
    <row r="195" spans="2:15">
      <c r="B195" s="1381">
        <v>38353</v>
      </c>
      <c r="C195" s="1382">
        <v>332.298</v>
      </c>
      <c r="D195" s="1382">
        <v>2412.83</v>
      </c>
      <c r="E195" s="1382">
        <v>1.0138388229391033</v>
      </c>
      <c r="F195" s="1382">
        <v>12.331802772607814</v>
      </c>
      <c r="K195" s="1462">
        <v>42252</v>
      </c>
      <c r="L195" s="1463"/>
      <c r="M195" s="1464">
        <v>0</v>
      </c>
      <c r="N195" s="1465">
        <v>1.0672407249333897</v>
      </c>
      <c r="O195" s="1465">
        <v>1.0672407249333897</v>
      </c>
    </row>
    <row r="196" spans="2:15">
      <c r="B196" s="1381">
        <v>38384</v>
      </c>
      <c r="C196" s="1382">
        <v>333.28800000000001</v>
      </c>
      <c r="D196" s="1382">
        <v>2427.0700000000002</v>
      </c>
      <c r="E196" s="1382">
        <v>1.0121818576713373</v>
      </c>
      <c r="F196" s="1382">
        <v>12.482027038814724</v>
      </c>
      <c r="K196" s="1462">
        <v>42253</v>
      </c>
      <c r="L196" s="1463"/>
      <c r="M196" s="1464">
        <v>0</v>
      </c>
      <c r="N196" s="1465">
        <v>1.0672407249333897</v>
      </c>
      <c r="O196" s="1465">
        <v>1.0672407249333897</v>
      </c>
    </row>
    <row r="197" spans="2:15">
      <c r="B197" s="1381">
        <v>38412</v>
      </c>
      <c r="C197" s="1382">
        <v>336.12299999999999</v>
      </c>
      <c r="D197" s="1382">
        <v>2441.87</v>
      </c>
      <c r="E197" s="1382">
        <v>1.0152817807540921</v>
      </c>
      <c r="F197" s="1382">
        <v>12.672774639388541</v>
      </c>
      <c r="G197" s="67"/>
      <c r="K197" s="1462">
        <v>42254</v>
      </c>
      <c r="L197" s="1463"/>
      <c r="M197" s="1464">
        <v>0</v>
      </c>
      <c r="N197" s="1465">
        <v>1.0672407249333897</v>
      </c>
      <c r="O197" s="1465">
        <v>1.0672407249333897</v>
      </c>
    </row>
    <row r="198" spans="2:15">
      <c r="B198" s="1381">
        <v>38443</v>
      </c>
      <c r="C198" s="1382">
        <v>339.03</v>
      </c>
      <c r="D198" s="1382">
        <v>2463.11</v>
      </c>
      <c r="E198" s="1382">
        <v>1.0141152901477553</v>
      </c>
      <c r="F198" s="1382">
        <v>12.851654530400625</v>
      </c>
      <c r="K198" s="1462">
        <v>42255</v>
      </c>
      <c r="L198" s="1463" t="s">
        <v>2127</v>
      </c>
      <c r="M198" s="1464">
        <v>5.2531000000000001E-2</v>
      </c>
      <c r="N198" s="1465">
        <v>1.0678013571586045</v>
      </c>
      <c r="O198" s="1465">
        <v>1.0678013571586045</v>
      </c>
    </row>
    <row r="199" spans="2:15">
      <c r="B199" s="1381">
        <v>38473</v>
      </c>
      <c r="C199" s="1382">
        <v>338.29899999999998</v>
      </c>
      <c r="D199" s="1382">
        <v>2475.1799999999998</v>
      </c>
      <c r="E199" s="1382">
        <v>1.0150306502044895</v>
      </c>
      <c r="F199" s="1382">
        <v>13.044823254196018</v>
      </c>
      <c r="K199" s="1462">
        <v>42256</v>
      </c>
      <c r="L199" s="1463" t="s">
        <v>2127</v>
      </c>
      <c r="M199" s="1464">
        <v>5.2531000000000001E-2</v>
      </c>
      <c r="N199" s="1465">
        <v>1.0683622838895335</v>
      </c>
      <c r="O199" s="1465">
        <v>1.0683622838895335</v>
      </c>
    </row>
    <row r="200" spans="2:15">
      <c r="B200" s="1381">
        <v>38504</v>
      </c>
      <c r="C200" s="1382">
        <v>336.80099999999999</v>
      </c>
      <c r="D200" s="1382">
        <v>2474.6799999999998</v>
      </c>
      <c r="E200" s="1382">
        <v>1.0158560276185216</v>
      </c>
      <c r="F200" s="1382">
        <v>13.251662331993282</v>
      </c>
      <c r="K200" s="1462">
        <v>42257</v>
      </c>
      <c r="L200" s="1463" t="s">
        <v>2127</v>
      </c>
      <c r="M200" s="1464">
        <v>5.2531000000000001E-2</v>
      </c>
      <c r="N200" s="1465">
        <v>1.0689235052808834</v>
      </c>
      <c r="O200" s="1465">
        <v>1.0689235052808834</v>
      </c>
    </row>
    <row r="201" spans="2:15">
      <c r="B201" s="1381">
        <v>38534</v>
      </c>
      <c r="C201" s="1382">
        <v>335.66300000000001</v>
      </c>
      <c r="D201" s="1382">
        <v>2480.87</v>
      </c>
      <c r="E201" s="1382">
        <v>1.0151134516871545</v>
      </c>
      <c r="F201" s="1382">
        <v>13.451940690422347</v>
      </c>
      <c r="K201" s="1462">
        <v>42258</v>
      </c>
      <c r="L201" s="1463" t="s">
        <v>2127</v>
      </c>
      <c r="M201" s="1464">
        <v>5.2531000000000001E-2</v>
      </c>
      <c r="N201" s="1465">
        <v>1.0694850214874425</v>
      </c>
      <c r="O201" s="1465">
        <v>1.0694850214874425</v>
      </c>
    </row>
    <row r="202" spans="2:15">
      <c r="B202" s="1381">
        <v>38565</v>
      </c>
      <c r="C202" s="1382">
        <v>333.47399999999999</v>
      </c>
      <c r="D202" s="1382">
        <v>2485.09</v>
      </c>
      <c r="E202" s="1382">
        <v>1.0165848332092207</v>
      </c>
      <c r="F202" s="1382">
        <v>13.675038883113331</v>
      </c>
      <c r="K202" s="1462">
        <v>42259</v>
      </c>
      <c r="L202" s="1463"/>
      <c r="M202" s="1464">
        <v>0</v>
      </c>
      <c r="N202" s="1465">
        <v>1.0694850214874425</v>
      </c>
      <c r="O202" s="1465">
        <v>1.0694850214874425</v>
      </c>
    </row>
    <row r="203" spans="2:15">
      <c r="B203" s="1381">
        <v>38596</v>
      </c>
      <c r="C203" s="1382">
        <v>331.69</v>
      </c>
      <c r="D203" s="1382">
        <v>2493.79</v>
      </c>
      <c r="E203" s="1382">
        <v>1.0150313602253485</v>
      </c>
      <c r="F203" s="1382">
        <v>13.880593318661054</v>
      </c>
      <c r="K203" s="1462">
        <v>42260</v>
      </c>
      <c r="L203" s="1463"/>
      <c r="M203" s="1464">
        <v>0</v>
      </c>
      <c r="N203" s="1465">
        <v>1.0694850214874425</v>
      </c>
      <c r="O203" s="1465">
        <v>1.0694850214874425</v>
      </c>
    </row>
    <row r="204" spans="2:15">
      <c r="B204" s="1381">
        <v>38626</v>
      </c>
      <c r="C204" s="1382">
        <v>333.69400000000002</v>
      </c>
      <c r="D204" s="1382">
        <v>2512.4899999999998</v>
      </c>
      <c r="E204" s="1382">
        <v>1.0140716431638075</v>
      </c>
      <c r="F204" s="1382">
        <v>14.075916074743184</v>
      </c>
      <c r="K204" s="1462">
        <v>42261</v>
      </c>
      <c r="L204" s="1463" t="s">
        <v>2127</v>
      </c>
      <c r="M204" s="1464">
        <v>5.2531000000000001E-2</v>
      </c>
      <c r="N204" s="1465">
        <v>1.0700468326640802</v>
      </c>
      <c r="O204" s="1465">
        <v>1.0700468326640802</v>
      </c>
    </row>
    <row r="205" spans="2:15">
      <c r="B205" s="1381">
        <v>38657</v>
      </c>
      <c r="C205" s="1382">
        <v>335.03300000000002</v>
      </c>
      <c r="D205" s="1382">
        <v>2526.31</v>
      </c>
      <c r="E205" s="1382">
        <v>1.0138104099310956</v>
      </c>
      <c r="F205" s="1382">
        <v>14.270310245891086</v>
      </c>
      <c r="K205" s="1462">
        <v>42262</v>
      </c>
      <c r="L205" s="1463" t="s">
        <v>2127</v>
      </c>
      <c r="M205" s="1464">
        <v>5.2531000000000001E-2</v>
      </c>
      <c r="N205" s="1465">
        <v>1.0706089389657469</v>
      </c>
      <c r="O205" s="1465">
        <v>1.0706089389657469</v>
      </c>
    </row>
    <row r="206" spans="2:15">
      <c r="B206" s="1381">
        <v>38687</v>
      </c>
      <c r="C206" s="1382">
        <v>335.00599999999997</v>
      </c>
      <c r="D206" s="1382">
        <v>2535.4</v>
      </c>
      <c r="E206" s="1382">
        <v>1.0147357208231795</v>
      </c>
      <c r="F206" s="1382">
        <v>14.480593553734694</v>
      </c>
      <c r="K206" s="1462">
        <v>42263</v>
      </c>
      <c r="L206" s="1463" t="s">
        <v>2127</v>
      </c>
      <c r="M206" s="1464">
        <v>5.2531000000000001E-2</v>
      </c>
      <c r="N206" s="1465">
        <v>1.071171340547475</v>
      </c>
      <c r="O206" s="1465">
        <v>1.071171340547475</v>
      </c>
    </row>
    <row r="207" spans="2:15">
      <c r="B207" s="1381">
        <v>38718</v>
      </c>
      <c r="C207" s="1382">
        <v>338.08300000000003</v>
      </c>
      <c r="D207" s="1382">
        <v>2550.36</v>
      </c>
      <c r="E207" s="1382">
        <v>1.0142931741687891</v>
      </c>
      <c r="F207" s="1382">
        <v>14.687567199465668</v>
      </c>
      <c r="K207" s="1462">
        <v>42264</v>
      </c>
      <c r="L207" s="1463" t="s">
        <v>2127</v>
      </c>
      <c r="M207" s="1464">
        <v>5.2531000000000001E-2</v>
      </c>
      <c r="N207" s="1465">
        <v>1.071734037564378</v>
      </c>
      <c r="O207" s="1465">
        <v>1.071734037564378</v>
      </c>
    </row>
    <row r="208" spans="2:15">
      <c r="B208" s="1381">
        <v>38749</v>
      </c>
      <c r="C208" s="1382">
        <v>338.12799999999999</v>
      </c>
      <c r="D208" s="1382">
        <v>2560.8200000000002</v>
      </c>
      <c r="E208" s="1382">
        <v>1.0114506306443078</v>
      </c>
      <c r="F208" s="1382">
        <v>14.855749106530201</v>
      </c>
      <c r="K208" s="1462">
        <v>42265</v>
      </c>
      <c r="L208" s="1463" t="s">
        <v>2127</v>
      </c>
      <c r="M208" s="1464">
        <v>5.2531000000000001E-2</v>
      </c>
      <c r="N208" s="1465">
        <v>1.072297030171651</v>
      </c>
      <c r="O208" s="1465">
        <v>1.072297030171651</v>
      </c>
    </row>
    <row r="209" spans="2:15">
      <c r="B209" s="1381">
        <v>38777</v>
      </c>
      <c r="C209" s="1382">
        <v>337.339</v>
      </c>
      <c r="D209" s="1382">
        <v>2571.83</v>
      </c>
      <c r="E209" s="1382">
        <v>1.0142230199009199</v>
      </c>
      <c r="F209" s="1382">
        <v>15.067042721715453</v>
      </c>
      <c r="K209" s="1462">
        <v>42266</v>
      </c>
      <c r="L209" s="1463"/>
      <c r="M209" s="1464">
        <v>0</v>
      </c>
      <c r="N209" s="1465">
        <v>1.072297030171651</v>
      </c>
      <c r="O209" s="1465">
        <v>1.072297030171651</v>
      </c>
    </row>
    <row r="210" spans="2:15">
      <c r="B210" s="1381">
        <v>38808</v>
      </c>
      <c r="C210" s="1382">
        <v>335.92099999999999</v>
      </c>
      <c r="D210" s="1382">
        <v>2577.23</v>
      </c>
      <c r="E210" s="1382">
        <v>1.0107787821533378</v>
      </c>
      <c r="F210" s="1382">
        <v>15.229447092907858</v>
      </c>
      <c r="K210" s="1462">
        <v>42267</v>
      </c>
      <c r="L210" s="1463"/>
      <c r="M210" s="1464">
        <v>0</v>
      </c>
      <c r="N210" s="1465">
        <v>1.072297030171651</v>
      </c>
      <c r="O210" s="1465">
        <v>1.072297030171651</v>
      </c>
    </row>
    <row r="211" spans="2:15">
      <c r="B211" s="1381">
        <v>38838</v>
      </c>
      <c r="C211" s="1382">
        <v>337.185</v>
      </c>
      <c r="D211" s="1382">
        <v>2579.81</v>
      </c>
      <c r="E211" s="1382">
        <v>1.0128136552027243</v>
      </c>
      <c r="F211" s="1382">
        <v>15.424591976884511</v>
      </c>
      <c r="K211" s="1462">
        <v>42268</v>
      </c>
      <c r="L211" s="1463" t="s">
        <v>2127</v>
      </c>
      <c r="M211" s="1464">
        <v>5.2531000000000001E-2</v>
      </c>
      <c r="N211" s="1465">
        <v>1.0728603185245704</v>
      </c>
      <c r="O211" s="1465">
        <v>1.0728603185245704</v>
      </c>
    </row>
    <row r="212" spans="2:15">
      <c r="B212" s="1381">
        <v>38869</v>
      </c>
      <c r="C212" s="1382">
        <v>339.71199999999999</v>
      </c>
      <c r="D212" s="1382">
        <v>2574.39</v>
      </c>
      <c r="E212" s="1382">
        <v>1.0118439390435949</v>
      </c>
      <c r="F212" s="1382">
        <v>15.607279904031055</v>
      </c>
      <c r="K212" s="1462">
        <v>42269</v>
      </c>
      <c r="L212" s="1463" t="s">
        <v>2127</v>
      </c>
      <c r="M212" s="1464">
        <v>5.2531000000000001E-2</v>
      </c>
      <c r="N212" s="1465">
        <v>1.0734239027784946</v>
      </c>
      <c r="O212" s="1465">
        <v>1.0734239027784946</v>
      </c>
    </row>
    <row r="213" spans="2:15">
      <c r="B213" s="1381">
        <v>38899</v>
      </c>
      <c r="C213" s="1382">
        <v>340.31200000000001</v>
      </c>
      <c r="D213" s="1382">
        <v>2579.2800000000002</v>
      </c>
      <c r="E213" s="1382">
        <v>1.0116996590630269</v>
      </c>
      <c r="F213" s="1382">
        <v>15.78987975780945</v>
      </c>
      <c r="K213" s="1462">
        <v>42270</v>
      </c>
      <c r="L213" s="1463" t="s">
        <v>2127</v>
      </c>
      <c r="M213" s="1464">
        <v>5.2531000000000001E-2</v>
      </c>
      <c r="N213" s="1465">
        <v>1.0739877830888631</v>
      </c>
      <c r="O213" s="1465">
        <v>1.0739877830888631</v>
      </c>
    </row>
    <row r="214" spans="2:15">
      <c r="B214" s="1381">
        <v>38930</v>
      </c>
      <c r="C214" s="1382">
        <v>341.57400000000001</v>
      </c>
      <c r="D214" s="1382">
        <v>2580.5700000000002</v>
      </c>
      <c r="E214" s="1382">
        <v>1.012562646303421</v>
      </c>
      <c r="F214" s="1382">
        <v>15.988242432380357</v>
      </c>
      <c r="K214" s="1462">
        <v>42271</v>
      </c>
      <c r="L214" s="1463" t="s">
        <v>2127</v>
      </c>
      <c r="M214" s="1464">
        <v>5.2531000000000001E-2</v>
      </c>
      <c r="N214" s="1465">
        <v>1.0745519596111974</v>
      </c>
      <c r="O214" s="1465">
        <v>1.0745519596111974</v>
      </c>
    </row>
    <row r="215" spans="2:15" ht="13.5" customHeight="1">
      <c r="B215" s="1381">
        <v>38961</v>
      </c>
      <c r="C215" s="1382">
        <v>342.56099999999998</v>
      </c>
      <c r="D215" s="1382">
        <v>2585.9899999999998</v>
      </c>
      <c r="E215" s="1382">
        <v>1.0105730983323107</v>
      </c>
      <c r="F215" s="1382">
        <v>16.157287691778738</v>
      </c>
      <c r="K215" s="1462">
        <v>42272</v>
      </c>
      <c r="L215" s="1463" t="s">
        <v>2127</v>
      </c>
      <c r="M215" s="1464">
        <v>5.2531000000000001E-2</v>
      </c>
      <c r="N215" s="1465">
        <v>1.0751164325011009</v>
      </c>
      <c r="O215" s="1465">
        <v>1.0751164325011009</v>
      </c>
    </row>
    <row r="216" spans="2:15">
      <c r="B216" s="1381">
        <v>38991</v>
      </c>
      <c r="C216" s="1382">
        <v>344.15499999999997</v>
      </c>
      <c r="D216" s="1382">
        <v>2594.52</v>
      </c>
      <c r="E216" s="1382">
        <v>1.0109424441222723</v>
      </c>
      <c r="F216" s="1382">
        <v>16.334087909513503</v>
      </c>
      <c r="K216" s="1462">
        <v>42273</v>
      </c>
      <c r="L216" s="1463"/>
      <c r="M216" s="1464">
        <v>0</v>
      </c>
      <c r="N216" s="1465">
        <v>1.0751164325011009</v>
      </c>
      <c r="O216" s="1465">
        <v>1.0751164325011009</v>
      </c>
    </row>
    <row r="217" spans="2:15">
      <c r="B217" s="1381">
        <v>39022</v>
      </c>
      <c r="C217" s="1382">
        <v>346.74599999999998</v>
      </c>
      <c r="D217" s="1382">
        <v>2602.56</v>
      </c>
      <c r="E217" s="1382">
        <v>1.0102060517349183</v>
      </c>
      <c r="F217" s="1382">
        <v>16.500794455760701</v>
      </c>
      <c r="K217" s="1462">
        <v>42274</v>
      </c>
      <c r="L217" s="1463"/>
      <c r="M217" s="1464">
        <v>0</v>
      </c>
      <c r="N217" s="1465">
        <v>1.0751164325011009</v>
      </c>
      <c r="O217" s="1465">
        <v>1.0751164325011009</v>
      </c>
    </row>
    <row r="218" spans="2:15">
      <c r="B218" s="1381">
        <v>39052</v>
      </c>
      <c r="C218" s="1382">
        <v>347.84199999999998</v>
      </c>
      <c r="D218" s="1382">
        <v>2615.0500000000002</v>
      </c>
      <c r="E218" s="1382">
        <v>1.0098788606332807</v>
      </c>
      <c r="F218" s="1382">
        <v>16.663803504527571</v>
      </c>
      <c r="K218" s="1462">
        <v>42275</v>
      </c>
      <c r="L218" s="1463" t="s">
        <v>2127</v>
      </c>
      <c r="M218" s="1464">
        <v>5.2531000000000001E-2</v>
      </c>
      <c r="N218" s="1465">
        <v>1.0756812019142581</v>
      </c>
      <c r="O218" s="1465">
        <v>1.0756812019142581</v>
      </c>
    </row>
    <row r="219" spans="2:15">
      <c r="B219" s="1381">
        <v>39083</v>
      </c>
      <c r="C219" s="1382">
        <v>349.59300000000002</v>
      </c>
      <c r="D219" s="1382">
        <v>2626.56</v>
      </c>
      <c r="E219" s="1382">
        <v>1.0108280266006449</v>
      </c>
      <c r="F219" s="1382">
        <v>16.844239612142516</v>
      </c>
      <c r="K219" s="1462">
        <v>42276</v>
      </c>
      <c r="L219" s="1463" t="s">
        <v>2127</v>
      </c>
      <c r="M219" s="1464">
        <v>5.2531000000000001E-2</v>
      </c>
      <c r="N219" s="1465">
        <v>1.0762462680064357</v>
      </c>
      <c r="O219" s="1465">
        <v>1.0762462680064357</v>
      </c>
    </row>
    <row r="220" spans="2:15">
      <c r="B220" s="1381">
        <v>39114</v>
      </c>
      <c r="C220" s="1382">
        <v>350.524</v>
      </c>
      <c r="D220" s="1382">
        <v>2638.12</v>
      </c>
      <c r="E220" s="1382">
        <v>1.008724844950982</v>
      </c>
      <c r="F220" s="1382">
        <v>16.991202991075649</v>
      </c>
      <c r="K220" s="1462">
        <v>42277</v>
      </c>
      <c r="L220" s="1463" t="s">
        <v>2127</v>
      </c>
      <c r="M220" s="1464">
        <v>5.2531000000000001E-2</v>
      </c>
      <c r="N220" s="1465">
        <v>1.0768116309334823</v>
      </c>
      <c r="O220" s="1465">
        <v>1.0768116309334823</v>
      </c>
    </row>
    <row r="221" spans="2:15">
      <c r="B221" s="1381">
        <v>39142</v>
      </c>
      <c r="C221" s="1382">
        <v>351.71699999999998</v>
      </c>
      <c r="D221" s="1382">
        <v>2647.88</v>
      </c>
      <c r="E221" s="1382">
        <v>1.0105222327764332</v>
      </c>
      <c r="F221" s="1382">
        <v>17.169988384099376</v>
      </c>
      <c r="K221" s="1462">
        <v>42278</v>
      </c>
      <c r="L221" s="1463" t="s">
        <v>2127</v>
      </c>
      <c r="M221" s="1464">
        <v>5.2531000000000001E-2</v>
      </c>
      <c r="N221" s="1465">
        <v>1.0773772908513279</v>
      </c>
      <c r="O221" s="1465">
        <v>1.0773772908513279</v>
      </c>
    </row>
    <row r="222" spans="2:15">
      <c r="B222" s="1381">
        <v>39173</v>
      </c>
      <c r="C222" s="1382">
        <v>351.86900000000003</v>
      </c>
      <c r="D222" s="1382">
        <v>2654.5</v>
      </c>
      <c r="E222" s="1382">
        <v>1.0094482340398951</v>
      </c>
      <c r="F222" s="1382">
        <v>17.332214452814629</v>
      </c>
      <c r="K222" s="1462">
        <v>42279</v>
      </c>
      <c r="L222" s="1463" t="s">
        <v>2127</v>
      </c>
      <c r="M222" s="1464">
        <v>5.2531000000000001E-2</v>
      </c>
      <c r="N222" s="1465">
        <v>1.0779432479159849</v>
      </c>
      <c r="O222" s="1465">
        <v>1.0779432479159849</v>
      </c>
    </row>
    <row r="223" spans="2:15">
      <c r="B223" s="1381">
        <v>39203</v>
      </c>
      <c r="C223" s="1382">
        <v>352.02</v>
      </c>
      <c r="D223" s="1382">
        <v>2661.93</v>
      </c>
      <c r="E223" s="1382">
        <v>1.0102807696314628</v>
      </c>
      <c r="F223" s="1382">
        <v>17.510402956807127</v>
      </c>
      <c r="K223" s="1462">
        <v>42280</v>
      </c>
      <c r="L223" s="1463"/>
      <c r="M223" s="1464">
        <v>0</v>
      </c>
      <c r="N223" s="1465">
        <v>1.0779432479159849</v>
      </c>
      <c r="O223" s="1465">
        <v>1.0779432479159849</v>
      </c>
    </row>
    <row r="224" spans="2:15">
      <c r="B224" s="1381">
        <v>39234</v>
      </c>
      <c r="C224" s="1382">
        <v>352.93599999999998</v>
      </c>
      <c r="D224" s="1382">
        <v>2669.38</v>
      </c>
      <c r="E224" s="1382">
        <v>1.0090562894719608</v>
      </c>
      <c r="F224" s="1382">
        <v>17.668982234754651</v>
      </c>
      <c r="K224" s="1462">
        <v>42281</v>
      </c>
      <c r="L224" s="1463"/>
      <c r="M224" s="1464">
        <v>0</v>
      </c>
      <c r="N224" s="1465">
        <v>1.0779432479159849</v>
      </c>
      <c r="O224" s="1465">
        <v>1.0779432479159849</v>
      </c>
    </row>
    <row r="225" spans="2:15">
      <c r="B225" s="1381">
        <v>39264</v>
      </c>
      <c r="C225" s="1382">
        <v>353.92</v>
      </c>
      <c r="D225" s="1382">
        <v>2675.79</v>
      </c>
      <c r="E225" s="1382">
        <v>1.0097263257608722</v>
      </c>
      <c r="F225" s="1382">
        <v>17.840836511832936</v>
      </c>
      <c r="K225" s="1462">
        <v>42282</v>
      </c>
      <c r="L225" s="1463" t="s">
        <v>2127</v>
      </c>
      <c r="M225" s="1464">
        <v>5.2531000000000001E-2</v>
      </c>
      <c r="N225" s="1465">
        <v>1.0785095022835478</v>
      </c>
      <c r="O225" s="1465">
        <v>1.0785095022835478</v>
      </c>
    </row>
    <row r="226" spans="2:15">
      <c r="B226" s="1381">
        <v>39295</v>
      </c>
      <c r="C226" s="1382">
        <v>357.404</v>
      </c>
      <c r="D226" s="1382">
        <v>2688.37</v>
      </c>
      <c r="E226" s="1382">
        <v>1.0099263513682912</v>
      </c>
      <c r="F226" s="1382">
        <v>18.017930923753628</v>
      </c>
      <c r="K226" s="1462">
        <v>42283</v>
      </c>
      <c r="L226" s="1463" t="s">
        <v>2127</v>
      </c>
      <c r="M226" s="1464">
        <v>5.2531000000000001E-2</v>
      </c>
      <c r="N226" s="1465">
        <v>1.0790760541101925</v>
      </c>
      <c r="O226" s="1465">
        <v>1.0790760541101925</v>
      </c>
    </row>
    <row r="227" spans="2:15">
      <c r="B227" s="1381">
        <v>39326</v>
      </c>
      <c r="C227" s="1382">
        <v>361.99700000000001</v>
      </c>
      <c r="D227" s="1382">
        <v>2693.21</v>
      </c>
      <c r="E227" s="1382">
        <v>1.0080496134415582</v>
      </c>
      <c r="F227" s="1382">
        <v>18.162968302706542</v>
      </c>
      <c r="K227" s="1462">
        <v>42284</v>
      </c>
      <c r="L227" s="1463" t="s">
        <v>2127</v>
      </c>
      <c r="M227" s="1464">
        <v>5.2531000000000001E-2</v>
      </c>
      <c r="N227" s="1465">
        <v>1.0796429035521771</v>
      </c>
      <c r="O227" s="1465">
        <v>1.0796429035521771</v>
      </c>
    </row>
    <row r="228" spans="2:15">
      <c r="B228" s="1381">
        <v>39356</v>
      </c>
      <c r="C228" s="1382">
        <v>365.79399999999998</v>
      </c>
      <c r="D228" s="1382">
        <v>2701.29</v>
      </c>
      <c r="E228" s="1382">
        <v>1.0092949262855189</v>
      </c>
      <c r="F228" s="1382">
        <v>18.331791754206414</v>
      </c>
      <c r="K228" s="1462">
        <v>42285</v>
      </c>
      <c r="L228" s="1463" t="s">
        <v>2127</v>
      </c>
      <c r="M228" s="1464">
        <v>5.2531000000000001E-2</v>
      </c>
      <c r="N228" s="1465">
        <v>1.0802100507658421</v>
      </c>
      <c r="O228" s="1465">
        <v>1.0802100507658421</v>
      </c>
    </row>
    <row r="229" spans="2:15">
      <c r="B229" s="1381">
        <v>39387</v>
      </c>
      <c r="C229" s="1382">
        <v>368.334</v>
      </c>
      <c r="D229" s="1382">
        <v>2711.55</v>
      </c>
      <c r="E229" s="1382">
        <v>1.0084467048252397</v>
      </c>
      <c r="F229" s="1382">
        <v>18.486634988071959</v>
      </c>
      <c r="K229" s="1462">
        <v>42286</v>
      </c>
      <c r="L229" s="1463" t="s">
        <v>2127</v>
      </c>
      <c r="M229" s="1464">
        <v>5.2531000000000001E-2</v>
      </c>
      <c r="N229" s="1465">
        <v>1.08077749590761</v>
      </c>
      <c r="O229" s="1465">
        <v>1.08077749590761</v>
      </c>
    </row>
    <row r="230" spans="2:15">
      <c r="B230" s="1381">
        <v>39417</v>
      </c>
      <c r="C230" s="1382">
        <v>374.815</v>
      </c>
      <c r="D230" s="1382">
        <v>2731.62</v>
      </c>
      <c r="E230" s="1382">
        <v>1.0084467048252395</v>
      </c>
      <c r="F230" s="1382">
        <v>18.642786137028146</v>
      </c>
      <c r="K230" s="1462">
        <v>42287</v>
      </c>
      <c r="L230" s="1463"/>
      <c r="M230" s="1464">
        <v>0</v>
      </c>
      <c r="N230" s="1465">
        <v>1.08077749590761</v>
      </c>
      <c r="O230" s="1465">
        <v>1.08077749590761</v>
      </c>
    </row>
    <row r="231" spans="2:15">
      <c r="B231" s="1381">
        <v>39448</v>
      </c>
      <c r="C231" s="1382">
        <v>378.9</v>
      </c>
      <c r="D231" s="1382">
        <v>2746.37</v>
      </c>
      <c r="E231" s="1382">
        <v>1.0092938367057227</v>
      </c>
      <c r="F231" s="1382">
        <v>18.816049147125398</v>
      </c>
      <c r="K231" s="1462">
        <v>42288</v>
      </c>
      <c r="L231" s="1463"/>
      <c r="M231" s="1464">
        <v>0</v>
      </c>
      <c r="N231" s="1465">
        <v>1.08077749590761</v>
      </c>
      <c r="O231" s="1465">
        <v>1.08077749590761</v>
      </c>
    </row>
    <row r="232" spans="2:15">
      <c r="B232" s="1381">
        <v>39479</v>
      </c>
      <c r="C232" s="1382">
        <v>380.90600000000001</v>
      </c>
      <c r="D232" s="1382">
        <v>2759.83</v>
      </c>
      <c r="E232" s="1382">
        <v>1.0080223173492819</v>
      </c>
      <c r="F232" s="1382">
        <v>18.966997464643324</v>
      </c>
      <c r="K232" s="1462">
        <v>42289</v>
      </c>
      <c r="L232" s="1463"/>
      <c r="M232" s="1464">
        <v>0</v>
      </c>
      <c r="N232" s="1465">
        <v>1.08077749590761</v>
      </c>
      <c r="O232" s="1465">
        <v>1.08077749590761</v>
      </c>
    </row>
    <row r="233" spans="2:15">
      <c r="B233" s="1381">
        <v>39508</v>
      </c>
      <c r="C233" s="1382">
        <v>383.73099999999999</v>
      </c>
      <c r="D233" s="1382">
        <v>2773.08</v>
      </c>
      <c r="E233" s="1382">
        <v>1.0084459790490408</v>
      </c>
      <c r="F233" s="1382">
        <v>19.12719232785291</v>
      </c>
      <c r="K233" s="1462">
        <v>42290</v>
      </c>
      <c r="L233" s="1463" t="s">
        <v>2127</v>
      </c>
      <c r="M233" s="1464">
        <v>5.2531000000000001E-2</v>
      </c>
      <c r="N233" s="1465">
        <v>1.0813452391339853</v>
      </c>
      <c r="O233" s="1465">
        <v>1.0813452391339853</v>
      </c>
    </row>
    <row r="234" spans="2:15">
      <c r="B234" s="1381">
        <v>39539</v>
      </c>
      <c r="C234" s="1382">
        <v>386.38</v>
      </c>
      <c r="D234" s="1382">
        <v>2788.33</v>
      </c>
      <c r="E234" s="1382">
        <v>1.0090142575644072</v>
      </c>
      <c r="F234" s="1382">
        <v>19.299609765980129</v>
      </c>
      <c r="K234" s="1462">
        <v>42291</v>
      </c>
      <c r="L234" s="1463" t="s">
        <v>2127</v>
      </c>
      <c r="M234" s="1464">
        <v>5.2531000000000001E-2</v>
      </c>
      <c r="N234" s="1465">
        <v>1.0819132806015548</v>
      </c>
      <c r="O234" s="1465">
        <v>1.0819132806015548</v>
      </c>
    </row>
    <row r="235" spans="2:15">
      <c r="B235" s="1381">
        <v>39569</v>
      </c>
      <c r="C235" s="1382">
        <v>392.59199999999998</v>
      </c>
      <c r="D235" s="1382">
        <v>2810.36</v>
      </c>
      <c r="E235" s="1382">
        <v>1.0087678287685495</v>
      </c>
      <c r="F235" s="1382">
        <v>19.46882543970807</v>
      </c>
      <c r="K235" s="1462">
        <v>42292</v>
      </c>
      <c r="L235" s="1463" t="s">
        <v>2127</v>
      </c>
      <c r="M235" s="1464">
        <v>5.2531000000000001E-2</v>
      </c>
      <c r="N235" s="1465">
        <v>1.0824816204669876</v>
      </c>
      <c r="O235" s="1465">
        <v>1.0824816204669876</v>
      </c>
    </row>
    <row r="236" spans="2:15">
      <c r="B236" s="1381">
        <v>39600</v>
      </c>
      <c r="C236" s="1382">
        <v>400.38200000000001</v>
      </c>
      <c r="D236" s="1382">
        <v>2831.16</v>
      </c>
      <c r="E236" s="1382">
        <v>1.0095559246898425</v>
      </c>
      <c r="F236" s="1382">
        <v>19.654868069409609</v>
      </c>
      <c r="K236" s="1462">
        <v>42293</v>
      </c>
      <c r="L236" s="1463" t="s">
        <v>2127</v>
      </c>
      <c r="M236" s="1464">
        <v>5.2531000000000001E-2</v>
      </c>
      <c r="N236" s="1465">
        <v>1.0830502588870352</v>
      </c>
      <c r="O236" s="1465">
        <v>1.0830502588870352</v>
      </c>
    </row>
    <row r="237" spans="2:15">
      <c r="B237" s="1381">
        <v>39630</v>
      </c>
      <c r="C237" s="1382">
        <v>407.44600000000003</v>
      </c>
      <c r="D237" s="1382">
        <v>2846.16</v>
      </c>
      <c r="E237" s="1382">
        <v>1.0106967121371</v>
      </c>
      <c r="F237" s="1382">
        <v>19.865110535240763</v>
      </c>
      <c r="K237" s="1462">
        <v>42294</v>
      </c>
      <c r="L237" s="1463"/>
      <c r="M237" s="1464">
        <v>0</v>
      </c>
      <c r="N237" s="1465">
        <v>1.0830502588870352</v>
      </c>
      <c r="O237" s="1465">
        <v>1.0830502588870352</v>
      </c>
    </row>
    <row r="238" spans="2:15">
      <c r="B238" s="1381">
        <v>39661</v>
      </c>
      <c r="C238" s="1382">
        <v>406.12700000000001</v>
      </c>
      <c r="D238" s="1382">
        <v>2854.13</v>
      </c>
      <c r="E238" s="1382">
        <v>1.0101765713502602</v>
      </c>
      <c r="F238" s="1382">
        <v>20.067269249983447</v>
      </c>
      <c r="K238" s="1462">
        <v>42295</v>
      </c>
      <c r="L238" s="1463"/>
      <c r="M238" s="1464">
        <v>0</v>
      </c>
      <c r="N238" s="1465">
        <v>1.0830502588870352</v>
      </c>
      <c r="O238" s="1465">
        <v>1.0830502588870352</v>
      </c>
    </row>
    <row r="239" spans="2:15">
      <c r="B239" s="1381">
        <v>39692</v>
      </c>
      <c r="C239" s="1382">
        <v>406.55700000000002</v>
      </c>
      <c r="D239" s="1382">
        <v>2861.55</v>
      </c>
      <c r="E239" s="1382">
        <v>1.011030909274969</v>
      </c>
      <c r="F239" s="1382">
        <v>20.288629476476387</v>
      </c>
      <c r="K239" s="1462">
        <v>42296</v>
      </c>
      <c r="L239" s="1463" t="s">
        <v>2127</v>
      </c>
      <c r="M239" s="1464">
        <v>5.2531000000000001E-2</v>
      </c>
      <c r="N239" s="1465">
        <v>1.0836191960185311</v>
      </c>
      <c r="O239" s="1465">
        <v>1.0836191960185311</v>
      </c>
    </row>
    <row r="240" spans="2:15">
      <c r="B240" s="1381">
        <v>39722</v>
      </c>
      <c r="C240" s="1382">
        <v>410.524</v>
      </c>
      <c r="D240" s="1382">
        <v>2874.43</v>
      </c>
      <c r="E240" s="1382">
        <v>1.0117587656900342</v>
      </c>
      <c r="F240" s="1382">
        <v>20.527198716662195</v>
      </c>
      <c r="K240" s="1462">
        <v>42297</v>
      </c>
      <c r="L240" s="1463" t="s">
        <v>2127</v>
      </c>
      <c r="M240" s="1464">
        <v>5.2531000000000001E-2</v>
      </c>
      <c r="N240" s="1465">
        <v>1.0841884320183917</v>
      </c>
      <c r="O240" s="1465">
        <v>1.0841884320183917</v>
      </c>
    </row>
    <row r="241" spans="2:15">
      <c r="B241" s="1381">
        <v>39753</v>
      </c>
      <c r="C241" s="1382">
        <v>412.10399999999998</v>
      </c>
      <c r="D241" s="1382">
        <v>2884.78</v>
      </c>
      <c r="E241" s="1382">
        <v>1.0101996908301405</v>
      </c>
      <c r="F241" s="1382">
        <v>20.736569797181005</v>
      </c>
      <c r="K241" s="1462">
        <v>42298</v>
      </c>
      <c r="L241" s="1463" t="s">
        <v>2127</v>
      </c>
      <c r="M241" s="1464">
        <v>5.2531000000000001E-2</v>
      </c>
      <c r="N241" s="1465">
        <v>1.0847579670436152</v>
      </c>
      <c r="O241" s="1465">
        <v>1.0847579670436152</v>
      </c>
    </row>
    <row r="242" spans="2:15">
      <c r="B242" s="1381">
        <v>39783</v>
      </c>
      <c r="C242" s="1382">
        <v>411.57499999999999</v>
      </c>
      <c r="D242" s="1382">
        <v>2892.86</v>
      </c>
      <c r="E242" s="1382">
        <v>1.0112409294280835</v>
      </c>
      <c r="F242" s="1382">
        <v>20.969668114851643</v>
      </c>
      <c r="K242" s="1462">
        <v>42299</v>
      </c>
      <c r="L242" s="1463" t="s">
        <v>2127</v>
      </c>
      <c r="M242" s="1464">
        <v>5.2531000000000001E-2</v>
      </c>
      <c r="N242" s="1465">
        <v>1.0853278012512828</v>
      </c>
      <c r="O242" s="1465">
        <v>1.0853278012512828</v>
      </c>
    </row>
    <row r="243" spans="2:15">
      <c r="B243" s="1381">
        <v>39814</v>
      </c>
      <c r="C243" s="1382">
        <v>409.78199999999998</v>
      </c>
      <c r="D243" s="1382">
        <v>2906.74</v>
      </c>
      <c r="E243" s="1382">
        <v>1.0104780743150839</v>
      </c>
      <c r="F243" s="1382">
        <v>21.189389855721704</v>
      </c>
      <c r="K243" s="1462">
        <v>42300</v>
      </c>
      <c r="L243" s="1463" t="s">
        <v>2127</v>
      </c>
      <c r="M243" s="1464">
        <v>5.2531000000000001E-2</v>
      </c>
      <c r="N243" s="1465">
        <v>1.0858979347985582</v>
      </c>
      <c r="O243" s="1465">
        <v>1.0858979347985582</v>
      </c>
    </row>
    <row r="244" spans="2:15">
      <c r="B244" s="1381">
        <v>39845</v>
      </c>
      <c r="C244" s="1382">
        <v>410.84899999999999</v>
      </c>
      <c r="D244" s="1382">
        <v>2922.73</v>
      </c>
      <c r="E244" s="1382">
        <v>1.0085508573858042</v>
      </c>
      <c r="F244" s="1382">
        <v>21.370577306470185</v>
      </c>
      <c r="K244" s="1462">
        <v>42301</v>
      </c>
      <c r="L244" s="1463"/>
      <c r="M244" s="1464">
        <v>0</v>
      </c>
      <c r="N244" s="1465">
        <v>1.0858979347985582</v>
      </c>
      <c r="O244" s="1465">
        <v>1.0858979347985582</v>
      </c>
    </row>
    <row r="245" spans="2:15">
      <c r="B245" s="1381">
        <v>39873</v>
      </c>
      <c r="C245" s="1382">
        <v>407.80799999999999</v>
      </c>
      <c r="D245" s="1382">
        <v>2928.57</v>
      </c>
      <c r="E245" s="1382">
        <v>1.0097088387156097</v>
      </c>
      <c r="F245" s="1382">
        <v>21.578060794798173</v>
      </c>
      <c r="K245" s="1462">
        <v>42302</v>
      </c>
      <c r="L245" s="1463"/>
      <c r="M245" s="1464">
        <v>0</v>
      </c>
      <c r="N245" s="1465">
        <v>1.0858979347985582</v>
      </c>
      <c r="O245" s="1465">
        <v>1.0858979347985582</v>
      </c>
    </row>
    <row r="246" spans="2:15">
      <c r="B246" s="1381">
        <v>39904</v>
      </c>
      <c r="C246" s="1382">
        <v>407.18099999999998</v>
      </c>
      <c r="D246" s="1382">
        <v>2942.63</v>
      </c>
      <c r="E246" s="1382">
        <v>1.008395669248594</v>
      </c>
      <c r="F246" s="1382">
        <v>21.759223056257351</v>
      </c>
      <c r="K246" s="1462">
        <v>42303</v>
      </c>
      <c r="L246" s="1463" t="s">
        <v>2127</v>
      </c>
      <c r="M246" s="1464">
        <v>5.2531000000000001E-2</v>
      </c>
      <c r="N246" s="1465">
        <v>1.0864683678426872</v>
      </c>
      <c r="O246" s="1465">
        <v>1.0864683678426872</v>
      </c>
    </row>
    <row r="247" spans="2:15">
      <c r="B247" s="1381">
        <v>39934</v>
      </c>
      <c r="C247" s="1382">
        <v>406.88499999999999</v>
      </c>
      <c r="D247" s="1382">
        <v>2956.46</v>
      </c>
      <c r="E247" s="1382">
        <v>1.0077089274459567</v>
      </c>
      <c r="F247" s="1382">
        <v>21.926963328078429</v>
      </c>
      <c r="K247" s="1462">
        <v>42304</v>
      </c>
      <c r="L247" s="1463" t="s">
        <v>2127</v>
      </c>
      <c r="M247" s="1464">
        <v>5.2531000000000001E-2</v>
      </c>
      <c r="N247" s="1465">
        <v>1.0870391005409987</v>
      </c>
      <c r="O247" s="1465">
        <v>1.0870391005409987</v>
      </c>
    </row>
    <row r="248" spans="2:15">
      <c r="B248" s="1381">
        <v>39965</v>
      </c>
      <c r="C248" s="1382">
        <v>406.48599999999999</v>
      </c>
      <c r="D248" s="1382">
        <v>2967.1</v>
      </c>
      <c r="E248" s="1382">
        <v>1.0076218232644543</v>
      </c>
      <c r="F248" s="1382">
        <v>22.094086767291213</v>
      </c>
      <c r="K248" s="1462">
        <v>42305</v>
      </c>
      <c r="L248" s="1463" t="s">
        <v>2127</v>
      </c>
      <c r="M248" s="1464">
        <v>5.2531000000000001E-2</v>
      </c>
      <c r="N248" s="1465">
        <v>1.0876101330509038</v>
      </c>
      <c r="O248" s="1465">
        <v>1.0876101330509038</v>
      </c>
    </row>
    <row r="249" spans="2:15">
      <c r="B249" s="1381">
        <v>39995</v>
      </c>
      <c r="C249" s="1382">
        <v>404.71800000000002</v>
      </c>
      <c r="D249" s="1382">
        <v>2974.22</v>
      </c>
      <c r="E249" s="1382">
        <v>1.0079014252372847</v>
      </c>
      <c r="F249" s="1382">
        <v>22.268661542069044</v>
      </c>
      <c r="K249" s="1462">
        <v>42306</v>
      </c>
      <c r="L249" s="1463" t="s">
        <v>2127</v>
      </c>
      <c r="M249" s="1464">
        <v>5.2531000000000001E-2</v>
      </c>
      <c r="N249" s="1465">
        <v>1.0881814655298967</v>
      </c>
      <c r="O249" s="1465">
        <v>1.0881814655298967</v>
      </c>
    </row>
    <row r="250" spans="2:15">
      <c r="B250" s="1381">
        <v>40026</v>
      </c>
      <c r="C250" s="1382">
        <v>403.25299999999999</v>
      </c>
      <c r="D250" s="1382">
        <v>2978.68</v>
      </c>
      <c r="E250" s="1382">
        <v>1.0069374854840563</v>
      </c>
      <c r="F250" s="1382">
        <v>22.423150058266511</v>
      </c>
      <c r="K250" s="1462">
        <v>42307</v>
      </c>
      <c r="L250" s="1463" t="s">
        <v>2127</v>
      </c>
      <c r="M250" s="1464">
        <v>5.2531000000000001E-2</v>
      </c>
      <c r="N250" s="1465">
        <v>1.0887530981355542</v>
      </c>
      <c r="O250" s="1465">
        <v>1.0887530981355542</v>
      </c>
    </row>
    <row r="251" spans="2:15">
      <c r="B251" s="1381">
        <v>40057</v>
      </c>
      <c r="C251" s="1382">
        <v>404.94499999999999</v>
      </c>
      <c r="D251" s="1382">
        <v>2985.83</v>
      </c>
      <c r="E251" s="1382">
        <v>1.0069374854840563</v>
      </c>
      <c r="F251" s="1382">
        <v>22.578710336302549</v>
      </c>
      <c r="K251" s="1462">
        <v>42308</v>
      </c>
      <c r="L251" s="1463"/>
      <c r="M251" s="1464">
        <v>0</v>
      </c>
      <c r="N251" s="1465">
        <v>1.0887530981355542</v>
      </c>
      <c r="O251" s="1465">
        <v>1.0887530981355542</v>
      </c>
    </row>
    <row r="252" spans="2:15">
      <c r="B252" s="1381">
        <v>40087</v>
      </c>
      <c r="C252" s="1382">
        <v>405.12900000000002</v>
      </c>
      <c r="D252" s="1382">
        <v>2994.19</v>
      </c>
      <c r="E252" s="1382">
        <v>1.006937485484056</v>
      </c>
      <c r="F252" s="1382">
        <v>22.735349811509355</v>
      </c>
      <c r="K252" s="1462">
        <v>42309</v>
      </c>
      <c r="L252" s="1463"/>
      <c r="M252" s="1464">
        <v>0</v>
      </c>
      <c r="N252" s="1465">
        <v>1.0887530981355542</v>
      </c>
      <c r="O252" s="1465">
        <v>1.0887530981355542</v>
      </c>
    </row>
    <row r="253" spans="2:15">
      <c r="B253" s="1381">
        <v>40118</v>
      </c>
      <c r="C253" s="1382">
        <v>405.548</v>
      </c>
      <c r="D253" s="1382">
        <v>3006.47</v>
      </c>
      <c r="E253" s="1382">
        <v>1.006606040313162</v>
      </c>
      <c r="F253" s="1382">
        <v>22.885540448898027</v>
      </c>
      <c r="K253" s="1462">
        <v>42310</v>
      </c>
      <c r="L253" s="1463"/>
      <c r="M253" s="1464">
        <v>0</v>
      </c>
      <c r="N253" s="1465">
        <v>1.0887530981355542</v>
      </c>
      <c r="O253" s="1465">
        <v>1.0887530981355542</v>
      </c>
    </row>
    <row r="254" spans="2:15">
      <c r="B254" s="1381">
        <v>40148</v>
      </c>
      <c r="C254" s="1382">
        <v>404.49900000000002</v>
      </c>
      <c r="D254" s="1382">
        <v>3017.59</v>
      </c>
      <c r="E254" s="1382">
        <v>1.0072686672230315</v>
      </c>
      <c r="F254" s="1382">
        <v>23.051887826640293</v>
      </c>
      <c r="K254" s="1462">
        <v>42311</v>
      </c>
      <c r="L254" s="1463" t="s">
        <v>2127</v>
      </c>
      <c r="M254" s="1464">
        <v>5.2531000000000001E-2</v>
      </c>
      <c r="N254" s="1465">
        <v>1.0893250310255358</v>
      </c>
      <c r="O254" s="1465">
        <v>1.0893250310255358</v>
      </c>
    </row>
    <row r="255" spans="2:15">
      <c r="B255" s="1381">
        <v>40179</v>
      </c>
      <c r="C255" s="1382">
        <v>407.04899999999998</v>
      </c>
      <c r="D255" s="1382">
        <v>3040.22</v>
      </c>
      <c r="E255" s="1382">
        <v>1.0066056679915218</v>
      </c>
      <c r="F255" s="1382">
        <v>23.204160944200883</v>
      </c>
      <c r="K255" s="1462">
        <v>42312</v>
      </c>
      <c r="L255" s="1463" t="s">
        <v>2127</v>
      </c>
      <c r="M255" s="1464">
        <v>5.2531000000000001E-2</v>
      </c>
      <c r="N255" s="1465">
        <v>1.0898972643575837</v>
      </c>
      <c r="O255" s="1465">
        <v>1.0898972643575837</v>
      </c>
    </row>
    <row r="256" spans="2:15">
      <c r="B256" s="1381">
        <v>40210</v>
      </c>
      <c r="C256" s="1382">
        <v>411.84300000000002</v>
      </c>
      <c r="D256" s="1382">
        <v>3063.93</v>
      </c>
      <c r="E256" s="1382">
        <v>1.0059434772325486</v>
      </c>
      <c r="F256" s="1382">
        <v>23.342074346473133</v>
      </c>
      <c r="K256" s="1462">
        <v>42313</v>
      </c>
      <c r="L256" s="1463" t="s">
        <v>2127</v>
      </c>
      <c r="M256" s="1464">
        <v>5.2531000000000001E-2</v>
      </c>
      <c r="N256" s="1465">
        <v>1.0904697982895235</v>
      </c>
      <c r="O256" s="1465">
        <v>1.0904697982895235</v>
      </c>
    </row>
    <row r="257" spans="2:15">
      <c r="B257" s="1381">
        <v>40238</v>
      </c>
      <c r="C257" s="1382">
        <v>415.73399999999998</v>
      </c>
      <c r="D257" s="1382">
        <v>3079.86</v>
      </c>
      <c r="E257" s="1382">
        <v>1.0076007032666325</v>
      </c>
      <c r="F257" s="1382">
        <v>23.519490527208351</v>
      </c>
      <c r="K257" s="1462">
        <v>42314</v>
      </c>
      <c r="L257" s="1463" t="s">
        <v>2127</v>
      </c>
      <c r="M257" s="1464">
        <v>5.2531000000000001E-2</v>
      </c>
      <c r="N257" s="1465">
        <v>1.0910426329792631</v>
      </c>
      <c r="O257" s="1465">
        <v>1.0910426329792631</v>
      </c>
    </row>
    <row r="258" spans="2:15">
      <c r="B258" s="1381">
        <v>40269</v>
      </c>
      <c r="C258" s="1382">
        <v>418.91699999999997</v>
      </c>
      <c r="D258" s="1382">
        <v>3097.42</v>
      </c>
      <c r="E258" s="1382">
        <v>1.0066591320264642</v>
      </c>
      <c r="F258" s="1382">
        <v>23.676109919824206</v>
      </c>
      <c r="K258" s="1462">
        <v>42315</v>
      </c>
      <c r="L258" s="1463"/>
      <c r="M258" s="1464">
        <v>0</v>
      </c>
      <c r="N258" s="1465">
        <v>1.0910426329792631</v>
      </c>
      <c r="O258" s="1465">
        <v>1.0910426329792631</v>
      </c>
    </row>
    <row r="259" spans="2:15">
      <c r="B259" s="1381">
        <v>40299</v>
      </c>
      <c r="C259" s="1382">
        <v>423.88499999999999</v>
      </c>
      <c r="D259" s="1382">
        <v>3110.74</v>
      </c>
      <c r="E259" s="1382">
        <v>1.0075136425194853</v>
      </c>
      <c r="F259" s="1382">
        <v>23.854003746013806</v>
      </c>
      <c r="K259" s="1462">
        <v>42316</v>
      </c>
      <c r="L259" s="1463"/>
      <c r="M259" s="1464">
        <v>0</v>
      </c>
      <c r="N259" s="1465">
        <v>1.0910426329792631</v>
      </c>
      <c r="O259" s="1465">
        <v>1.0910426329792631</v>
      </c>
    </row>
    <row r="260" spans="2:15">
      <c r="B260" s="1381">
        <v>40330</v>
      </c>
      <c r="C260" s="1382">
        <v>427.48899999999998</v>
      </c>
      <c r="D260" s="1382">
        <v>3110.74</v>
      </c>
      <c r="E260" s="1382">
        <v>1.0079257581819461</v>
      </c>
      <c r="F260" s="1382">
        <v>24.043064811375949</v>
      </c>
      <c r="K260" s="1462">
        <v>42317</v>
      </c>
      <c r="L260" s="1463" t="s">
        <v>2127</v>
      </c>
      <c r="M260" s="1464">
        <v>5.2531000000000001E-2</v>
      </c>
      <c r="N260" s="1465">
        <v>1.0916157685847934</v>
      </c>
      <c r="O260" s="1465">
        <v>1.0916157685847934</v>
      </c>
    </row>
    <row r="261" spans="2:15">
      <c r="B261" s="1381">
        <v>40360</v>
      </c>
      <c r="C261" s="1382">
        <v>428.15</v>
      </c>
      <c r="D261" s="1382">
        <v>3111.05</v>
      </c>
      <c r="E261" s="1382">
        <v>1.0086102956499179</v>
      </c>
      <c r="F261" s="1382">
        <v>24.250082707732034</v>
      </c>
      <c r="K261" s="1462">
        <v>42318</v>
      </c>
      <c r="L261" s="1463" t="s">
        <v>2127</v>
      </c>
      <c r="M261" s="1464">
        <v>5.2531000000000001E-2</v>
      </c>
      <c r="N261" s="1465">
        <v>1.0921892052641886</v>
      </c>
      <c r="O261" s="1465">
        <v>1.0921892052641886</v>
      </c>
    </row>
    <row r="262" spans="2:15">
      <c r="B262" s="1381">
        <v>40391</v>
      </c>
      <c r="C262" s="1382">
        <v>431.44499999999999</v>
      </c>
      <c r="D262" s="1382">
        <v>3112.29</v>
      </c>
      <c r="E262" s="1382">
        <v>1.0088820963555043</v>
      </c>
      <c r="F262" s="1382">
        <v>24.465474278971058</v>
      </c>
      <c r="K262" s="1462">
        <v>42319</v>
      </c>
      <c r="L262" s="1463" t="s">
        <v>2127</v>
      </c>
      <c r="M262" s="1464">
        <v>5.2531000000000001E-2</v>
      </c>
      <c r="N262" s="1465">
        <v>1.0927629431756058</v>
      </c>
      <c r="O262" s="1465">
        <v>1.0927629431756058</v>
      </c>
    </row>
    <row r="263" spans="2:15">
      <c r="B263" s="1381">
        <v>40422</v>
      </c>
      <c r="C263" s="1382">
        <v>436.423</v>
      </c>
      <c r="D263" s="1382">
        <v>3126.29</v>
      </c>
      <c r="E263" s="1382">
        <v>1.0084766584844942</v>
      </c>
      <c r="F263" s="1382">
        <v>24.672859749095071</v>
      </c>
      <c r="K263" s="1462">
        <v>42320</v>
      </c>
      <c r="L263" s="1463" t="s">
        <v>2127</v>
      </c>
      <c r="M263" s="1464">
        <v>5.2531000000000001E-2</v>
      </c>
      <c r="N263" s="1465">
        <v>1.0933369824772854</v>
      </c>
      <c r="O263" s="1465">
        <v>1.0933369824772854</v>
      </c>
    </row>
    <row r="264" spans="2:15">
      <c r="B264" s="1381">
        <v>40452</v>
      </c>
      <c r="C264" s="1382">
        <v>440.82900000000001</v>
      </c>
      <c r="D264" s="1382">
        <v>3149.74</v>
      </c>
      <c r="E264" s="1382">
        <v>1.0080713835461668</v>
      </c>
      <c r="F264" s="1382">
        <v>24.872003863310798</v>
      </c>
      <c r="K264" s="1462">
        <v>42321</v>
      </c>
      <c r="L264" s="1463" t="s">
        <v>2127</v>
      </c>
      <c r="M264" s="1464">
        <v>5.2531000000000001E-2</v>
      </c>
      <c r="N264" s="1465">
        <v>1.0939113233275506</v>
      </c>
      <c r="O264" s="1465">
        <v>1.0939113233275506</v>
      </c>
    </row>
    <row r="265" spans="2:15">
      <c r="B265" s="1381">
        <v>40483</v>
      </c>
      <c r="C265" s="1382">
        <v>447.20600000000002</v>
      </c>
      <c r="D265" s="1382">
        <v>3175.88</v>
      </c>
      <c r="E265" s="1382">
        <v>1.008071383546167</v>
      </c>
      <c r="F265" s="1382">
        <v>25.072755346053327</v>
      </c>
      <c r="K265" s="1462">
        <v>42322</v>
      </c>
      <c r="L265" s="1463"/>
      <c r="M265" s="1464">
        <v>0</v>
      </c>
      <c r="N265" s="1465">
        <v>1.0939113233275506</v>
      </c>
      <c r="O265" s="1465">
        <v>1.0939113233275506</v>
      </c>
    </row>
    <row r="266" spans="2:15">
      <c r="B266" s="1381">
        <v>40513</v>
      </c>
      <c r="C266" s="1382">
        <v>450.30099999999999</v>
      </c>
      <c r="D266" s="1382">
        <v>3195.89</v>
      </c>
      <c r="E266" s="1382">
        <v>1.0092887868177591</v>
      </c>
      <c r="F266" s="1382">
        <v>25.305650825396647</v>
      </c>
      <c r="K266" s="1462">
        <v>42323</v>
      </c>
      <c r="L266" s="1463"/>
      <c r="M266" s="1464">
        <v>0</v>
      </c>
      <c r="N266" s="1465">
        <v>1.0939113233275506</v>
      </c>
      <c r="O266" s="1465">
        <v>1.0939113233275506</v>
      </c>
    </row>
    <row r="267" spans="2:15">
      <c r="B267" s="1381">
        <v>40544</v>
      </c>
      <c r="C267" s="1382">
        <v>453.875</v>
      </c>
      <c r="D267" s="1382">
        <v>3222.42</v>
      </c>
      <c r="E267" s="1382">
        <v>1.0086232010755674</v>
      </c>
      <c r="F267" s="1382">
        <v>25.52386654081214</v>
      </c>
      <c r="K267" s="1462">
        <v>42324</v>
      </c>
      <c r="L267" s="1463" t="s">
        <v>2127</v>
      </c>
      <c r="M267" s="1464">
        <v>5.2531000000000001E-2</v>
      </c>
      <c r="N267" s="1465">
        <v>1.0944859658848078</v>
      </c>
      <c r="O267" s="1465">
        <v>1.0944859658848078</v>
      </c>
    </row>
    <row r="268" spans="2:15">
      <c r="B268" s="1381">
        <v>40575</v>
      </c>
      <c r="C268" s="1382">
        <v>458.39699999999999</v>
      </c>
      <c r="D268" s="1382">
        <v>3248.2</v>
      </c>
      <c r="E268" s="1382">
        <v>1.0084390842010735</v>
      </c>
      <c r="F268" s="1382">
        <v>25.739264599687019</v>
      </c>
      <c r="K268" s="1462">
        <v>42325</v>
      </c>
      <c r="L268" s="1463" t="s">
        <v>2127</v>
      </c>
      <c r="M268" s="1464">
        <v>5.2531000000000001E-2</v>
      </c>
      <c r="N268" s="1465">
        <v>1.0950609103075468</v>
      </c>
      <c r="O268" s="1465">
        <v>1.0950609103075468</v>
      </c>
    </row>
    <row r="269" spans="2:15">
      <c r="B269" s="1381">
        <v>40603</v>
      </c>
      <c r="C269" s="1382">
        <v>461.24900000000002</v>
      </c>
      <c r="D269" s="1382">
        <v>3273.86</v>
      </c>
      <c r="E269" s="1382">
        <v>1.0092045846073012</v>
      </c>
      <c r="F269" s="1382">
        <v>25.97618383842455</v>
      </c>
      <c r="K269" s="1462">
        <v>42326</v>
      </c>
      <c r="L269" s="1463" t="s">
        <v>2127</v>
      </c>
      <c r="M269" s="1464">
        <v>5.2531000000000001E-2</v>
      </c>
      <c r="N269" s="1465">
        <v>1.0956361567543405</v>
      </c>
      <c r="O269" s="1465">
        <v>1.0956361567543405</v>
      </c>
    </row>
    <row r="270" spans="2:15">
      <c r="B270" s="1381">
        <v>40634</v>
      </c>
      <c r="C270" s="1382">
        <v>463.31099999999998</v>
      </c>
      <c r="D270" s="1382">
        <v>3299.07</v>
      </c>
      <c r="E270" s="1382">
        <v>1.0084015541577225</v>
      </c>
      <c r="F270" s="1382">
        <v>26.194424153754028</v>
      </c>
      <c r="K270" s="1462">
        <v>42327</v>
      </c>
      <c r="L270" s="1463" t="s">
        <v>2127</v>
      </c>
      <c r="M270" s="1464">
        <v>5.2531000000000001E-2</v>
      </c>
      <c r="N270" s="1465">
        <v>1.0962117053838452</v>
      </c>
      <c r="O270" s="1465">
        <v>1.0962117053838452</v>
      </c>
    </row>
    <row r="271" spans="2:15">
      <c r="B271" s="1381">
        <v>40664</v>
      </c>
      <c r="C271" s="1382">
        <v>465.31099999999998</v>
      </c>
      <c r="D271" s="1382">
        <v>3314.58</v>
      </c>
      <c r="E271" s="1382">
        <v>1.0098798495673293</v>
      </c>
      <c r="F271" s="1382">
        <v>26.453221123895936</v>
      </c>
      <c r="K271" s="1462">
        <v>42328</v>
      </c>
      <c r="L271" s="1463" t="s">
        <v>2127</v>
      </c>
      <c r="M271" s="1464">
        <v>5.2531000000000001E-2</v>
      </c>
      <c r="N271" s="1465">
        <v>1.0967875563548004</v>
      </c>
      <c r="O271" s="1465">
        <v>1.0967875563548004</v>
      </c>
    </row>
    <row r="272" spans="2:15">
      <c r="B272" s="1381">
        <v>40695</v>
      </c>
      <c r="C272" s="1382">
        <v>464.46300000000002</v>
      </c>
      <c r="D272" s="1382">
        <v>3319.55</v>
      </c>
      <c r="E272" s="1382">
        <v>1.0095627565914342</v>
      </c>
      <c r="F272" s="1382">
        <v>26.706186838563141</v>
      </c>
      <c r="K272" s="1462">
        <v>42329</v>
      </c>
      <c r="L272" s="1463"/>
      <c r="M272" s="1464">
        <v>0</v>
      </c>
      <c r="N272" s="1465">
        <v>1.0967875563548004</v>
      </c>
      <c r="O272" s="1465">
        <v>1.0967875563548004</v>
      </c>
    </row>
    <row r="273" spans="2:15">
      <c r="B273" s="1381">
        <v>40725</v>
      </c>
      <c r="C273" s="1382">
        <v>463.92700000000002</v>
      </c>
      <c r="D273" s="1382">
        <v>3324.86</v>
      </c>
      <c r="E273" s="1382">
        <v>1.0096788504099796</v>
      </c>
      <c r="F273" s="1382">
        <v>26.96467202599456</v>
      </c>
      <c r="K273" s="1462">
        <v>42330</v>
      </c>
      <c r="L273" s="1463"/>
      <c r="M273" s="1464">
        <v>0</v>
      </c>
      <c r="N273" s="1465">
        <v>1.0967875563548004</v>
      </c>
      <c r="O273" s="1465">
        <v>1.0967875563548004</v>
      </c>
    </row>
    <row r="274" spans="2:15">
      <c r="B274" s="1381">
        <v>40756</v>
      </c>
      <c r="C274" s="1382">
        <v>465.96800000000002</v>
      </c>
      <c r="D274" s="1382">
        <v>3337.16</v>
      </c>
      <c r="E274" s="1382">
        <v>1.0107406292787873</v>
      </c>
      <c r="F274" s="1382">
        <v>27.254289571849853</v>
      </c>
      <c r="K274" s="1462">
        <v>42331</v>
      </c>
      <c r="L274" s="1463" t="s">
        <v>2127</v>
      </c>
      <c r="M274" s="1464">
        <v>5.2531000000000001E-2</v>
      </c>
      <c r="N274" s="1465">
        <v>1.0973637098260292</v>
      </c>
      <c r="O274" s="1465">
        <v>1.0973637098260292</v>
      </c>
    </row>
    <row r="275" spans="2:15">
      <c r="B275" s="1381">
        <v>40787</v>
      </c>
      <c r="C275" s="1382">
        <v>468.97500000000002</v>
      </c>
      <c r="D275" s="1382">
        <v>3354.85</v>
      </c>
      <c r="E275" s="1382">
        <v>1.00941760689889</v>
      </c>
      <c r="F275" s="1382">
        <v>27.510959757346054</v>
      </c>
      <c r="K275" s="1462">
        <v>42332</v>
      </c>
      <c r="L275" s="1463" t="s">
        <v>2127</v>
      </c>
      <c r="M275" s="1464">
        <v>5.2531000000000001E-2</v>
      </c>
      <c r="N275" s="1465">
        <v>1.0979401659564378</v>
      </c>
      <c r="O275" s="1465">
        <v>1.0979401659564378</v>
      </c>
    </row>
    <row r="276" spans="2:15">
      <c r="B276" s="1381">
        <v>40817</v>
      </c>
      <c r="C276" s="1382">
        <v>471.46600000000001</v>
      </c>
      <c r="D276" s="1382">
        <v>3369.28</v>
      </c>
      <c r="E276" s="1382">
        <v>1.0088195463919019</v>
      </c>
      <c r="F276" s="1382">
        <v>27.753593943211712</v>
      </c>
      <c r="K276" s="1462">
        <v>42333</v>
      </c>
      <c r="L276" s="1463" t="s">
        <v>2127</v>
      </c>
      <c r="M276" s="1464">
        <v>5.2531000000000001E-2</v>
      </c>
      <c r="N276" s="1465">
        <v>1.0985169249050164</v>
      </c>
      <c r="O276" s="1465">
        <v>1.0985169249050164</v>
      </c>
    </row>
    <row r="277" spans="2:15">
      <c r="B277" s="1381">
        <v>40848</v>
      </c>
      <c r="C277" s="1382">
        <v>473.80799999999999</v>
      </c>
      <c r="D277" s="1382">
        <v>3386.8</v>
      </c>
      <c r="E277" s="1382">
        <v>1.0086047745492386</v>
      </c>
      <c r="F277" s="1382">
        <v>27.992407362024164</v>
      </c>
      <c r="K277" s="1462">
        <v>42334</v>
      </c>
      <c r="L277" s="1463" t="s">
        <v>2127</v>
      </c>
      <c r="M277" s="1464">
        <v>5.2531000000000001E-2</v>
      </c>
      <c r="N277" s="1465">
        <v>1.0990939868308383</v>
      </c>
      <c r="O277" s="1465">
        <v>1.0990939868308383</v>
      </c>
    </row>
    <row r="278" spans="2:15">
      <c r="B278" s="1381">
        <v>40878</v>
      </c>
      <c r="C278" s="1382">
        <v>473.25200000000001</v>
      </c>
      <c r="D278" s="1382">
        <v>3403.73</v>
      </c>
      <c r="E278" s="1382">
        <v>1.0090732804800764</v>
      </c>
      <c r="F278" s="1382">
        <v>28.246390325332364</v>
      </c>
      <c r="K278" s="1462">
        <v>42335</v>
      </c>
      <c r="L278" s="1463" t="s">
        <v>2127</v>
      </c>
      <c r="M278" s="1464">
        <v>5.2531000000000001E-2</v>
      </c>
      <c r="N278" s="1465">
        <v>1.0996713518930603</v>
      </c>
      <c r="O278" s="1465">
        <v>1.0996713518930603</v>
      </c>
    </row>
    <row r="279" spans="2:15">
      <c r="B279" s="1381">
        <v>40909</v>
      </c>
      <c r="C279" s="1382">
        <v>474.42899999999997</v>
      </c>
      <c r="D279" s="1382">
        <v>3422.79</v>
      </c>
      <c r="E279" s="1382">
        <v>1.0089101617717657</v>
      </c>
      <c r="F279" s="1382">
        <v>28.498070232599513</v>
      </c>
      <c r="K279" s="1462">
        <v>42336</v>
      </c>
      <c r="L279" s="1463"/>
      <c r="M279" s="1464">
        <v>0</v>
      </c>
      <c r="N279" s="1465">
        <v>1.0996713518930603</v>
      </c>
      <c r="O279" s="1465">
        <v>1.0996713518930603</v>
      </c>
    </row>
    <row r="280" spans="2:15">
      <c r="B280" s="1381">
        <v>40940</v>
      </c>
      <c r="C280" s="1382">
        <v>474.13799999999998</v>
      </c>
      <c r="D280" s="1382">
        <v>3438.19</v>
      </c>
      <c r="E280" s="1382">
        <v>1.0074877292470876</v>
      </c>
      <c r="F280" s="1382">
        <v>28.711456066565706</v>
      </c>
      <c r="K280" s="1462">
        <v>42337</v>
      </c>
      <c r="L280" s="1463"/>
      <c r="M280" s="1464">
        <v>0</v>
      </c>
      <c r="N280" s="1465">
        <v>1.0996713518930603</v>
      </c>
      <c r="O280" s="1465">
        <v>1.0996713518930603</v>
      </c>
    </row>
    <row r="281" spans="2:15">
      <c r="B281" s="1381">
        <v>40969</v>
      </c>
      <c r="C281" s="1382">
        <v>476.166</v>
      </c>
      <c r="D281" s="1382">
        <v>3445.41</v>
      </c>
      <c r="E281" s="1382">
        <v>1.0082113884808406</v>
      </c>
      <c r="F281" s="1382">
        <v>28.947216986178862</v>
      </c>
      <c r="K281" s="1462">
        <v>42338</v>
      </c>
      <c r="L281" s="1463" t="s">
        <v>2127</v>
      </c>
      <c r="M281" s="1464">
        <v>5.2531000000000001E-2</v>
      </c>
      <c r="N281" s="1465">
        <v>1.1002490202509232</v>
      </c>
      <c r="O281" s="1465">
        <v>1.1002490202509232</v>
      </c>
    </row>
    <row r="282" spans="2:15">
      <c r="B282" s="1381">
        <v>41000</v>
      </c>
      <c r="C282" s="1382">
        <v>480.22899999999998</v>
      </c>
      <c r="D282" s="1382">
        <v>3467.46</v>
      </c>
      <c r="E282" s="1382">
        <v>1.0071187588624242</v>
      </c>
      <c r="F282" s="1382">
        <v>29.15328524364174</v>
      </c>
      <c r="K282" s="1462">
        <v>42339</v>
      </c>
      <c r="L282" s="1463" t="s">
        <v>2127</v>
      </c>
      <c r="M282" s="1464">
        <v>5.2531000000000001E-2</v>
      </c>
      <c r="N282" s="1465">
        <v>1.1008269920637512</v>
      </c>
      <c r="O282" s="1465">
        <v>1.1008269920637512</v>
      </c>
    </row>
    <row r="283" spans="2:15">
      <c r="B283" s="1381">
        <v>41030</v>
      </c>
      <c r="C283" s="1382">
        <v>485.14</v>
      </c>
      <c r="D283" s="1382">
        <v>3479.94</v>
      </c>
      <c r="E283" s="1382">
        <v>1.007447242329657</v>
      </c>
      <c r="F283" s="1382">
        <v>29.370396823556753</v>
      </c>
      <c r="G283" s="11"/>
      <c r="K283" s="1462">
        <v>42340</v>
      </c>
      <c r="L283" s="1463" t="s">
        <v>2127</v>
      </c>
      <c r="M283" s="1464">
        <v>5.2531000000000001E-2</v>
      </c>
      <c r="N283" s="1465">
        <v>1.1014052674909522</v>
      </c>
      <c r="O283" s="1465">
        <v>1.1014052674909522</v>
      </c>
    </row>
    <row r="284" spans="2:15">
      <c r="B284" s="1381">
        <v>41061</v>
      </c>
      <c r="C284" s="1382">
        <v>488.34199999999998</v>
      </c>
      <c r="D284" s="1382">
        <v>3482.72</v>
      </c>
      <c r="E284" s="1382">
        <v>1.0064150263426446</v>
      </c>
      <c r="F284" s="1382">
        <v>29.558808692873793</v>
      </c>
      <c r="K284" s="1462">
        <v>42341</v>
      </c>
      <c r="L284" s="1463" t="s">
        <v>2127</v>
      </c>
      <c r="M284" s="1464">
        <v>5.2531000000000001E-2</v>
      </c>
      <c r="N284" s="1465">
        <v>1.101983846692018</v>
      </c>
      <c r="O284" s="1465">
        <v>1.101983846692018</v>
      </c>
    </row>
    <row r="285" spans="2:15">
      <c r="B285" s="1381">
        <v>41091</v>
      </c>
      <c r="C285" s="1382">
        <v>494.89100000000002</v>
      </c>
      <c r="D285" s="1382">
        <v>3497.7</v>
      </c>
      <c r="E285" s="1382">
        <v>1.0067996486835762</v>
      </c>
      <c r="F285" s="1382">
        <v>29.759798207490373</v>
      </c>
      <c r="K285" s="1462">
        <v>42342</v>
      </c>
      <c r="L285" s="1463" t="s">
        <v>2127</v>
      </c>
      <c r="M285" s="1464">
        <v>5.2531000000000001E-2</v>
      </c>
      <c r="N285" s="1465">
        <v>1.1025627298265237</v>
      </c>
      <c r="O285" s="1465">
        <v>1.1025627298265237</v>
      </c>
    </row>
    <row r="286" spans="2:15">
      <c r="B286" s="1381">
        <v>41122</v>
      </c>
      <c r="C286" s="1382">
        <v>501.95699999999999</v>
      </c>
      <c r="D286" s="1382">
        <v>3512.04</v>
      </c>
      <c r="E286" s="1382">
        <v>1.0069181066014252</v>
      </c>
      <c r="F286" s="1382">
        <v>29.965679663926696</v>
      </c>
      <c r="K286" s="1462">
        <v>42343</v>
      </c>
      <c r="L286" s="1463"/>
      <c r="M286" s="1464">
        <v>0</v>
      </c>
      <c r="N286" s="1465">
        <v>1.1025627298265237</v>
      </c>
      <c r="O286" s="1465">
        <v>1.1025627298265237</v>
      </c>
    </row>
    <row r="287" spans="2:15">
      <c r="B287" s="1381">
        <v>41153</v>
      </c>
      <c r="C287" s="1382">
        <v>506.80399999999997</v>
      </c>
      <c r="D287" s="1382">
        <v>3532.06</v>
      </c>
      <c r="E287" s="1382">
        <v>1.0053899533259578</v>
      </c>
      <c r="F287" s="1382">
        <v>30.127193278695866</v>
      </c>
      <c r="K287" s="1462">
        <v>42344</v>
      </c>
      <c r="L287" s="1463"/>
      <c r="M287" s="1464">
        <v>0</v>
      </c>
      <c r="N287" s="1465">
        <v>1.1025627298265237</v>
      </c>
      <c r="O287" s="1465">
        <v>1.1025627298265237</v>
      </c>
    </row>
    <row r="288" spans="2:15">
      <c r="B288" s="1381">
        <v>41183</v>
      </c>
      <c r="C288" s="1382">
        <v>506.92599999999999</v>
      </c>
      <c r="D288" s="1382">
        <v>3552.9</v>
      </c>
      <c r="E288" s="1382">
        <v>1.0061133864051108</v>
      </c>
      <c r="F288" s="1382">
        <v>30.311372452509993</v>
      </c>
      <c r="K288" s="1462">
        <v>42345</v>
      </c>
      <c r="L288" s="1463" t="s">
        <v>2127</v>
      </c>
      <c r="M288" s="1464">
        <v>5.2531000000000001E-2</v>
      </c>
      <c r="N288" s="1465">
        <v>1.1031419170541288</v>
      </c>
      <c r="O288" s="1465">
        <v>1.1031419170541288</v>
      </c>
    </row>
    <row r="289" spans="2:15">
      <c r="B289" s="1381">
        <v>41214</v>
      </c>
      <c r="C289" s="1382">
        <v>506.79500000000002</v>
      </c>
      <c r="D289" s="1382">
        <v>3574.22</v>
      </c>
      <c r="E289" s="1382">
        <v>1.0054884576647556</v>
      </c>
      <c r="F289" s="1382">
        <v>30.477735136976232</v>
      </c>
      <c r="K289" s="1462">
        <v>42346</v>
      </c>
      <c r="L289" s="1463" t="s">
        <v>2127</v>
      </c>
      <c r="M289" s="1464">
        <v>5.2531000000000001E-2</v>
      </c>
      <c r="N289" s="1465">
        <v>1.1037214085345766</v>
      </c>
      <c r="O289" s="1465">
        <v>1.1037214085345766</v>
      </c>
    </row>
    <row r="290" spans="2:15">
      <c r="B290" s="1381">
        <v>41244</v>
      </c>
      <c r="C290" s="1382">
        <v>510.25200000000001</v>
      </c>
      <c r="D290" s="1382">
        <v>3602.46</v>
      </c>
      <c r="E290" s="1382">
        <v>1.0055015154231364</v>
      </c>
      <c r="F290" s="1382">
        <v>30.645408866894574</v>
      </c>
      <c r="K290" s="1462">
        <v>42347</v>
      </c>
      <c r="L290" s="1463" t="s">
        <v>2127</v>
      </c>
      <c r="M290" s="1464">
        <v>5.2531000000000001E-2</v>
      </c>
      <c r="N290" s="1465">
        <v>1.1043012044276939</v>
      </c>
      <c r="O290" s="1465">
        <v>1.1043012044276939</v>
      </c>
    </row>
    <row r="291" spans="2:15">
      <c r="B291" s="1381">
        <v>41275</v>
      </c>
      <c r="C291" s="1382">
        <v>511.97699999999998</v>
      </c>
      <c r="D291" s="1382">
        <v>3633.44</v>
      </c>
      <c r="E291" s="1382">
        <v>1.0060143970219473</v>
      </c>
      <c r="F291" s="1382">
        <v>30.82972252271998</v>
      </c>
      <c r="K291" s="1462">
        <v>42348</v>
      </c>
      <c r="L291" s="1463" t="s">
        <v>2127</v>
      </c>
      <c r="M291" s="1464">
        <v>5.2531000000000001E-2</v>
      </c>
      <c r="N291" s="1465">
        <v>1.1048813048933919</v>
      </c>
      <c r="O291" s="1465">
        <v>1.1048813048933919</v>
      </c>
    </row>
    <row r="292" spans="2:15">
      <c r="B292" s="1381">
        <v>41306</v>
      </c>
      <c r="C292" s="1382">
        <v>513.46699999999998</v>
      </c>
      <c r="D292" s="1382">
        <v>3655.24</v>
      </c>
      <c r="E292" s="1382">
        <v>1.0049274991744226</v>
      </c>
      <c r="F292" s="1382">
        <v>30.98163595499836</v>
      </c>
      <c r="K292" s="1462">
        <v>42349</v>
      </c>
      <c r="L292" s="1463" t="s">
        <v>2127</v>
      </c>
      <c r="M292" s="1464">
        <v>5.2531000000000001E-2</v>
      </c>
      <c r="N292" s="1465">
        <v>1.1054617100916655</v>
      </c>
      <c r="O292" s="1465">
        <v>1.1054617100916655</v>
      </c>
    </row>
    <row r="293" spans="2:15">
      <c r="B293" s="1381">
        <v>41334</v>
      </c>
      <c r="C293" s="1382">
        <v>514.52599999999995</v>
      </c>
      <c r="D293" s="1382">
        <v>3672.42</v>
      </c>
      <c r="E293" s="1382">
        <v>1.0054940366101026</v>
      </c>
      <c r="F293" s="1382">
        <v>31.151850197175992</v>
      </c>
      <c r="K293" s="1462">
        <v>42350</v>
      </c>
      <c r="L293" s="1463"/>
      <c r="M293" s="1464">
        <v>0</v>
      </c>
      <c r="N293" s="1465">
        <v>1.1054617100916655</v>
      </c>
      <c r="O293" s="1465">
        <v>1.1054617100916655</v>
      </c>
    </row>
    <row r="294" spans="2:15">
      <c r="B294" s="1381">
        <v>41365</v>
      </c>
      <c r="C294" s="1382">
        <v>515.27599999999995</v>
      </c>
      <c r="D294" s="1382">
        <v>3692.62</v>
      </c>
      <c r="E294" s="1382">
        <v>1.0061364605097283</v>
      </c>
      <c r="F294" s="1382">
        <v>31.343012295715933</v>
      </c>
      <c r="K294" s="1462">
        <v>42351</v>
      </c>
      <c r="L294" s="1463"/>
      <c r="M294" s="1464">
        <v>0</v>
      </c>
      <c r="N294" s="1465">
        <v>1.1054617100916655</v>
      </c>
      <c r="O294" s="1465">
        <v>1.1054617100916655</v>
      </c>
    </row>
    <row r="295" spans="2:15">
      <c r="B295" s="1381">
        <v>41395</v>
      </c>
      <c r="C295" s="1382">
        <v>515.29899999999998</v>
      </c>
      <c r="D295" s="1382">
        <v>3706.28</v>
      </c>
      <c r="E295" s="1382">
        <v>1.0059853629993882</v>
      </c>
      <c r="F295" s="1382">
        <v>31.530611601800082</v>
      </c>
      <c r="K295" s="1462">
        <v>42352</v>
      </c>
      <c r="L295" s="1463" t="s">
        <v>2127</v>
      </c>
      <c r="M295" s="1464">
        <v>5.2531000000000001E-2</v>
      </c>
      <c r="N295" s="1465">
        <v>1.1060424201825938</v>
      </c>
      <c r="O295" s="1465">
        <v>1.1060424201825938</v>
      </c>
    </row>
    <row r="296" spans="2:15">
      <c r="B296" s="1381">
        <v>41426</v>
      </c>
      <c r="C296" s="1382">
        <v>519.15300000000002</v>
      </c>
      <c r="D296" s="1382">
        <v>3715.92</v>
      </c>
      <c r="E296" s="1382">
        <v>1.0060527337434972</v>
      </c>
      <c r="F296" s="1382">
        <v>31.721457998595405</v>
      </c>
      <c r="G296" s="66"/>
      <c r="K296" s="1462">
        <v>42353</v>
      </c>
      <c r="L296" s="1463" t="s">
        <v>2127</v>
      </c>
      <c r="M296" s="1464">
        <v>5.2531000000000001E-2</v>
      </c>
      <c r="N296" s="1465">
        <v>1.10662343532634</v>
      </c>
      <c r="O296" s="1465">
        <v>1.10662343532634</v>
      </c>
    </row>
    <row r="297" spans="2:15">
      <c r="B297" s="1381">
        <v>41456</v>
      </c>
      <c r="C297" s="1382">
        <v>520.50800000000004</v>
      </c>
      <c r="D297" s="1382">
        <v>3717.03</v>
      </c>
      <c r="E297" s="1382">
        <v>1.0072409169740031</v>
      </c>
      <c r="F297" s="1382">
        <v>31.951150442257561</v>
      </c>
      <c r="K297" s="1462">
        <v>42354</v>
      </c>
      <c r="L297" s="1463" t="s">
        <v>2127</v>
      </c>
      <c r="M297" s="1464">
        <v>5.2531000000000001E-2</v>
      </c>
      <c r="N297" s="1465">
        <v>1.1072047556831512</v>
      </c>
      <c r="O297" s="1465">
        <v>1.1072047556831512</v>
      </c>
    </row>
    <row r="298" spans="2:15">
      <c r="B298" s="1381">
        <v>41487</v>
      </c>
      <c r="C298" s="1382">
        <v>521.27</v>
      </c>
      <c r="D298" s="1382">
        <v>3725.95</v>
      </c>
      <c r="E298" s="1382">
        <v>1.0071031495053051</v>
      </c>
      <c r="F298" s="1382">
        <v>32.178104240715413</v>
      </c>
      <c r="K298" s="1462">
        <v>42355</v>
      </c>
      <c r="L298" s="1463" t="s">
        <v>2127</v>
      </c>
      <c r="M298" s="1464">
        <v>5.2531000000000001E-2</v>
      </c>
      <c r="N298" s="1465">
        <v>1.1077863814133591</v>
      </c>
      <c r="O298" s="1465">
        <v>1.1077863814133591</v>
      </c>
    </row>
    <row r="299" spans="2:15">
      <c r="B299" s="1381">
        <v>41518</v>
      </c>
      <c r="C299" s="1382">
        <v>529.08500000000004</v>
      </c>
      <c r="D299" s="1382">
        <v>3738.99</v>
      </c>
      <c r="E299" s="1382">
        <v>1.0071302882501354</v>
      </c>
      <c r="F299" s="1382">
        <v>32.407543399294617</v>
      </c>
      <c r="K299" s="1462">
        <v>42356</v>
      </c>
      <c r="L299" s="1463" t="s">
        <v>2127</v>
      </c>
      <c r="M299" s="1464">
        <v>5.2531000000000001E-2</v>
      </c>
      <c r="N299" s="1465">
        <v>1.1083683126773793</v>
      </c>
      <c r="O299" s="1465">
        <v>1.1083683126773793</v>
      </c>
    </row>
    <row r="300" spans="2:15">
      <c r="B300" s="1381">
        <v>41548</v>
      </c>
      <c r="C300" s="1382">
        <v>533.62099999999998</v>
      </c>
      <c r="D300" s="1382">
        <v>3760.3</v>
      </c>
      <c r="E300" s="1382">
        <v>1.0081051023495244</v>
      </c>
      <c r="F300" s="1382">
        <v>32.670209855442558</v>
      </c>
      <c r="G300" s="67"/>
      <c r="K300" s="1462">
        <v>42357</v>
      </c>
      <c r="L300" s="1463"/>
      <c r="M300" s="1464">
        <v>0</v>
      </c>
      <c r="N300" s="1465">
        <v>1.1083683126773793</v>
      </c>
      <c r="O300" s="1465">
        <v>1.1083683126773793</v>
      </c>
    </row>
    <row r="301" spans="2:15">
      <c r="B301" s="1381">
        <v>41579</v>
      </c>
      <c r="C301" s="1382">
        <v>535.16800000000001</v>
      </c>
      <c r="D301" s="1382">
        <v>3780.61</v>
      </c>
      <c r="E301" s="1382">
        <v>1.0071920752752215</v>
      </c>
      <c r="F301" s="1382">
        <v>32.905176463980183</v>
      </c>
      <c r="G301" s="67"/>
      <c r="K301" s="1462">
        <v>42358</v>
      </c>
      <c r="L301" s="1463"/>
      <c r="M301" s="1464">
        <v>0</v>
      </c>
      <c r="N301" s="1465">
        <v>1.1083683126773793</v>
      </c>
      <c r="O301" s="1465">
        <v>1.1083683126773793</v>
      </c>
    </row>
    <row r="302" spans="2:15">
      <c r="B302" s="1381">
        <v>41609</v>
      </c>
      <c r="C302" s="1382">
        <v>538.37</v>
      </c>
      <c r="D302" s="1382">
        <v>3815.39</v>
      </c>
      <c r="E302" s="1382">
        <v>1.0078974581644051</v>
      </c>
      <c r="F302" s="1382">
        <v>33.165043718496833</v>
      </c>
      <c r="G302" s="66"/>
      <c r="K302" s="1462">
        <v>42359</v>
      </c>
      <c r="L302" s="1463" t="s">
        <v>2127</v>
      </c>
      <c r="M302" s="1464">
        <v>5.2531000000000001E-2</v>
      </c>
      <c r="N302" s="1465">
        <v>1.1089505496357119</v>
      </c>
      <c r="O302" s="1465">
        <v>1.1089505496357119</v>
      </c>
    </row>
    <row r="303" spans="2:15">
      <c r="B303" s="1381">
        <v>41640</v>
      </c>
      <c r="C303" s="1382">
        <v>540.95899999999995</v>
      </c>
      <c r="D303" s="1382">
        <v>3836.38</v>
      </c>
      <c r="E303" s="1382">
        <v>1.0084934395272054</v>
      </c>
      <c r="F303" s="1382">
        <v>33.446729011737006</v>
      </c>
      <c r="K303" s="1462">
        <v>42360</v>
      </c>
      <c r="L303" s="1463" t="s">
        <v>2127</v>
      </c>
      <c r="M303" s="1464">
        <v>5.2531000000000001E-2</v>
      </c>
      <c r="N303" s="1465">
        <v>1.109533092448941</v>
      </c>
      <c r="O303" s="1465">
        <v>1.109533092448941</v>
      </c>
    </row>
    <row r="304" spans="2:15">
      <c r="B304" s="1381">
        <v>41671</v>
      </c>
      <c r="C304" s="1382">
        <v>543.03800000000001</v>
      </c>
      <c r="D304" s="1382">
        <v>3862.84</v>
      </c>
      <c r="E304" s="1382">
        <v>1.007901464239193</v>
      </c>
      <c r="F304" s="1382">
        <v>33.711007144941227</v>
      </c>
      <c r="K304" s="1462">
        <v>42361</v>
      </c>
      <c r="L304" s="1463" t="s">
        <v>2127</v>
      </c>
      <c r="M304" s="1464">
        <v>5.2531000000000001E-2</v>
      </c>
      <c r="N304" s="1465">
        <v>1.1101159412777355</v>
      </c>
      <c r="O304" s="1465">
        <v>1.1101159412777355</v>
      </c>
    </row>
    <row r="305" spans="2:15">
      <c r="B305" s="1381">
        <v>41699</v>
      </c>
      <c r="C305" s="1382">
        <v>552.08699999999999</v>
      </c>
      <c r="D305" s="1382">
        <v>3898.38</v>
      </c>
      <c r="E305" s="1382">
        <v>1.0076595732083427</v>
      </c>
      <c r="F305" s="1382">
        <v>33.969219072094866</v>
      </c>
      <c r="K305" s="1462">
        <v>42362</v>
      </c>
      <c r="L305" s="1463" t="s">
        <v>2127</v>
      </c>
      <c r="M305" s="1464">
        <v>5.2531000000000001E-2</v>
      </c>
      <c r="N305" s="1465">
        <v>1.110699096282848</v>
      </c>
      <c r="O305" s="1465">
        <v>1.110699096282848</v>
      </c>
    </row>
    <row r="306" spans="2:15">
      <c r="B306" s="1381">
        <v>41730</v>
      </c>
      <c r="C306" s="1382">
        <v>556.41999999999996</v>
      </c>
      <c r="D306" s="1382">
        <v>3924.5</v>
      </c>
      <c r="E306" s="1382">
        <v>1.0082266762081393</v>
      </c>
      <c r="F306" s="1382">
        <v>34.248672838444342</v>
      </c>
      <c r="K306" s="1462">
        <v>42363</v>
      </c>
      <c r="L306" s="1463"/>
      <c r="M306" s="1464">
        <v>0</v>
      </c>
      <c r="N306" s="1465">
        <v>1.110699096282848</v>
      </c>
      <c r="O306" s="1465">
        <v>1.110699096282848</v>
      </c>
    </row>
    <row r="307" spans="2:15">
      <c r="B307" s="1381">
        <v>41760</v>
      </c>
      <c r="C307" s="1382">
        <v>555.67899999999997</v>
      </c>
      <c r="D307" s="1382">
        <v>3942.55</v>
      </c>
      <c r="E307" s="1382">
        <v>1.0086587318278823</v>
      </c>
      <c r="F307" s="1382">
        <v>34.545222912013308</v>
      </c>
      <c r="K307" s="1462">
        <v>42364</v>
      </c>
      <c r="L307" s="1463"/>
      <c r="M307" s="1464">
        <v>0</v>
      </c>
      <c r="N307" s="1465">
        <v>1.110699096282848</v>
      </c>
      <c r="O307" s="1465">
        <v>1.110699096282848</v>
      </c>
    </row>
    <row r="308" spans="2:15">
      <c r="B308" s="1381">
        <v>41791</v>
      </c>
      <c r="C308" s="1382">
        <v>551.55399999999997</v>
      </c>
      <c r="D308" s="1382">
        <v>3958.32</v>
      </c>
      <c r="E308" s="1382">
        <v>1.0082447163000285</v>
      </c>
      <c r="F308" s="1382">
        <v>34.830038474444102</v>
      </c>
      <c r="K308" s="1462">
        <v>42365</v>
      </c>
      <c r="L308" s="1463"/>
      <c r="M308" s="1464">
        <v>0</v>
      </c>
      <c r="N308" s="1465">
        <v>1.110699096282848</v>
      </c>
      <c r="O308" s="1465">
        <v>1.110699096282848</v>
      </c>
    </row>
    <row r="309" spans="2:15">
      <c r="B309" s="1381">
        <v>41821</v>
      </c>
      <c r="C309" s="1382">
        <v>548.202</v>
      </c>
      <c r="D309" s="1382">
        <v>3958.72</v>
      </c>
      <c r="E309" s="1382">
        <v>1.0094872729749897</v>
      </c>
      <c r="F309" s="1382">
        <v>35.160480557180549</v>
      </c>
      <c r="K309" s="1462">
        <v>42366</v>
      </c>
      <c r="L309" s="1463" t="s">
        <v>2127</v>
      </c>
      <c r="M309" s="1464">
        <v>5.2531000000000001E-2</v>
      </c>
      <c r="N309" s="1465">
        <v>1.1112825576251164</v>
      </c>
      <c r="O309" s="1465">
        <v>1.1112825576251164</v>
      </c>
    </row>
    <row r="310" spans="2:15">
      <c r="B310" s="1381">
        <v>41852</v>
      </c>
      <c r="C310" s="1382">
        <v>546.745</v>
      </c>
      <c r="D310" s="1382">
        <v>3968.62</v>
      </c>
      <c r="E310" s="1382">
        <v>1.0086598207325679</v>
      </c>
      <c r="F310" s="1382">
        <v>35.464964015676671</v>
      </c>
      <c r="K310" s="1462">
        <v>42367</v>
      </c>
      <c r="L310" s="1463" t="s">
        <v>2127</v>
      </c>
      <c r="M310" s="1464">
        <v>5.2531000000000001E-2</v>
      </c>
      <c r="N310" s="1465">
        <v>1.1118663254654624</v>
      </c>
      <c r="O310" s="1465">
        <v>1.1118663254654624</v>
      </c>
    </row>
    <row r="311" spans="2:15">
      <c r="B311" s="1381">
        <v>41883</v>
      </c>
      <c r="C311" s="1382">
        <v>547.83900000000006</v>
      </c>
      <c r="D311" s="1382">
        <v>3991.24</v>
      </c>
      <c r="E311" s="1382">
        <v>1.0090729173629331</v>
      </c>
      <c r="F311" s="1382">
        <v>35.786734703470302</v>
      </c>
      <c r="K311" s="1462">
        <v>42368</v>
      </c>
      <c r="L311" s="1463" t="s">
        <v>2127</v>
      </c>
      <c r="M311" s="1464">
        <v>5.2531000000000001E-2</v>
      </c>
      <c r="N311" s="1465">
        <v>1.1124503999648927</v>
      </c>
      <c r="O311" s="1465">
        <v>1.1124503999648927</v>
      </c>
    </row>
    <row r="312" spans="2:15">
      <c r="B312" s="1381">
        <v>41913</v>
      </c>
      <c r="C312" s="1382">
        <v>549.39599999999996</v>
      </c>
      <c r="D312" s="1382">
        <v>4008</v>
      </c>
      <c r="E312" s="1382">
        <v>1.009505315279368</v>
      </c>
      <c r="F312" s="1382">
        <v>36.126898899645887</v>
      </c>
      <c r="K312" s="1462">
        <v>42369</v>
      </c>
      <c r="L312" s="1463" t="s">
        <v>2127</v>
      </c>
      <c r="M312" s="1464">
        <v>5.2531000000000001E-2</v>
      </c>
      <c r="N312" s="1465">
        <v>1.1130347812844983</v>
      </c>
      <c r="O312" s="1465">
        <v>1.1130347812844983</v>
      </c>
    </row>
    <row r="313" spans="2:15">
      <c r="B313" s="1381">
        <v>41944</v>
      </c>
      <c r="C313" s="1382">
        <v>554.76900000000001</v>
      </c>
      <c r="D313" s="1382">
        <v>4028.44</v>
      </c>
      <c r="E313" s="1382">
        <v>1.0084249317586502</v>
      </c>
      <c r="F313" s="1382">
        <v>36.431265557527063</v>
      </c>
      <c r="K313" s="1462">
        <v>42370</v>
      </c>
      <c r="L313" s="1463"/>
      <c r="M313" s="1464">
        <v>0</v>
      </c>
      <c r="N313" s="1465">
        <v>1.1130347812844983</v>
      </c>
      <c r="O313" s="1465">
        <v>1.1130347812844983</v>
      </c>
    </row>
    <row r="314" spans="2:15">
      <c r="B314" s="1381">
        <v>41974</v>
      </c>
      <c r="C314" s="1382">
        <v>558.21299999999997</v>
      </c>
      <c r="D314" s="1382">
        <v>4059.86</v>
      </c>
      <c r="E314" s="1382">
        <v>1.0096129495106978</v>
      </c>
      <c r="F314" s="1382">
        <v>36.781477473942395</v>
      </c>
      <c r="K314" s="1462">
        <v>42371</v>
      </c>
      <c r="L314" s="1463"/>
      <c r="M314" s="1464">
        <v>0</v>
      </c>
      <c r="N314" s="1465">
        <v>1.1130347812844983</v>
      </c>
      <c r="O314" s="1465">
        <v>1.1130347812844983</v>
      </c>
    </row>
    <row r="315" spans="2:15">
      <c r="B315" s="1381">
        <v>42005</v>
      </c>
      <c r="C315" s="1382">
        <v>562.48199999999997</v>
      </c>
      <c r="D315" s="1382">
        <v>4110.2</v>
      </c>
      <c r="E315" s="1382">
        <v>1.0093507541041149</v>
      </c>
      <c r="F315" s="1382">
        <v>37.12541202538727</v>
      </c>
      <c r="K315" s="1462">
        <v>42372</v>
      </c>
      <c r="L315" s="1463"/>
      <c r="M315" s="1464">
        <v>0</v>
      </c>
      <c r="N315" s="1465">
        <v>1.1130347812844983</v>
      </c>
      <c r="O315" s="1465">
        <v>1.1130347812844983</v>
      </c>
    </row>
    <row r="316" spans="2:15">
      <c r="B316" s="1381">
        <v>42036</v>
      </c>
      <c r="C316" s="1382">
        <v>564.00400000000002</v>
      </c>
      <c r="D316" s="1382">
        <v>4160.34</v>
      </c>
      <c r="E316" s="1382">
        <v>1.0082241099890967</v>
      </c>
      <c r="F316" s="1382">
        <v>37.43073549727459</v>
      </c>
      <c r="K316" s="1462">
        <v>42373</v>
      </c>
      <c r="L316" s="1463" t="s">
        <v>2127</v>
      </c>
      <c r="M316" s="1464">
        <v>5.2531000000000001E-2</v>
      </c>
      <c r="N316" s="1465">
        <v>1.1136194695854549</v>
      </c>
      <c r="O316" s="1465">
        <v>1.1136194695854549</v>
      </c>
    </row>
    <row r="317" spans="2:15">
      <c r="B317" s="1381">
        <v>42064</v>
      </c>
      <c r="C317" s="1382">
        <v>569.53599999999994</v>
      </c>
      <c r="D317" s="1382">
        <v>4215.26</v>
      </c>
      <c r="E317" s="1382">
        <v>1.0103996710699541</v>
      </c>
      <c r="F317" s="1382">
        <v>37.820002834352699</v>
      </c>
      <c r="K317" s="1462">
        <v>42374</v>
      </c>
      <c r="L317" s="1463" t="s">
        <v>2127</v>
      </c>
      <c r="M317" s="1464">
        <v>5.2531000000000001E-2</v>
      </c>
      <c r="N317" s="1465">
        <v>1.1142044650290228</v>
      </c>
      <c r="O317" s="1465">
        <v>1.1142044650290228</v>
      </c>
    </row>
    <row r="318" spans="2:15">
      <c r="B318" s="1381">
        <v>42095</v>
      </c>
      <c r="C318" s="1382">
        <v>576.17499999999995</v>
      </c>
      <c r="D318" s="1382">
        <v>4245.1899999999996</v>
      </c>
      <c r="E318" s="1382">
        <v>1.0095179160892187</v>
      </c>
      <c r="F318" s="1382">
        <v>38.179970447824083</v>
      </c>
      <c r="K318" s="1462">
        <v>42375</v>
      </c>
      <c r="L318" s="1463" t="s">
        <v>2127</v>
      </c>
      <c r="M318" s="1464">
        <v>5.2531000000000001E-2</v>
      </c>
      <c r="N318" s="1465">
        <v>1.1147897677765473</v>
      </c>
      <c r="O318" s="1465">
        <v>1.1147897677765473</v>
      </c>
    </row>
    <row r="319" spans="2:15">
      <c r="B319" s="1381">
        <v>42125</v>
      </c>
      <c r="C319" s="1382">
        <v>578.51599999999996</v>
      </c>
      <c r="D319" s="1382">
        <v>4276.6000000000004</v>
      </c>
      <c r="E319" s="1382">
        <v>1.0098532226245138</v>
      </c>
      <c r="F319" s="1382">
        <v>38.556166196443854</v>
      </c>
      <c r="K319" s="1462">
        <v>42376</v>
      </c>
      <c r="L319" s="1463" t="s">
        <v>2127</v>
      </c>
      <c r="M319" s="1464">
        <v>5.2531000000000001E-2</v>
      </c>
      <c r="N319" s="1465">
        <v>1.115375377989458</v>
      </c>
      <c r="O319" s="1465">
        <v>1.115375377989458</v>
      </c>
    </row>
    <row r="320" spans="2:15">
      <c r="B320" s="1381">
        <v>42156</v>
      </c>
      <c r="C320" s="1382">
        <v>582.40099999999995</v>
      </c>
      <c r="D320" s="1382">
        <v>4310.3900000000003</v>
      </c>
      <c r="E320" s="1382">
        <v>1.0106667572412273</v>
      </c>
      <c r="F320" s="1382">
        <v>38.967435461413736</v>
      </c>
      <c r="K320" s="1462">
        <v>42377</v>
      </c>
      <c r="L320" s="1463" t="s">
        <v>2127</v>
      </c>
      <c r="M320" s="1464">
        <v>5.2531000000000001E-2</v>
      </c>
      <c r="N320" s="1465">
        <v>1.1159612958292695</v>
      </c>
      <c r="O320" s="1465">
        <v>1.1159612958292695</v>
      </c>
    </row>
    <row r="321" spans="2:15">
      <c r="B321" s="1381">
        <v>42186</v>
      </c>
      <c r="C321" s="1382">
        <v>586.42600000000004</v>
      </c>
      <c r="D321" s="1382">
        <v>4337.1099999999997</v>
      </c>
      <c r="E321" s="1382">
        <v>1.0117819838421735</v>
      </c>
      <c r="F321" s="1382">
        <v>39.426549156391054</v>
      </c>
      <c r="K321" s="1462">
        <v>42378</v>
      </c>
      <c r="L321" s="1463"/>
      <c r="M321" s="1464">
        <v>0</v>
      </c>
      <c r="N321" s="1465">
        <v>1.1159612958292695</v>
      </c>
      <c r="O321" s="1465">
        <v>1.1159612958292695</v>
      </c>
    </row>
    <row r="322" spans="2:15">
      <c r="B322" s="1381">
        <v>42217</v>
      </c>
      <c r="C322" s="1382">
        <v>588.04200000000003</v>
      </c>
      <c r="D322" s="1382">
        <v>4346.6499999999996</v>
      </c>
      <c r="E322" s="1382">
        <v>1.0110896528780247</v>
      </c>
      <c r="F322" s="1382">
        <v>39.863775900713804</v>
      </c>
      <c r="K322" s="1462">
        <v>42379</v>
      </c>
      <c r="L322" s="1463"/>
      <c r="M322" s="1464">
        <v>0</v>
      </c>
      <c r="N322" s="1465">
        <v>1.1159612958292695</v>
      </c>
      <c r="O322" s="1465">
        <v>1.1159612958292695</v>
      </c>
    </row>
    <row r="323" spans="2:15">
      <c r="B323" s="1381">
        <v>42248</v>
      </c>
      <c r="C323" s="1382">
        <v>593.60599999999999</v>
      </c>
      <c r="D323" s="1382">
        <v>4370.12</v>
      </c>
      <c r="E323" s="1382">
        <v>1.0110896528780244</v>
      </c>
      <c r="F323" s="1382">
        <v>40.305851337860076</v>
      </c>
      <c r="K323" s="1462">
        <v>42380</v>
      </c>
      <c r="L323" s="1463" t="s">
        <v>2127</v>
      </c>
      <c r="M323" s="1464">
        <v>5.2531000000000001E-2</v>
      </c>
      <c r="N323" s="1465">
        <v>1.1165475214575815</v>
      </c>
      <c r="O323" s="1465">
        <v>1.1165475214575815</v>
      </c>
    </row>
    <row r="324" spans="2:15">
      <c r="B324" s="1381">
        <v>42278</v>
      </c>
      <c r="C324" s="1382">
        <v>604.83199999999999</v>
      </c>
      <c r="D324" s="1382">
        <v>4405.95</v>
      </c>
      <c r="E324" s="1382">
        <v>1.0110896528780242</v>
      </c>
      <c r="F324" s="1382">
        <v>40.752829238150191</v>
      </c>
      <c r="K324" s="1462">
        <v>42381</v>
      </c>
      <c r="L324" s="1463" t="s">
        <v>2127</v>
      </c>
      <c r="M324" s="1464">
        <v>5.2531000000000001E-2</v>
      </c>
      <c r="N324" s="1465">
        <v>1.1171340550360784</v>
      </c>
      <c r="O324" s="1465">
        <v>1.1171340550360784</v>
      </c>
    </row>
    <row r="325" spans="2:15">
      <c r="B325" s="1381">
        <v>42309</v>
      </c>
      <c r="C325" s="1382">
        <v>614.05100000000004</v>
      </c>
      <c r="D325" s="1382">
        <v>4450.45</v>
      </c>
      <c r="E325" s="1382">
        <v>1.0105587962367735</v>
      </c>
      <c r="F325" s="1382">
        <v>41.183130058147846</v>
      </c>
      <c r="K325" s="1462">
        <v>42382</v>
      </c>
      <c r="L325" s="1463" t="s">
        <v>2127</v>
      </c>
      <c r="M325" s="1464">
        <v>5.2531000000000001E-2</v>
      </c>
      <c r="N325" s="1465">
        <v>1.1177208967265295</v>
      </c>
      <c r="O325" s="1465">
        <v>1.1177208967265295</v>
      </c>
    </row>
    <row r="326" spans="2:15">
      <c r="B326" s="1381">
        <v>42339</v>
      </c>
      <c r="C326" s="1382">
        <v>617.04399999999998</v>
      </c>
      <c r="D326" s="1382">
        <v>4493.17</v>
      </c>
      <c r="E326" s="1382">
        <v>1.0116207883835777</v>
      </c>
      <c r="F326" s="1382">
        <v>41.66171049752694</v>
      </c>
      <c r="K326" s="1462">
        <v>42383</v>
      </c>
      <c r="L326" s="1463" t="s">
        <v>2127</v>
      </c>
      <c r="M326" s="1464">
        <v>5.2531000000000001E-2</v>
      </c>
      <c r="N326" s="1465">
        <v>1.1183080466907889</v>
      </c>
      <c r="O326" s="1465">
        <v>1.1183080466907889</v>
      </c>
    </row>
    <row r="327" spans="2:15">
      <c r="B327" s="1381">
        <v>42370</v>
      </c>
      <c r="C327" s="1382">
        <v>624.05999999999995</v>
      </c>
      <c r="D327" s="1382">
        <v>4550.2299999999996</v>
      </c>
      <c r="E327" s="1382">
        <v>1.0105587962367735</v>
      </c>
      <c r="F327" s="1382">
        <v>42.101608009545771</v>
      </c>
      <c r="K327" s="1462">
        <v>42384</v>
      </c>
      <c r="L327" s="1463" t="s">
        <v>2127</v>
      </c>
      <c r="M327" s="1464">
        <v>5.2531000000000001E-2</v>
      </c>
      <c r="N327" s="1465">
        <v>1.118895505090796</v>
      </c>
      <c r="O327" s="1465">
        <v>1.118895505090796</v>
      </c>
    </row>
    <row r="328" spans="2:15">
      <c r="B328" s="1381">
        <v>42401</v>
      </c>
      <c r="C328" s="1382">
        <v>632.11400000000003</v>
      </c>
      <c r="D328" s="1382">
        <v>4591.18</v>
      </c>
      <c r="E328" s="1382">
        <v>1.0100282183134115</v>
      </c>
      <c r="F328" s="1382">
        <v>42.523812126011173</v>
      </c>
      <c r="K328" s="1462">
        <v>42385</v>
      </c>
      <c r="L328" s="1463"/>
      <c r="M328" s="1464">
        <v>0</v>
      </c>
      <c r="N328" s="1465">
        <v>1.118895505090796</v>
      </c>
      <c r="O328" s="1465">
        <v>1.118895505090796</v>
      </c>
    </row>
    <row r="329" spans="2:15">
      <c r="B329" s="1381">
        <v>42430</v>
      </c>
      <c r="C329" s="1382">
        <v>635.34900000000005</v>
      </c>
      <c r="D329" s="1382">
        <v>4610.92</v>
      </c>
      <c r="E329" s="1382">
        <v>1.0116207883835779</v>
      </c>
      <c r="F329" s="1382">
        <v>43.017972347990572</v>
      </c>
      <c r="K329" s="1462">
        <v>42386</v>
      </c>
      <c r="L329" s="1463"/>
      <c r="M329" s="1464">
        <v>0</v>
      </c>
      <c r="N329" s="1465">
        <v>1.118895505090796</v>
      </c>
      <c r="O329" s="1465">
        <v>1.118895505090796</v>
      </c>
    </row>
    <row r="330" spans="2:15">
      <c r="B330" s="1381">
        <v>42461</v>
      </c>
      <c r="C330" s="1382">
        <v>637.43399999999997</v>
      </c>
      <c r="D330" s="1382">
        <v>4639.05</v>
      </c>
      <c r="E330" s="1382">
        <v>1.0105587962367735</v>
      </c>
      <c r="F330" s="1382">
        <v>43.472190352532159</v>
      </c>
      <c r="K330" s="1462">
        <v>42387</v>
      </c>
      <c r="L330" s="1463" t="s">
        <v>2127</v>
      </c>
      <c r="M330" s="1464">
        <v>5.2531000000000001E-2</v>
      </c>
      <c r="N330" s="1465">
        <v>1.1194832720885752</v>
      </c>
      <c r="O330" s="1465">
        <v>1.1194832720885752</v>
      </c>
    </row>
    <row r="331" spans="2:15">
      <c r="B331" s="1381">
        <v>42491</v>
      </c>
      <c r="C331" s="1382">
        <v>642.65099999999995</v>
      </c>
      <c r="D331" s="1382">
        <v>4675.2299999999996</v>
      </c>
      <c r="E331" s="1382">
        <v>1.0110896528780244</v>
      </c>
      <c r="F331" s="1382">
        <v>43.954281853389141</v>
      </c>
      <c r="K331" s="1462">
        <v>42388</v>
      </c>
      <c r="L331" s="1463" t="s">
        <v>2127</v>
      </c>
      <c r="M331" s="1464">
        <v>5.2531000000000001E-2</v>
      </c>
      <c r="N331" s="1465">
        <v>1.1200713478462361</v>
      </c>
      <c r="O331" s="1465">
        <v>1.1200713478462361</v>
      </c>
    </row>
    <row r="332" spans="2:15">
      <c r="B332" s="1381">
        <v>42522</v>
      </c>
      <c r="C332" s="1382">
        <v>653.49599999999998</v>
      </c>
      <c r="D332" s="1382">
        <v>4691.59</v>
      </c>
      <c r="E332" s="1382">
        <v>1.0116207883835777</v>
      </c>
      <c r="F332" s="1382">
        <v>44.465065261359506</v>
      </c>
      <c r="K332" s="1462">
        <v>42389</v>
      </c>
      <c r="L332" s="1463" t="s">
        <v>2127</v>
      </c>
      <c r="M332" s="1464">
        <v>5.2531000000000001E-2</v>
      </c>
      <c r="N332" s="1465">
        <v>1.1206597325259733</v>
      </c>
      <c r="O332" s="1465">
        <v>1.1206597325259733</v>
      </c>
    </row>
    <row r="333" spans="2:15">
      <c r="B333" s="1381">
        <v>42552</v>
      </c>
      <c r="C333" s="1382">
        <v>654.64099999999996</v>
      </c>
      <c r="D333" s="1382">
        <v>4715.99</v>
      </c>
      <c r="E333" s="1382">
        <v>1.0110896528780242</v>
      </c>
      <c r="F333" s="1382">
        <v>44.958167400306678</v>
      </c>
      <c r="K333" s="1462">
        <v>42390</v>
      </c>
      <c r="L333" s="1463" t="s">
        <v>2127</v>
      </c>
      <c r="M333" s="1464">
        <v>5.2531000000000001E-2</v>
      </c>
      <c r="N333" s="1465">
        <v>1.1212484262900666</v>
      </c>
      <c r="O333" s="1465">
        <v>1.1212484262900666</v>
      </c>
    </row>
    <row r="334" spans="2:15">
      <c r="B334" s="1381">
        <v>42583</v>
      </c>
      <c r="C334" s="1382">
        <v>655.60199999999998</v>
      </c>
      <c r="D334" s="1382">
        <v>4736.74</v>
      </c>
      <c r="E334" s="1382">
        <v>1.0121522028999232</v>
      </c>
      <c r="F334" s="1382">
        <v>45.504508172563916</v>
      </c>
      <c r="K334" s="1462">
        <v>42391</v>
      </c>
      <c r="L334" s="1463" t="s">
        <v>2127</v>
      </c>
      <c r="M334" s="1464">
        <v>5.2531000000000001E-2</v>
      </c>
      <c r="N334" s="1465">
        <v>1.121837429300881</v>
      </c>
      <c r="O334" s="1465">
        <v>1.121837429300881</v>
      </c>
    </row>
    <row r="335" spans="2:15">
      <c r="B335" s="1381">
        <v>42614</v>
      </c>
      <c r="C335" s="1382">
        <v>656.89400000000001</v>
      </c>
      <c r="D335" s="1382">
        <v>4740.53</v>
      </c>
      <c r="E335" s="1382">
        <v>1.0110896528780247</v>
      </c>
      <c r="F335" s="1382">
        <v>46.009137372582884</v>
      </c>
      <c r="K335" s="1462">
        <v>42392</v>
      </c>
      <c r="L335" s="1463"/>
      <c r="M335" s="1464">
        <v>0</v>
      </c>
      <c r="N335" s="1465">
        <v>1.121837429300881</v>
      </c>
      <c r="O335" s="1465">
        <v>1.121837429300881</v>
      </c>
    </row>
    <row r="336" spans="2:15">
      <c r="B336" s="1381">
        <v>42644</v>
      </c>
      <c r="C336" s="1382">
        <v>657.92700000000002</v>
      </c>
      <c r="D336" s="1382">
        <v>4752.8599999999997</v>
      </c>
      <c r="E336" s="1382">
        <v>1.0104884196148551</v>
      </c>
      <c r="F336" s="1382">
        <v>46.491700511464046</v>
      </c>
      <c r="K336" s="1462">
        <v>42393</v>
      </c>
      <c r="L336" s="1463"/>
      <c r="M336" s="1464">
        <v>0</v>
      </c>
      <c r="N336" s="1465">
        <v>1.121837429300881</v>
      </c>
      <c r="O336" s="1465">
        <v>1.121837429300881</v>
      </c>
    </row>
    <row r="337" spans="2:15">
      <c r="B337" s="1381">
        <v>42675</v>
      </c>
      <c r="C337" s="1382">
        <v>657.75199999999995</v>
      </c>
      <c r="D337" s="1382">
        <v>4761.42</v>
      </c>
      <c r="E337" s="1382">
        <v>1.0103828638714687</v>
      </c>
      <c r="F337" s="1382">
        <v>46.974417509027667</v>
      </c>
      <c r="K337" s="1462">
        <v>42394</v>
      </c>
      <c r="L337" s="1463" t="s">
        <v>2127</v>
      </c>
      <c r="M337" s="1464">
        <v>5.2531000000000001E-2</v>
      </c>
      <c r="N337" s="1465">
        <v>1.1224267417208671</v>
      </c>
      <c r="O337" s="1465">
        <v>1.1224267417208671</v>
      </c>
    </row>
    <row r="338" spans="2:15">
      <c r="B338" s="1381">
        <v>42705</v>
      </c>
      <c r="C338" s="1382">
        <v>661.30399999999997</v>
      </c>
      <c r="D338" s="1382">
        <v>4775.7</v>
      </c>
      <c r="E338" s="1382">
        <v>1.0112331468569866</v>
      </c>
      <c r="F338" s="1382">
        <v>47.502088039427981</v>
      </c>
      <c r="K338" s="1462">
        <v>42395</v>
      </c>
      <c r="L338" s="1463" t="s">
        <v>2127</v>
      </c>
      <c r="M338" s="1464">
        <v>5.2531000000000001E-2</v>
      </c>
      <c r="N338" s="1465">
        <v>1.1230163637125605</v>
      </c>
      <c r="O338" s="1465">
        <v>1.1230163637125605</v>
      </c>
    </row>
    <row r="339" spans="2:15">
      <c r="B339" s="1381">
        <v>42736</v>
      </c>
      <c r="C339" s="1382">
        <v>665.54200000000003</v>
      </c>
      <c r="D339" s="1382">
        <v>4793.8500000000004</v>
      </c>
      <c r="E339" s="1382">
        <v>1.0108612048503447</v>
      </c>
      <c r="F339" s="1382">
        <v>48.018017948443315</v>
      </c>
      <c r="K339" s="1462">
        <v>42396</v>
      </c>
      <c r="L339" s="1463" t="s">
        <v>2127</v>
      </c>
      <c r="M339" s="1464">
        <v>5.2531000000000001E-2</v>
      </c>
      <c r="N339" s="1465">
        <v>1.1236062954385824</v>
      </c>
      <c r="O339" s="1465">
        <v>1.1236062954385824</v>
      </c>
    </row>
    <row r="340" spans="2:15">
      <c r="B340" s="1381">
        <v>42767</v>
      </c>
      <c r="C340" s="1382">
        <v>666.09900000000005</v>
      </c>
      <c r="D340" s="1382">
        <v>4809.67</v>
      </c>
      <c r="E340" s="1382">
        <v>1.0086508422083289</v>
      </c>
      <c r="F340" s="1382">
        <v>48.433414244872004</v>
      </c>
      <c r="K340" s="1462">
        <v>42397</v>
      </c>
      <c r="L340" s="1463" t="s">
        <v>2127</v>
      </c>
      <c r="M340" s="1464">
        <v>5.2531000000000001E-2</v>
      </c>
      <c r="N340" s="1465">
        <v>1.1241965370616391</v>
      </c>
      <c r="O340" s="1465">
        <v>1.1241965370616391</v>
      </c>
    </row>
    <row r="341" spans="2:15">
      <c r="B341" s="1381">
        <v>42795</v>
      </c>
      <c r="C341" s="1382">
        <v>666.197</v>
      </c>
      <c r="D341" s="1382">
        <v>4821.6899999999996</v>
      </c>
      <c r="E341" s="1382">
        <v>1.0105205646045978</v>
      </c>
      <c r="F341" s="1382">
        <v>48.94296110845643</v>
      </c>
      <c r="K341" s="1462">
        <v>42398</v>
      </c>
      <c r="L341" s="1463" t="s">
        <v>2127</v>
      </c>
      <c r="M341" s="1464">
        <v>5.2531000000000001E-2</v>
      </c>
      <c r="N341" s="1465">
        <v>1.124787088744523</v>
      </c>
      <c r="O341" s="1465">
        <v>1.124787088744523</v>
      </c>
    </row>
    <row r="342" spans="2:15">
      <c r="B342" s="1381">
        <v>42826</v>
      </c>
      <c r="C342" s="1382">
        <v>658.89800000000002</v>
      </c>
      <c r="D342" s="1382">
        <v>4828.4399999999996</v>
      </c>
      <c r="E342" s="1382">
        <v>1.0078658059100756</v>
      </c>
      <c r="F342" s="1382">
        <v>49.327936941199923</v>
      </c>
      <c r="K342" s="1462">
        <v>42399</v>
      </c>
      <c r="L342" s="1463"/>
      <c r="M342" s="1464">
        <v>0</v>
      </c>
      <c r="N342" s="1465">
        <v>1.124787088744523</v>
      </c>
      <c r="O342" s="1465">
        <v>1.124787088744523</v>
      </c>
    </row>
    <row r="343" spans="2:15">
      <c r="B343" s="1381">
        <v>42856</v>
      </c>
      <c r="C343" s="1382">
        <v>652.75800000000004</v>
      </c>
      <c r="D343" s="1382">
        <v>4843.41</v>
      </c>
      <c r="E343" s="1382">
        <v>1.0092713189779878</v>
      </c>
      <c r="F343" s="1382">
        <v>49.785271979107854</v>
      </c>
      <c r="K343" s="1462">
        <v>42400</v>
      </c>
      <c r="L343" s="1463"/>
      <c r="M343" s="1464">
        <v>0</v>
      </c>
      <c r="N343" s="1465">
        <v>1.124787088744523</v>
      </c>
      <c r="O343" s="1465">
        <v>1.124787088744523</v>
      </c>
    </row>
    <row r="344" spans="2:15">
      <c r="B344" s="1381">
        <v>42887</v>
      </c>
      <c r="C344" s="1382">
        <v>648.40899999999999</v>
      </c>
      <c r="D344" s="1382">
        <v>4832.2700000000004</v>
      </c>
      <c r="E344" s="1382">
        <v>1.0080886926571575</v>
      </c>
      <c r="F344" s="1382">
        <v>50.187969742999854</v>
      </c>
      <c r="K344" s="1462">
        <v>42401</v>
      </c>
      <c r="L344" s="1463" t="s">
        <v>2127</v>
      </c>
      <c r="M344" s="1464">
        <v>5.2531000000000001E-2</v>
      </c>
      <c r="N344" s="1465">
        <v>1.1253779506501114</v>
      </c>
      <c r="O344" s="1465">
        <v>1.1253779506501114</v>
      </c>
    </row>
    <row r="345" spans="2:15">
      <c r="B345" s="1381">
        <v>42917</v>
      </c>
      <c r="C345" s="1382">
        <v>643.76599999999996</v>
      </c>
      <c r="D345" s="1382">
        <v>4843.87</v>
      </c>
      <c r="E345" s="1382">
        <v>1.0079792299470567</v>
      </c>
      <c r="F345" s="1382">
        <v>50.588431094155176</v>
      </c>
      <c r="K345" s="1462">
        <v>42402</v>
      </c>
      <c r="L345" s="1463" t="s">
        <v>2127</v>
      </c>
      <c r="M345" s="1464">
        <v>5.2531000000000001E-2</v>
      </c>
      <c r="N345" s="1465">
        <v>1.1259691229413673</v>
      </c>
      <c r="O345" s="1465">
        <v>1.1259691229413673</v>
      </c>
    </row>
    <row r="346" spans="2:15">
      <c r="B346" s="1381">
        <v>42948</v>
      </c>
      <c r="C346" s="1382">
        <v>644.38300000000004</v>
      </c>
      <c r="D346" s="1382">
        <v>4853.07</v>
      </c>
      <c r="E346" s="1382">
        <v>1.0080228940119034</v>
      </c>
      <c r="F346" s="1382">
        <v>50.994296715052059</v>
      </c>
      <c r="K346" s="1462">
        <v>42403</v>
      </c>
      <c r="L346" s="1463" t="s">
        <v>2127</v>
      </c>
      <c r="M346" s="1464">
        <v>5.2531000000000001E-2</v>
      </c>
      <c r="N346" s="1465">
        <v>1.1265606057813395</v>
      </c>
      <c r="O346" s="1465">
        <v>1.1265606057813395</v>
      </c>
    </row>
    <row r="347" spans="2:15">
      <c r="B347" s="1381">
        <v>42979</v>
      </c>
      <c r="C347" s="1382">
        <v>647.4</v>
      </c>
      <c r="D347" s="1382">
        <v>4860.83</v>
      </c>
      <c r="E347" s="1382">
        <v>1.0063846003708505</v>
      </c>
      <c r="F347" s="1382">
        <v>51.319874920770239</v>
      </c>
      <c r="K347" s="1462">
        <v>42404</v>
      </c>
      <c r="L347" s="1463" t="s">
        <v>2127</v>
      </c>
      <c r="M347" s="1464">
        <v>5.2531000000000001E-2</v>
      </c>
      <c r="N347" s="1465">
        <v>1.1271523993331625</v>
      </c>
      <c r="O347" s="1465">
        <v>1.1271523993331625</v>
      </c>
    </row>
    <row r="348" spans="2:15">
      <c r="B348" s="1381">
        <v>43009</v>
      </c>
      <c r="C348" s="1382">
        <v>648.67200000000003</v>
      </c>
      <c r="D348" s="1382">
        <v>4881.25</v>
      </c>
      <c r="E348" s="1382">
        <v>1.0064393014601032</v>
      </c>
      <c r="F348" s="1382">
        <v>51.650339066279869</v>
      </c>
      <c r="K348" s="1462">
        <v>42405</v>
      </c>
      <c r="L348" s="1463" t="s">
        <v>2127</v>
      </c>
      <c r="M348" s="1464">
        <v>5.2531000000000001E-2</v>
      </c>
      <c r="N348" s="1465">
        <v>1.1277445037600562</v>
      </c>
      <c r="O348" s="1465">
        <v>1.1277445037600562</v>
      </c>
    </row>
    <row r="349" spans="2:15">
      <c r="B349" s="1381">
        <v>43040</v>
      </c>
      <c r="C349" s="1382">
        <v>652.07299999999998</v>
      </c>
      <c r="D349" s="1382">
        <v>4894.92</v>
      </c>
      <c r="E349" s="1382">
        <v>1.0056818783789492</v>
      </c>
      <c r="F349" s="1382">
        <v>51.943810011085958</v>
      </c>
      <c r="K349" s="1462">
        <v>42406</v>
      </c>
      <c r="L349" s="1463"/>
      <c r="M349" s="1464">
        <v>0</v>
      </c>
      <c r="N349" s="1465">
        <v>1.1277445037600562</v>
      </c>
      <c r="O349" s="1465">
        <v>1.1277445037600562</v>
      </c>
    </row>
    <row r="350" spans="2:15">
      <c r="B350" s="1381">
        <v>43070</v>
      </c>
      <c r="C350" s="1382">
        <v>657.85900000000004</v>
      </c>
      <c r="D350" s="1382">
        <v>4916.46</v>
      </c>
      <c r="E350" s="1382">
        <v>1.0053840004998948</v>
      </c>
      <c r="F350" s="1382">
        <v>52.223475510152085</v>
      </c>
      <c r="K350" s="1462">
        <v>42407</v>
      </c>
      <c r="L350" s="1463"/>
      <c r="M350" s="1464">
        <v>0</v>
      </c>
      <c r="N350" s="1465">
        <v>1.1277445037600562</v>
      </c>
      <c r="O350" s="1465">
        <v>1.1277445037600562</v>
      </c>
    </row>
    <row r="351" spans="2:15">
      <c r="B351" s="1381">
        <v>43101</v>
      </c>
      <c r="C351" s="1382">
        <v>662.82600000000002</v>
      </c>
      <c r="D351" s="1382">
        <v>4930.72</v>
      </c>
      <c r="E351" s="1382">
        <v>1.0058420473548675</v>
      </c>
      <c r="F351" s="1382">
        <v>52.528567527118156</v>
      </c>
      <c r="K351" s="1462">
        <v>42408</v>
      </c>
      <c r="L351" s="1463"/>
      <c r="M351" s="1464">
        <v>0</v>
      </c>
      <c r="N351" s="1465">
        <v>1.1277445037600562</v>
      </c>
      <c r="O351" s="1465">
        <v>1.1277445037600562</v>
      </c>
    </row>
    <row r="352" spans="2:15">
      <c r="B352" s="1381">
        <v>43132</v>
      </c>
      <c r="C352" s="1382">
        <v>663.31100000000004</v>
      </c>
      <c r="D352" s="1382">
        <v>4946.5</v>
      </c>
      <c r="E352" s="1382">
        <v>1.0046560161193037</v>
      </c>
      <c r="F352" s="1382">
        <v>52.773141384248348</v>
      </c>
      <c r="K352" s="1462">
        <v>42409</v>
      </c>
      <c r="L352" s="1463"/>
      <c r="M352" s="1464">
        <v>0</v>
      </c>
      <c r="N352" s="1465">
        <v>1.1277445037600562</v>
      </c>
      <c r="O352" s="1465">
        <v>1.1277445037600562</v>
      </c>
    </row>
    <row r="353" spans="2:15">
      <c r="B353" s="1381">
        <v>43160</v>
      </c>
      <c r="C353" s="1382">
        <v>667.524</v>
      </c>
      <c r="D353" s="1382">
        <v>4950.95</v>
      </c>
      <c r="E353" s="1382">
        <v>1.0053234480536677</v>
      </c>
      <c r="F353" s="1382">
        <v>53.054076461036253</v>
      </c>
      <c r="K353" s="1462">
        <v>42410</v>
      </c>
      <c r="L353" s="1463" t="s">
        <v>2127</v>
      </c>
      <c r="M353" s="1464">
        <v>5.2531000000000001E-2</v>
      </c>
      <c r="N353" s="1465">
        <v>1.1283369192253263</v>
      </c>
      <c r="O353" s="1465">
        <v>1.1283369192253263</v>
      </c>
    </row>
    <row r="354" spans="2:15">
      <c r="B354" s="1381">
        <v>43191</v>
      </c>
      <c r="C354" s="1382">
        <v>671.327</v>
      </c>
      <c r="D354" s="1382">
        <v>4961.84</v>
      </c>
      <c r="E354" s="1382">
        <v>1.0051829489023658</v>
      </c>
      <c r="F354" s="1382">
        <v>53.329053028396011</v>
      </c>
      <c r="K354" s="1462">
        <v>42411</v>
      </c>
      <c r="L354" s="1463" t="s">
        <v>2127</v>
      </c>
      <c r="M354" s="1464">
        <v>5.2531000000000001E-2</v>
      </c>
      <c r="N354" s="1465">
        <v>1.1289296458923646</v>
      </c>
      <c r="O354" s="1465">
        <v>1.1289296458923646</v>
      </c>
    </row>
    <row r="355" spans="2:15">
      <c r="B355" s="1381">
        <v>43221</v>
      </c>
      <c r="C355" s="1382">
        <v>680.57899999999995</v>
      </c>
      <c r="D355" s="1382">
        <v>4981.6899999999996</v>
      </c>
      <c r="E355" s="1382">
        <v>1.0051829489023656</v>
      </c>
      <c r="F355" s="1382">
        <v>53.605454785253734</v>
      </c>
      <c r="G355" s="491"/>
      <c r="K355" s="1462">
        <v>42412</v>
      </c>
      <c r="L355" s="1463" t="s">
        <v>2127</v>
      </c>
      <c r="M355" s="1464">
        <v>5.2531000000000001E-2</v>
      </c>
      <c r="N355" s="1465">
        <v>1.1295226839246482</v>
      </c>
      <c r="O355" s="1465">
        <v>1.1295226839246482</v>
      </c>
    </row>
    <row r="356" spans="2:15">
      <c r="B356" s="1381">
        <v>43252</v>
      </c>
      <c r="C356" s="1382">
        <v>693.28700000000003</v>
      </c>
      <c r="D356" s="1382">
        <v>5044.46</v>
      </c>
      <c r="E356" s="1382">
        <v>1.0051829489023654</v>
      </c>
      <c r="F356" s="1382">
        <v>53.88328911829376</v>
      </c>
      <c r="G356" s="10"/>
      <c r="I356" s="10"/>
      <c r="K356" s="1462">
        <v>42413</v>
      </c>
      <c r="L356" s="1463"/>
      <c r="M356" s="1464">
        <v>0</v>
      </c>
      <c r="N356" s="1465">
        <v>1.1295226839246482</v>
      </c>
      <c r="O356" s="1465">
        <v>1.1295226839246482</v>
      </c>
    </row>
    <row r="357" spans="2:15">
      <c r="B357" s="1381">
        <v>43282</v>
      </c>
      <c r="C357" s="1382">
        <v>696.8</v>
      </c>
      <c r="D357" s="1382">
        <v>5061.1099999999997</v>
      </c>
      <c r="E357" s="1382">
        <v>1.0054304249443857</v>
      </c>
      <c r="F357" s="1382">
        <v>54.175898275607288</v>
      </c>
      <c r="G357" s="10"/>
      <c r="K357" s="1462">
        <v>42414</v>
      </c>
      <c r="L357" s="1463"/>
      <c r="M357" s="1464">
        <v>0</v>
      </c>
      <c r="N357" s="1465">
        <v>1.1295226839246482</v>
      </c>
      <c r="O357" s="1465">
        <v>1.1295226839246482</v>
      </c>
    </row>
    <row r="358" spans="2:15">
      <c r="B358" s="1381">
        <v>43313</v>
      </c>
      <c r="C358" s="1382">
        <v>701.67700000000002</v>
      </c>
      <c r="D358" s="1382">
        <v>5056.5600000000004</v>
      </c>
      <c r="E358" s="1382">
        <v>1.0056779619150069</v>
      </c>
      <c r="F358" s="1382">
        <v>54.483506962727475</v>
      </c>
      <c r="K358" s="1462">
        <v>42415</v>
      </c>
      <c r="L358" s="1463" t="s">
        <v>2127</v>
      </c>
      <c r="M358" s="1464">
        <v>5.2531000000000001E-2</v>
      </c>
      <c r="N358" s="1465">
        <v>1.1301160334857405</v>
      </c>
      <c r="O358" s="1465">
        <v>1.1301160334857405</v>
      </c>
    </row>
    <row r="359" spans="2:15">
      <c r="B359" s="1381">
        <v>43344</v>
      </c>
      <c r="C359" s="1382">
        <v>712.37300000000005</v>
      </c>
      <c r="D359" s="1382">
        <v>5080.83</v>
      </c>
      <c r="E359" s="1382">
        <v>1.0046881795441467</v>
      </c>
      <c r="F359" s="1382">
        <v>54.738935425563504</v>
      </c>
      <c r="K359" s="1462">
        <v>42416</v>
      </c>
      <c r="L359" s="1463" t="s">
        <v>2127</v>
      </c>
      <c r="M359" s="1464">
        <v>5.2531000000000001E-2</v>
      </c>
      <c r="N359" s="1465">
        <v>1.1307096947392909</v>
      </c>
      <c r="O359" s="1465">
        <v>1.1307096947392909</v>
      </c>
    </row>
    <row r="360" spans="2:15">
      <c r="B360" s="1381">
        <v>43374</v>
      </c>
      <c r="C360" s="1382">
        <v>718.68399999999997</v>
      </c>
      <c r="D360" s="1382">
        <v>5103.6899999999996</v>
      </c>
      <c r="E360" s="1382">
        <v>1.0054304249443855</v>
      </c>
      <c r="F360" s="1382">
        <v>55.036191105927593</v>
      </c>
      <c r="K360" s="1462">
        <v>42417</v>
      </c>
      <c r="L360" s="1463" t="s">
        <v>2127</v>
      </c>
      <c r="M360" s="1464">
        <v>5.2531000000000001E-2</v>
      </c>
      <c r="N360" s="1465">
        <v>1.1313036678490345</v>
      </c>
      <c r="O360" s="1465">
        <v>1.1313036678490345</v>
      </c>
    </row>
    <row r="361" spans="2:15">
      <c r="B361" s="1381">
        <v>43405</v>
      </c>
      <c r="C361" s="1382">
        <v>715.16600000000005</v>
      </c>
      <c r="D361" s="1382">
        <v>5092.97</v>
      </c>
      <c r="E361" s="1382">
        <v>1.0049355337739507</v>
      </c>
      <c r="F361" s="1382">
        <v>55.307824085920508</v>
      </c>
      <c r="K361" s="1462">
        <v>42418</v>
      </c>
      <c r="L361" s="1463" t="s">
        <v>2127</v>
      </c>
      <c r="M361" s="1464">
        <v>5.2531000000000001E-2</v>
      </c>
      <c r="N361" s="1465">
        <v>1.1318979529787923</v>
      </c>
      <c r="O361" s="1465">
        <v>1.1318979529787923</v>
      </c>
    </row>
    <row r="362" spans="2:15">
      <c r="B362" s="1381">
        <v>43435</v>
      </c>
      <c r="C362" s="1382">
        <v>707.44100000000003</v>
      </c>
      <c r="D362" s="1382">
        <v>5100.6099999999997</v>
      </c>
      <c r="E362" s="1382">
        <v>1.0049355337739507</v>
      </c>
      <c r="F362" s="1382">
        <v>55.580797719660296</v>
      </c>
      <c r="K362" s="1462">
        <v>42419</v>
      </c>
      <c r="L362" s="1463" t="s">
        <v>2127</v>
      </c>
      <c r="M362" s="1464">
        <v>5.2531000000000001E-2</v>
      </c>
      <c r="N362" s="1465">
        <v>1.1324925502924716</v>
      </c>
      <c r="O362" s="1465">
        <v>1.1324925502924716</v>
      </c>
    </row>
    <row r="363" spans="2:15">
      <c r="B363" s="1381">
        <v>43466</v>
      </c>
      <c r="C363" s="1382">
        <v>707.48800000000006</v>
      </c>
      <c r="D363" s="1382">
        <v>5116.93</v>
      </c>
      <c r="E363" s="1382">
        <v>1.0054304249443855</v>
      </c>
      <c r="F363" s="1382">
        <v>55.882625070025988</v>
      </c>
      <c r="K363" s="1462">
        <v>42420</v>
      </c>
      <c r="L363" s="1463"/>
      <c r="M363" s="1464">
        <v>0</v>
      </c>
      <c r="N363" s="1465">
        <v>1.1324925502924716</v>
      </c>
      <c r="O363" s="1465">
        <v>1.1324925502924716</v>
      </c>
    </row>
    <row r="364" spans="2:15">
      <c r="B364" s="1381">
        <v>43497</v>
      </c>
      <c r="C364" s="1382">
        <v>713.74699999999996</v>
      </c>
      <c r="D364" s="1382">
        <v>5138.93</v>
      </c>
      <c r="E364" s="1382">
        <v>1.0049355337739507</v>
      </c>
      <c r="F364" s="1382">
        <v>56.158435653436129</v>
      </c>
      <c r="K364" s="1462">
        <v>42421</v>
      </c>
      <c r="L364" s="1463"/>
      <c r="M364" s="1464">
        <v>0</v>
      </c>
      <c r="N364" s="1465">
        <v>1.1324925502924716</v>
      </c>
      <c r="O364" s="1465">
        <v>1.1324925502924716</v>
      </c>
    </row>
    <row r="365" spans="2:15">
      <c r="B365" s="1381">
        <v>43525</v>
      </c>
      <c r="C365" s="1382">
        <v>722.70699999999999</v>
      </c>
      <c r="D365" s="1382">
        <v>5177.47</v>
      </c>
      <c r="E365" s="1382">
        <v>1.0046881795441467</v>
      </c>
      <c r="F365" s="1382">
        <v>56.421716482697846</v>
      </c>
      <c r="K365" s="1462">
        <v>42422</v>
      </c>
      <c r="L365" s="1463" t="s">
        <v>2127</v>
      </c>
      <c r="M365" s="1464">
        <v>5.2531000000000001E-2</v>
      </c>
      <c r="N365" s="1465">
        <v>1.1330874599540657</v>
      </c>
      <c r="O365" s="1465">
        <v>1.1330874599540657</v>
      </c>
    </row>
    <row r="366" spans="2:15">
      <c r="B366" s="1381">
        <v>43556</v>
      </c>
      <c r="C366" s="1382">
        <v>729.346</v>
      </c>
      <c r="D366" s="1382">
        <v>5206.9799999999996</v>
      </c>
      <c r="E366" s="1382">
        <v>1.0051829489023654</v>
      </c>
      <c r="F366" s="1382">
        <v>56.714147356211413</v>
      </c>
      <c r="K366" s="1462">
        <v>42423</v>
      </c>
      <c r="L366" s="1463" t="s">
        <v>2127</v>
      </c>
      <c r="M366" s="1464">
        <v>5.2531000000000001E-2</v>
      </c>
      <c r="N366" s="1465">
        <v>1.1336826821276542</v>
      </c>
      <c r="O366" s="1465">
        <v>1.1336826821276542</v>
      </c>
    </row>
    <row r="367" spans="2:15">
      <c r="B367" s="1381">
        <v>43586</v>
      </c>
      <c r="C367" s="1382">
        <v>732.59500000000003</v>
      </c>
      <c r="D367" s="1382">
        <v>5213.75</v>
      </c>
      <c r="E367" s="1382">
        <v>1.0054304249443855</v>
      </c>
      <c r="F367" s="1382">
        <v>57.022129276714139</v>
      </c>
      <c r="K367" s="1462">
        <v>42424</v>
      </c>
      <c r="L367" s="1463" t="s">
        <v>2127</v>
      </c>
      <c r="M367" s="1464">
        <v>5.2531000000000001E-2</v>
      </c>
      <c r="N367" s="1465">
        <v>1.1342782169774026</v>
      </c>
      <c r="O367" s="1465">
        <v>1.1342782169774026</v>
      </c>
    </row>
    <row r="368" spans="2:15">
      <c r="B368" s="1381">
        <v>43617</v>
      </c>
      <c r="C368" s="1382">
        <v>738.42100000000005</v>
      </c>
      <c r="D368" s="1382">
        <v>5214.2700000000004</v>
      </c>
      <c r="E368" s="1382">
        <v>1.0046881795441465</v>
      </c>
      <c r="F368" s="1382">
        <v>57.289459256752906</v>
      </c>
      <c r="K368" s="1462">
        <v>42425</v>
      </c>
      <c r="L368" s="1463" t="s">
        <v>2127</v>
      </c>
      <c r="M368" s="1464">
        <v>5.2531000000000001E-2</v>
      </c>
      <c r="N368" s="1465">
        <v>1.134874064667563</v>
      </c>
      <c r="O368" s="1465">
        <v>1.134874064667563</v>
      </c>
    </row>
    <row r="369" spans="2:15">
      <c r="B369" s="1381">
        <v>43647</v>
      </c>
      <c r="C369" s="1382">
        <v>741.346</v>
      </c>
      <c r="D369" s="1382">
        <v>5224.18</v>
      </c>
      <c r="E369" s="1382">
        <v>1.0056779619150069</v>
      </c>
      <c r="F369" s="1382">
        <v>57.61474662454409</v>
      </c>
      <c r="K369" s="1462">
        <v>42426</v>
      </c>
      <c r="L369" s="1463" t="s">
        <v>2127</v>
      </c>
      <c r="M369" s="1464">
        <v>5.2531000000000001E-2</v>
      </c>
      <c r="N369" s="1465">
        <v>1.1354702253624736</v>
      </c>
      <c r="O369" s="1465">
        <v>1.1354702253624736</v>
      </c>
    </row>
    <row r="370" spans="2:15">
      <c r="B370" s="1381">
        <v>43678</v>
      </c>
      <c r="C370" s="1382">
        <v>736.40200000000004</v>
      </c>
      <c r="D370" s="1382">
        <v>5229.93</v>
      </c>
      <c r="E370" s="1382">
        <v>1.0050171948996307</v>
      </c>
      <c r="F370" s="1382">
        <v>57.903811037452265</v>
      </c>
      <c r="K370" s="1462">
        <v>42427</v>
      </c>
      <c r="L370" s="1463"/>
      <c r="M370" s="1464">
        <v>0</v>
      </c>
      <c r="N370" s="1465">
        <v>1.1354702253624736</v>
      </c>
      <c r="O370" s="1465">
        <v>1.1354702253624736</v>
      </c>
    </row>
    <row r="371" spans="2:15">
      <c r="B371" s="1381">
        <v>43709</v>
      </c>
      <c r="C371" s="1382">
        <v>736.36199999999997</v>
      </c>
      <c r="D371" s="1382">
        <v>5227.84</v>
      </c>
      <c r="E371" s="1382">
        <v>1.0046375999081099</v>
      </c>
      <c r="F371" s="1382">
        <v>58.172345746198765</v>
      </c>
      <c r="K371" s="1462">
        <v>42428</v>
      </c>
      <c r="L371" s="1463"/>
      <c r="M371" s="1464">
        <v>0</v>
      </c>
      <c r="N371" s="1465">
        <v>1.1354702253624736</v>
      </c>
      <c r="O371" s="1465">
        <v>1.1354702253624736</v>
      </c>
    </row>
    <row r="372" spans="2:15">
      <c r="B372" s="1381">
        <v>43739</v>
      </c>
      <c r="C372" s="1382">
        <v>741.33299999999997</v>
      </c>
      <c r="D372" s="1382">
        <v>5233.07</v>
      </c>
      <c r="E372" s="1382">
        <v>1.0047926409835022</v>
      </c>
      <c r="F372" s="1382">
        <v>58.451144914528456</v>
      </c>
      <c r="K372" s="1462">
        <v>42429</v>
      </c>
      <c r="L372" s="1463" t="s">
        <v>2127</v>
      </c>
      <c r="M372" s="1464">
        <v>5.2531000000000001E-2</v>
      </c>
      <c r="N372" s="1465">
        <v>1.1360666992265587</v>
      </c>
      <c r="O372" s="1465">
        <v>1.1360666992265587</v>
      </c>
    </row>
    <row r="373" spans="2:15">
      <c r="B373" s="1381">
        <v>43770</v>
      </c>
      <c r="C373" s="1382">
        <v>743.55799999999999</v>
      </c>
      <c r="D373" s="1382">
        <v>5259.76</v>
      </c>
      <c r="E373" s="1382">
        <v>1.0038038559813272</v>
      </c>
      <c r="F373" s="1382">
        <v>58.673484651727009</v>
      </c>
      <c r="K373" s="1462">
        <v>42430</v>
      </c>
      <c r="L373" s="1463" t="s">
        <v>2127</v>
      </c>
      <c r="M373" s="1464">
        <v>5.2531000000000001E-2</v>
      </c>
      <c r="N373" s="1465">
        <v>1.1366634864243295</v>
      </c>
      <c r="O373" s="1465">
        <v>1.1366634864243295</v>
      </c>
    </row>
    <row r="374" spans="2:15">
      <c r="B374" s="1381">
        <v>43800</v>
      </c>
      <c r="C374" s="1382">
        <v>759.11199999999997</v>
      </c>
      <c r="D374" s="1382">
        <v>5320.25</v>
      </c>
      <c r="E374" s="1382">
        <v>1.0037470387078873</v>
      </c>
      <c r="F374" s="1382">
        <v>58.893336469843661</v>
      </c>
      <c r="K374" s="1462">
        <v>42431</v>
      </c>
      <c r="L374" s="1463" t="s">
        <v>2127</v>
      </c>
      <c r="M374" s="1464">
        <v>5.2531000000000001E-2</v>
      </c>
      <c r="N374" s="1465">
        <v>1.1372605871203831</v>
      </c>
      <c r="O374" s="1465">
        <v>1.1372605871203831</v>
      </c>
    </row>
    <row r="375" spans="2:15">
      <c r="B375" s="1381">
        <v>43831</v>
      </c>
      <c r="C375" s="1382">
        <v>762.73299999999995</v>
      </c>
      <c r="D375" s="1382">
        <v>5331.42</v>
      </c>
      <c r="E375" s="1382">
        <v>1.00376633367529</v>
      </c>
      <c r="F375" s="1382">
        <v>59.115148426240218</v>
      </c>
      <c r="K375" s="1462">
        <v>42432</v>
      </c>
      <c r="L375" s="1463" t="s">
        <v>2127</v>
      </c>
      <c r="M375" s="1464">
        <v>5.2531000000000001E-2</v>
      </c>
      <c r="N375" s="1465">
        <v>1.1378580014794033</v>
      </c>
      <c r="O375" s="1465">
        <v>1.1378580014794033</v>
      </c>
    </row>
    <row r="376" spans="2:15">
      <c r="B376" s="1381">
        <v>43862</v>
      </c>
      <c r="C376" s="1382">
        <v>762.423</v>
      </c>
      <c r="D376" s="1382">
        <v>5344.75</v>
      </c>
      <c r="E376" s="1382">
        <v>1.0029372863155552</v>
      </c>
      <c r="F376" s="1382">
        <v>59.288786542754629</v>
      </c>
      <c r="K376" s="1462">
        <v>42433</v>
      </c>
      <c r="L376" s="1463" t="s">
        <v>2127</v>
      </c>
      <c r="M376" s="1464">
        <v>5.2531000000000001E-2</v>
      </c>
      <c r="N376" s="1465">
        <v>1.1384557296661604</v>
      </c>
      <c r="O376" s="1465">
        <v>1.1384557296661604</v>
      </c>
    </row>
    <row r="377" spans="2:15">
      <c r="B377" s="1381">
        <v>43891</v>
      </c>
      <c r="C377" s="1382">
        <v>771.90800000000002</v>
      </c>
      <c r="D377" s="1382">
        <v>5348.49</v>
      </c>
      <c r="E377" s="1382">
        <v>1.0033836914846632</v>
      </c>
      <c r="F377" s="1382">
        <v>59.489401504915364</v>
      </c>
      <c r="K377" s="1462">
        <v>42434</v>
      </c>
      <c r="L377" s="1463"/>
      <c r="M377" s="1464">
        <v>0</v>
      </c>
      <c r="N377" s="1465">
        <v>1.1384557296661604</v>
      </c>
      <c r="O377" s="1465">
        <v>1.1384557296661604</v>
      </c>
    </row>
    <row r="378" spans="2:15">
      <c r="B378" s="1381">
        <v>43922</v>
      </c>
      <c r="C378" s="1382">
        <v>778.101</v>
      </c>
      <c r="D378" s="1382">
        <v>5331.91</v>
      </c>
      <c r="E378" s="1382">
        <v>1.0028492490278405</v>
      </c>
      <c r="F378" s="1382">
        <v>59.658901624320052</v>
      </c>
      <c r="K378" s="1462">
        <v>42435</v>
      </c>
      <c r="L378" s="1463"/>
      <c r="M378" s="1464">
        <v>0</v>
      </c>
      <c r="N378" s="1465">
        <v>1.1384557296661604</v>
      </c>
      <c r="O378" s="1465">
        <v>1.1384557296661604</v>
      </c>
    </row>
    <row r="379" spans="2:15">
      <c r="B379" s="1381">
        <v>43952</v>
      </c>
      <c r="C379" s="1382">
        <v>780.28</v>
      </c>
      <c r="D379" s="1382">
        <v>5311.65</v>
      </c>
      <c r="E379" s="1382">
        <v>1.0023580961930716</v>
      </c>
      <c r="F379" s="1382">
        <v>59.799583053123193</v>
      </c>
      <c r="K379" s="1462">
        <v>42436</v>
      </c>
      <c r="L379" s="1463" t="s">
        <v>2127</v>
      </c>
      <c r="M379" s="1464">
        <v>5.2531000000000001E-2</v>
      </c>
      <c r="N379" s="1465">
        <v>1.1390537718455114</v>
      </c>
      <c r="O379" s="1465">
        <v>1.1390537718455114</v>
      </c>
    </row>
    <row r="380" spans="2:15">
      <c r="B380" s="1381">
        <v>43983</v>
      </c>
      <c r="C380" s="1382">
        <v>792.42899999999997</v>
      </c>
      <c r="D380" s="1382">
        <v>5325.46</v>
      </c>
      <c r="E380" s="1382">
        <v>1.0021233217736718</v>
      </c>
      <c r="F380" s="1382">
        <v>59.926556809876388</v>
      </c>
      <c r="K380" s="1462">
        <v>42437</v>
      </c>
      <c r="L380" s="1463" t="s">
        <v>2127</v>
      </c>
      <c r="M380" s="1464">
        <v>5.2531000000000001E-2</v>
      </c>
      <c r="N380" s="1465">
        <v>1.1396521281823995</v>
      </c>
      <c r="O380" s="1465">
        <v>1.1396521281823995</v>
      </c>
    </row>
    <row r="381" spans="2:15">
      <c r="B381" s="1381">
        <v>44013</v>
      </c>
      <c r="C381" s="1382">
        <v>810.08299999999997</v>
      </c>
      <c r="D381" s="1382">
        <v>5344.63</v>
      </c>
      <c r="E381" s="1382">
        <v>1.0019434641302636</v>
      </c>
      <c r="F381" s="1382">
        <v>60.043021923486585</v>
      </c>
      <c r="K381" s="1462">
        <v>42438</v>
      </c>
      <c r="L381" s="1463" t="s">
        <v>2127</v>
      </c>
      <c r="M381" s="1464">
        <v>5.2531000000000001E-2</v>
      </c>
      <c r="N381" s="1465">
        <v>1.1402507988418549</v>
      </c>
      <c r="O381" s="1465">
        <v>1.1402507988418549</v>
      </c>
    </row>
    <row r="382" spans="2:15">
      <c r="B382" s="1381">
        <v>44044</v>
      </c>
      <c r="C382" s="1382">
        <v>832.31299999999999</v>
      </c>
      <c r="D382" s="1382">
        <v>5357.46</v>
      </c>
      <c r="E382" s="1382">
        <v>1.0015988959789295</v>
      </c>
      <c r="F382" s="1382">
        <v>60.13902446980282</v>
      </c>
      <c r="K382" s="1462">
        <v>42439</v>
      </c>
      <c r="L382" s="1463" t="s">
        <v>2127</v>
      </c>
      <c r="M382" s="1464">
        <v>5.2531000000000001E-2</v>
      </c>
      <c r="N382" s="1465">
        <v>1.1408497839889944</v>
      </c>
      <c r="O382" s="1465">
        <v>1.1408497839889944</v>
      </c>
    </row>
    <row r="383" spans="2:15">
      <c r="B383" s="1381">
        <v>44075</v>
      </c>
      <c r="C383" s="1382">
        <v>868.44200000000001</v>
      </c>
      <c r="D383" s="1382">
        <v>5391.75</v>
      </c>
      <c r="E383" s="1382">
        <v>1.0015696620595307</v>
      </c>
      <c r="F383" s="1382">
        <v>60.233422414810256</v>
      </c>
      <c r="K383" s="1462">
        <v>42440</v>
      </c>
      <c r="L383" s="1463" t="s">
        <v>2127</v>
      </c>
      <c r="M383" s="1464">
        <v>5.2531000000000001E-2</v>
      </c>
      <c r="N383" s="1465">
        <v>1.1414490837890217</v>
      </c>
      <c r="O383" s="1465">
        <v>1.1414490837890217</v>
      </c>
    </row>
    <row r="384" spans="2:15">
      <c r="B384" s="1381">
        <v>44105</v>
      </c>
      <c r="C384" s="1382">
        <v>896.505</v>
      </c>
      <c r="D384" s="1382">
        <v>5438.12</v>
      </c>
      <c r="E384" s="1382">
        <v>1.00156966205953</v>
      </c>
      <c r="F384" s="1382">
        <v>60.327968532690427</v>
      </c>
      <c r="K384" s="1462">
        <v>42441</v>
      </c>
      <c r="L384" s="1463"/>
      <c r="M384" s="1464">
        <v>0</v>
      </c>
      <c r="N384" s="1465">
        <v>1.1414490837890217</v>
      </c>
      <c r="O384" s="1465">
        <v>1.1414490837890217</v>
      </c>
    </row>
    <row r="385" spans="2:15">
      <c r="B385" s="1381">
        <v>44136</v>
      </c>
      <c r="C385" s="1382">
        <v>925.88699999999994</v>
      </c>
      <c r="D385" s="1382">
        <v>5486.52</v>
      </c>
      <c r="E385" s="1382">
        <v>1.0014948604084073</v>
      </c>
      <c r="F385" s="1382">
        <v>60.418150424369585</v>
      </c>
      <c r="K385" s="1462">
        <v>42442</v>
      </c>
      <c r="L385" s="1463"/>
      <c r="M385" s="1464">
        <v>0</v>
      </c>
      <c r="N385" s="1465">
        <v>1.1414490837890217</v>
      </c>
      <c r="O385" s="1465">
        <v>1.1414490837890217</v>
      </c>
    </row>
    <row r="386" spans="2:15">
      <c r="B386" s="1381">
        <v>44166</v>
      </c>
      <c r="C386" s="1382">
        <v>934.75800000000004</v>
      </c>
      <c r="D386" s="1382">
        <v>5560.59</v>
      </c>
      <c r="E386" s="1382">
        <v>1.0016444692975899</v>
      </c>
      <c r="F386" s="1382">
        <v>60.517506217759632</v>
      </c>
      <c r="K386" s="1462">
        <v>42443</v>
      </c>
      <c r="L386" s="1463" t="s">
        <v>2127</v>
      </c>
      <c r="M386" s="1464">
        <v>5.2531000000000001E-2</v>
      </c>
      <c r="N386" s="1465">
        <v>1.1420486984072269</v>
      </c>
      <c r="O386" s="1465">
        <v>1.1420486984072269</v>
      </c>
    </row>
    <row r="387" spans="2:15">
      <c r="B387" s="1381">
        <v>44197</v>
      </c>
      <c r="C387" s="1382">
        <v>958.84400000000005</v>
      </c>
      <c r="D387" s="1382">
        <v>5574.49</v>
      </c>
      <c r="E387" s="1382">
        <v>1.0014948604084077</v>
      </c>
      <c r="F387" s="1382">
        <v>60.607971441820126</v>
      </c>
      <c r="K387" s="1462">
        <v>42444</v>
      </c>
      <c r="L387" s="1463" t="s">
        <v>2127</v>
      </c>
      <c r="M387" s="1464">
        <v>5.2531000000000001E-2</v>
      </c>
      <c r="N387" s="1465">
        <v>1.1426486280089871</v>
      </c>
      <c r="O387" s="1465">
        <v>1.1426486280089871</v>
      </c>
    </row>
    <row r="388" spans="2:15">
      <c r="B388" s="1381">
        <v>44228</v>
      </c>
      <c r="C388" s="1382">
        <v>983.06299999999999</v>
      </c>
      <c r="D388" s="1382">
        <v>5622.43</v>
      </c>
      <c r="E388" s="1382">
        <v>1.0013452738652961</v>
      </c>
      <c r="F388" s="1382">
        <v>60.689505761829423</v>
      </c>
      <c r="K388" s="1462">
        <v>42445</v>
      </c>
      <c r="L388" s="1463" t="s">
        <v>2127</v>
      </c>
      <c r="M388" s="1464">
        <v>5.2531000000000001E-2</v>
      </c>
      <c r="N388" s="1465">
        <v>1.1432488727597665</v>
      </c>
      <c r="O388" s="1465">
        <v>1.1432488727597665</v>
      </c>
    </row>
    <row r="389" spans="2:15">
      <c r="B389" s="1381">
        <v>44256</v>
      </c>
      <c r="C389" s="1382">
        <v>1011.948</v>
      </c>
      <c r="D389" s="1382">
        <v>5674.72</v>
      </c>
      <c r="E389" s="1382">
        <v>1.0020107988327946</v>
      </c>
      <c r="F389" s="1382">
        <v>60.811540149178192</v>
      </c>
      <c r="K389" s="1462">
        <v>42446</v>
      </c>
      <c r="L389" s="1463" t="s">
        <v>2127</v>
      </c>
      <c r="M389" s="1464">
        <v>5.2531000000000001E-2</v>
      </c>
      <c r="N389" s="1465">
        <v>1.1438494328251159</v>
      </c>
      <c r="O389" s="1465">
        <v>1.1438494328251159</v>
      </c>
    </row>
    <row r="390" spans="2:15">
      <c r="B390" s="1381">
        <v>44287</v>
      </c>
      <c r="C390" s="1382">
        <v>1027.211</v>
      </c>
      <c r="D390" s="1382">
        <v>5692.31</v>
      </c>
      <c r="E390" s="1382">
        <v>1.0020778480243349</v>
      </c>
      <c r="F390" s="1382">
        <v>60.937897287733925</v>
      </c>
      <c r="K390" s="1462">
        <v>42447</v>
      </c>
      <c r="L390" s="1463" t="s">
        <v>2127</v>
      </c>
      <c r="M390" s="1464">
        <v>5.2531000000000001E-2</v>
      </c>
      <c r="N390" s="1465">
        <v>1.1444503083706732</v>
      </c>
      <c r="O390" s="1465">
        <v>1.1444503083706732</v>
      </c>
    </row>
    <row r="391" spans="2:15">
      <c r="B391" s="1381">
        <v>44317</v>
      </c>
      <c r="C391" s="1382">
        <v>1069.289</v>
      </c>
      <c r="D391" s="1382">
        <v>5739.56</v>
      </c>
      <c r="E391" s="1382">
        <v>1.0027032626398216</v>
      </c>
      <c r="F391" s="1382">
        <v>61.102628428821141</v>
      </c>
      <c r="K391" s="1462">
        <v>42448</v>
      </c>
      <c r="L391" s="1463"/>
      <c r="M391" s="1464">
        <v>0</v>
      </c>
      <c r="N391" s="1465">
        <v>1.1444503083706732</v>
      </c>
      <c r="O391" s="1465">
        <v>1.1444503083706732</v>
      </c>
    </row>
    <row r="392" spans="2:15">
      <c r="B392" s="1381">
        <v>44348</v>
      </c>
      <c r="C392" s="1382">
        <v>1075.7329999999999</v>
      </c>
      <c r="D392" s="1382">
        <v>5769.98</v>
      </c>
      <c r="E392" s="1382">
        <v>1.0030777896833167</v>
      </c>
      <c r="F392" s="1382">
        <v>61.290689468222901</v>
      </c>
      <c r="K392" s="1462">
        <v>42449</v>
      </c>
      <c r="L392" s="1463"/>
      <c r="M392" s="1464">
        <v>0</v>
      </c>
      <c r="N392" s="1465">
        <v>1.1444503083706732</v>
      </c>
      <c r="O392" s="1465">
        <v>1.1444503083706732</v>
      </c>
    </row>
    <row r="393" spans="2:15">
      <c r="B393" s="1381">
        <v>44378</v>
      </c>
      <c r="C393" s="1382">
        <v>1084.095</v>
      </c>
      <c r="D393" s="1382">
        <v>5825.37</v>
      </c>
      <c r="E393" s="1382">
        <v>1.003556161780192</v>
      </c>
      <c r="F393" s="1382">
        <v>61.508649075591414</v>
      </c>
      <c r="K393" s="1462">
        <v>42450</v>
      </c>
      <c r="L393" s="1463" t="s">
        <v>2127</v>
      </c>
      <c r="M393" s="1464">
        <v>5.2531000000000001E-2</v>
      </c>
      <c r="N393" s="1465">
        <v>1.1450514995621635</v>
      </c>
      <c r="O393" s="1465">
        <v>1.1450514995621635</v>
      </c>
    </row>
    <row r="394" spans="2:15">
      <c r="B394" s="1381">
        <v>44409</v>
      </c>
      <c r="C394" s="1382">
        <v>1091.29</v>
      </c>
      <c r="D394" s="1382">
        <v>5876.05</v>
      </c>
      <c r="E394" s="1382">
        <v>1.0042795247734253</v>
      </c>
      <c r="F394" s="1382">
        <v>61.771876863090334</v>
      </c>
      <c r="K394" s="1462">
        <v>42451</v>
      </c>
      <c r="L394" s="1463" t="s">
        <v>2127</v>
      </c>
      <c r="M394" s="1464">
        <v>5.2531000000000001E-2</v>
      </c>
      <c r="N394" s="1465">
        <v>1.1456530065653985</v>
      </c>
      <c r="O394" s="1465">
        <v>1.1456530065653985</v>
      </c>
    </row>
    <row r="395" spans="2:15">
      <c r="B395" s="1381">
        <v>44440</v>
      </c>
      <c r="C395" s="1382">
        <v>1084.3119999999999</v>
      </c>
      <c r="D395" s="1382">
        <v>5944.21</v>
      </c>
      <c r="E395" s="1382">
        <v>1.0044199933223523</v>
      </c>
      <c r="F395" s="1382">
        <v>62.044908146334365</v>
      </c>
      <c r="K395" s="1462">
        <v>42452</v>
      </c>
      <c r="L395" s="1463" t="s">
        <v>2127</v>
      </c>
      <c r="M395" s="1464">
        <v>5.2531000000000001E-2</v>
      </c>
      <c r="N395" s="1465">
        <v>1.1462548295462773</v>
      </c>
      <c r="O395" s="1465">
        <v>1.1462548295462773</v>
      </c>
    </row>
    <row r="396" spans="2:15">
      <c r="B396" s="1381">
        <v>44470</v>
      </c>
      <c r="C396" s="1382">
        <v>1091.2829999999999</v>
      </c>
      <c r="D396" s="1382">
        <v>6018.51</v>
      </c>
      <c r="E396" s="1382">
        <v>1.0048599610251685</v>
      </c>
      <c r="F396" s="1382">
        <v>62.34644398173571</v>
      </c>
      <c r="K396" s="1462">
        <v>42453</v>
      </c>
      <c r="L396" s="1463" t="s">
        <v>2127</v>
      </c>
      <c r="M396" s="1464">
        <v>5.2531000000000001E-2</v>
      </c>
      <c r="N396" s="1465">
        <v>1.1468569686707863</v>
      </c>
      <c r="O396" s="1465">
        <v>1.1468569686707863</v>
      </c>
    </row>
    <row r="397" spans="2:15">
      <c r="B397" s="1381">
        <v>44501</v>
      </c>
      <c r="C397" s="1382">
        <v>1091.4829999999999</v>
      </c>
      <c r="D397" s="1382">
        <v>6075.69</v>
      </c>
      <c r="E397" s="1382">
        <v>1.0058674909390046</v>
      </c>
      <c r="F397" s="1382">
        <v>62.712261176877703</v>
      </c>
      <c r="K397" s="1462">
        <v>42454</v>
      </c>
      <c r="L397" s="1463"/>
      <c r="M397" s="1464">
        <v>0</v>
      </c>
      <c r="N397" s="1465">
        <v>1.1468569686707863</v>
      </c>
      <c r="O397" s="1465">
        <v>1.1468569686707863</v>
      </c>
    </row>
    <row r="398" spans="2:15">
      <c r="B398" s="1381">
        <v>44531</v>
      </c>
      <c r="C398" s="1382">
        <v>1100.9880000000001</v>
      </c>
      <c r="D398" s="1382">
        <v>6120.04</v>
      </c>
      <c r="E398" s="1382">
        <v>1.0076908308186336</v>
      </c>
      <c r="F398" s="1382">
        <v>63.194570567843037</v>
      </c>
      <c r="K398" s="1462">
        <v>42455</v>
      </c>
      <c r="L398" s="1463"/>
      <c r="M398" s="1464">
        <v>0</v>
      </c>
      <c r="N398" s="1465">
        <v>1.1468569686707863</v>
      </c>
      <c r="O398" s="1465">
        <v>1.1468569686707863</v>
      </c>
    </row>
    <row r="399" spans="2:15">
      <c r="B399" s="1381">
        <v>44562</v>
      </c>
      <c r="C399" s="1382">
        <v>1120.999</v>
      </c>
      <c r="D399" s="1382">
        <v>6153.09</v>
      </c>
      <c r="E399" s="1382">
        <v>1.0073227032460901</v>
      </c>
      <c r="F399" s="1382">
        <v>63.65732565487545</v>
      </c>
      <c r="K399" s="1462">
        <v>42456</v>
      </c>
      <c r="L399" s="1463"/>
      <c r="M399" s="1464">
        <v>0</v>
      </c>
      <c r="N399" s="1465">
        <v>1.1468569686707863</v>
      </c>
      <c r="O399" s="1465">
        <v>1.1468569686707863</v>
      </c>
    </row>
    <row r="400" spans="2:15">
      <c r="B400" s="1381">
        <v>44593</v>
      </c>
      <c r="C400" s="1382">
        <v>1141.546</v>
      </c>
      <c r="D400" s="1382">
        <v>6215.24</v>
      </c>
      <c r="E400" s="1382">
        <v>1.0075504098703885</v>
      </c>
      <c r="F400" s="1382">
        <v>64.13796455482256</v>
      </c>
      <c r="K400" s="1462">
        <v>42457</v>
      </c>
      <c r="L400" s="1463" t="s">
        <v>2127</v>
      </c>
      <c r="M400" s="1464">
        <v>5.2531000000000001E-2</v>
      </c>
      <c r="N400" s="1465">
        <v>1.1474594241049989</v>
      </c>
      <c r="O400" s="1465">
        <v>1.1474594241049989</v>
      </c>
    </row>
    <row r="401" spans="2:15">
      <c r="B401" s="1381">
        <v>44621</v>
      </c>
      <c r="C401" s="1382">
        <v>1161.4179999999999</v>
      </c>
      <c r="D401" s="1382">
        <v>6315.93</v>
      </c>
      <c r="E401" s="1382">
        <v>1.0092705386289318</v>
      </c>
      <c r="F401" s="1382">
        <v>64.732558032809095</v>
      </c>
      <c r="K401" s="1462">
        <v>42458</v>
      </c>
      <c r="L401" s="1463" t="s">
        <v>2127</v>
      </c>
      <c r="M401" s="1464">
        <v>5.2531000000000001E-2</v>
      </c>
      <c r="N401" s="1465">
        <v>1.1480621960150754</v>
      </c>
      <c r="O401" s="1465">
        <v>1.1480621960150754</v>
      </c>
    </row>
    <row r="402" spans="2:15">
      <c r="B402" s="1381">
        <v>44652</v>
      </c>
      <c r="C402" s="1382">
        <v>1177.809</v>
      </c>
      <c r="D402" s="1382">
        <v>6382.88</v>
      </c>
      <c r="E402" s="1382">
        <v>1.0083432052372134</v>
      </c>
      <c r="F402" s="1382">
        <v>65.272635050006656</v>
      </c>
      <c r="K402" s="1462">
        <v>42459</v>
      </c>
      <c r="L402" s="1463" t="s">
        <v>2127</v>
      </c>
      <c r="M402" s="1464">
        <v>5.2531000000000001E-2</v>
      </c>
      <c r="N402" s="1465">
        <v>1.148665284567264</v>
      </c>
      <c r="O402" s="1465">
        <v>1.148665284567264</v>
      </c>
    </row>
    <row r="403" spans="2:15">
      <c r="B403" s="1381">
        <v>44682</v>
      </c>
      <c r="C403" s="1382">
        <v>1183.953</v>
      </c>
      <c r="D403" s="1382">
        <v>6412.88</v>
      </c>
      <c r="E403" s="1382">
        <v>1.0103459230153136</v>
      </c>
      <c r="F403" s="1382">
        <v>65.947940707240676</v>
      </c>
      <c r="K403" s="1462">
        <v>42460</v>
      </c>
      <c r="L403" s="1463" t="s">
        <v>2127</v>
      </c>
      <c r="M403" s="1464">
        <v>5.2531000000000001E-2</v>
      </c>
      <c r="N403" s="1465">
        <v>1.1492686899279001</v>
      </c>
      <c r="O403" s="1465">
        <v>1.1492686899279001</v>
      </c>
    </row>
    <row r="404" spans="2:15">
      <c r="B404" s="1381">
        <v>44713</v>
      </c>
      <c r="C404" s="1382">
        <v>1190.8820000000001</v>
      </c>
      <c r="D404" s="1382">
        <v>6455.85</v>
      </c>
      <c r="E404" s="1382">
        <v>1.0101531560893695</v>
      </c>
      <c r="F404" s="1382">
        <v>66.617520443013774</v>
      </c>
      <c r="K404" s="1462">
        <v>42461</v>
      </c>
      <c r="L404" s="1463" t="s">
        <v>2127</v>
      </c>
      <c r="M404" s="1464">
        <v>5.2531000000000001E-2</v>
      </c>
      <c r="N404" s="1465">
        <v>1.1498724122634061</v>
      </c>
      <c r="O404" s="1465">
        <v>1.1498724122634061</v>
      </c>
    </row>
    <row r="405" spans="2:15">
      <c r="B405" s="1381">
        <v>44743</v>
      </c>
      <c r="C405" s="1382">
        <v>1193.337</v>
      </c>
      <c r="D405" s="1382">
        <v>6411.95</v>
      </c>
      <c r="E405" s="1382">
        <v>1.0103484243492924</v>
      </c>
      <c r="F405" s="1382">
        <v>67.306906813655743</v>
      </c>
      <c r="K405" s="1462">
        <v>42462</v>
      </c>
      <c r="L405" s="1463"/>
      <c r="M405" s="1464">
        <v>0</v>
      </c>
      <c r="N405" s="1465">
        <v>1.1498724122634061</v>
      </c>
      <c r="O405" s="1465">
        <v>1.1498724122634061</v>
      </c>
    </row>
    <row r="406" spans="2:15">
      <c r="B406" s="1381">
        <v>44774</v>
      </c>
      <c r="C406" s="1382">
        <v>1185.0039999999999</v>
      </c>
      <c r="D406" s="1382">
        <v>6388.87</v>
      </c>
      <c r="E406" s="1382">
        <v>1.0116936128000631</v>
      </c>
      <c r="F406" s="1382">
        <v>68.093967720704555</v>
      </c>
      <c r="K406" s="1462">
        <v>42463</v>
      </c>
      <c r="L406" s="1463"/>
      <c r="M406" s="1464">
        <v>0</v>
      </c>
      <c r="N406" s="1465">
        <v>1.1498724122634061</v>
      </c>
      <c r="O406" s="1465">
        <v>1.1498724122634061</v>
      </c>
    </row>
    <row r="407" spans="2:15">
      <c r="B407" s="1381">
        <v>44805</v>
      </c>
      <c r="C407" s="1382">
        <v>1188.5886370999999</v>
      </c>
      <c r="D407" s="1382">
        <v>6404.6441200300005</v>
      </c>
      <c r="E407" s="1382">
        <v>1.010719822473549</v>
      </c>
      <c r="F407" s="1382">
        <v>68.823922966190082</v>
      </c>
      <c r="K407" s="1462">
        <v>42464</v>
      </c>
      <c r="L407" s="1463" t="s">
        <v>2127</v>
      </c>
      <c r="M407" s="1464">
        <v>5.2531000000000001E-2</v>
      </c>
      <c r="N407" s="1465">
        <v>1.1504764517402921</v>
      </c>
      <c r="O407" s="1465">
        <v>1.1504764517402921</v>
      </c>
    </row>
    <row r="408" spans="2:15">
      <c r="B408" s="1381">
        <v>44835</v>
      </c>
      <c r="C408" s="1382">
        <v>1195.4598680110751</v>
      </c>
      <c r="D408" s="1382">
        <v>6437.1220703626732</v>
      </c>
      <c r="E408" s="1382">
        <v>1.0102067586649579</v>
      </c>
      <c r="F408" s="1382">
        <v>69.526392138281636</v>
      </c>
      <c r="K408" s="1462">
        <v>42465</v>
      </c>
      <c r="L408" s="1463" t="s">
        <v>2127</v>
      </c>
      <c r="M408" s="1464">
        <v>5.2531000000000001E-2</v>
      </c>
      <c r="N408" s="1465">
        <v>1.1510808085251558</v>
      </c>
      <c r="O408" s="1465">
        <v>1.1510808085251558</v>
      </c>
    </row>
    <row r="409" spans="2:15">
      <c r="B409" s="1381">
        <v>44866</v>
      </c>
      <c r="C409" s="1382">
        <v>1202.90399660918</v>
      </c>
      <c r="D409" s="1382">
        <v>6470.2603747808998</v>
      </c>
      <c r="E409" s="1382">
        <v>1.0102067586649579</v>
      </c>
      <c r="F409" s="1382">
        <v>70.236031243682305</v>
      </c>
      <c r="K409" s="1462">
        <v>42466</v>
      </c>
      <c r="L409" s="1463" t="s">
        <v>2127</v>
      </c>
      <c r="M409" s="1464">
        <v>5.2531000000000001E-2</v>
      </c>
      <c r="N409" s="1465">
        <v>1.1516854827846821</v>
      </c>
      <c r="O409" s="1465">
        <v>1.1516854827846821</v>
      </c>
    </row>
    <row r="410" spans="2:15">
      <c r="B410" s="1381">
        <v>44896</v>
      </c>
      <c r="C410" s="1382">
        <v>1210.0636811969978</v>
      </c>
      <c r="D410" s="1382">
        <v>6518.3732309277702</v>
      </c>
      <c r="E410" s="1382">
        <v>1.0112331468569864</v>
      </c>
      <c r="F410" s="1382">
        <v>71.02500289729447</v>
      </c>
      <c r="K410" s="1462">
        <v>42467</v>
      </c>
      <c r="L410" s="1463" t="s">
        <v>2127</v>
      </c>
      <c r="M410" s="1464">
        <v>5.2531000000000001E-2</v>
      </c>
      <c r="N410" s="1465">
        <v>1.1522904746856437</v>
      </c>
      <c r="O410" s="1465">
        <v>1.1522904746856437</v>
      </c>
    </row>
    <row r="411" spans="2:15">
      <c r="B411" s="1381">
        <v>44927</v>
      </c>
      <c r="C411" s="1382">
        <v>1216.2204852069281</v>
      </c>
      <c r="D411" s="1382">
        <v>6562.8546098556208</v>
      </c>
      <c r="E411" s="1382">
        <v>1.0112331468569866</v>
      </c>
      <c r="F411" s="1382">
        <v>71.822837185357685</v>
      </c>
      <c r="K411" s="1462">
        <v>42468</v>
      </c>
      <c r="L411" s="1463" t="s">
        <v>2127</v>
      </c>
      <c r="M411" s="1464">
        <v>5.2531000000000001E-2</v>
      </c>
      <c r="N411" s="1465">
        <v>1.1528957843949008</v>
      </c>
      <c r="O411" s="1465">
        <v>1.1528957843949008</v>
      </c>
    </row>
    <row r="412" spans="2:15">
      <c r="B412" s="1381">
        <v>44958</v>
      </c>
      <c r="C412" s="1382">
        <v>1221.2130702987026</v>
      </c>
      <c r="D412" s="1382">
        <v>6605.2243992168487</v>
      </c>
      <c r="E412" s="1382">
        <v>1.0091814122432907</v>
      </c>
      <c r="F412" s="1382">
        <v>72.482272262039203</v>
      </c>
      <c r="K412" s="1462">
        <v>42469</v>
      </c>
      <c r="L412" s="1463"/>
      <c r="M412" s="1464">
        <v>0</v>
      </c>
      <c r="N412" s="1465">
        <v>1.1528957843949008</v>
      </c>
      <c r="O412" s="1465">
        <v>1.1528957843949008</v>
      </c>
    </row>
    <row r="413" spans="2:15">
      <c r="B413" s="1381">
        <v>44986</v>
      </c>
      <c r="C413" s="1382">
        <v>1226.0405255655935</v>
      </c>
      <c r="D413" s="1382">
        <v>6636.5860046643302</v>
      </c>
      <c r="E413" s="1382">
        <v>1.0117467319476126</v>
      </c>
      <c r="F413" s="1382">
        <v>73.333702085255254</v>
      </c>
      <c r="K413" s="1462">
        <v>42470</v>
      </c>
      <c r="L413" s="1463"/>
      <c r="M413" s="1464">
        <v>0</v>
      </c>
      <c r="N413" s="1465">
        <v>1.1528957843949008</v>
      </c>
      <c r="O413" s="1465">
        <v>1.1528957843949008</v>
      </c>
    </row>
    <row r="414" spans="2:15">
      <c r="B414" s="1381">
        <v>45017</v>
      </c>
      <c r="C414" s="1382">
        <v>1230.1955769067354</v>
      </c>
      <c r="D414" s="1382">
        <v>6667.1143002857852</v>
      </c>
      <c r="E414" s="1382">
        <v>1.0091814122432907</v>
      </c>
      <c r="F414" s="1382">
        <v>74.007009035426648</v>
      </c>
      <c r="K414" s="1462">
        <v>42471</v>
      </c>
      <c r="L414" s="1463" t="s">
        <v>2127</v>
      </c>
      <c r="M414" s="1464">
        <v>5.2531000000000001E-2</v>
      </c>
      <c r="N414" s="1465">
        <v>1.1535014120794014</v>
      </c>
      <c r="O414" s="1465">
        <v>1.1535014120794014</v>
      </c>
    </row>
    <row r="415" spans="2:15">
      <c r="B415" s="1381">
        <v>45047</v>
      </c>
      <c r="C415" s="1382">
        <v>1233.7926687736106</v>
      </c>
      <c r="D415" s="1382">
        <v>6689.8024902496581</v>
      </c>
      <c r="E415" s="1382">
        <v>1.0112331468569866</v>
      </c>
      <c r="F415" s="1382">
        <v>74.838340636367931</v>
      </c>
      <c r="K415" s="1462">
        <v>42472</v>
      </c>
      <c r="L415" s="1463" t="s">
        <v>2127</v>
      </c>
      <c r="M415" s="1464">
        <v>5.2531000000000001E-2</v>
      </c>
      <c r="N415" s="1465">
        <v>1.1541073579061809</v>
      </c>
      <c r="O415" s="1465">
        <v>1.1541073579061809</v>
      </c>
    </row>
    <row r="416" spans="2:15">
      <c r="B416" s="1381">
        <v>45078</v>
      </c>
      <c r="C416" s="1382">
        <v>1238.0924362242865</v>
      </c>
      <c r="D416" s="1382">
        <v>6710.8887476989257</v>
      </c>
      <c r="E416" s="1382">
        <v>1.010719822473549</v>
      </c>
      <c r="F416" s="1382">
        <v>75.64059436220478</v>
      </c>
      <c r="K416" s="1462">
        <v>42473</v>
      </c>
      <c r="L416" s="1463" t="s">
        <v>2127</v>
      </c>
      <c r="M416" s="1464">
        <v>5.2531000000000001E-2</v>
      </c>
      <c r="N416" s="1465">
        <v>1.1547136220423626</v>
      </c>
      <c r="O416" s="1465">
        <v>1.1547136220423626</v>
      </c>
    </row>
    <row r="417" spans="2:15">
      <c r="B417" s="1381">
        <v>45108</v>
      </c>
      <c r="C417" s="1382">
        <v>1241.6878566590819</v>
      </c>
      <c r="D417" s="1382">
        <v>6731.658948373054</v>
      </c>
      <c r="E417" s="1382">
        <v>1.0107198224735483</v>
      </c>
      <c r="F417" s="1382">
        <v>76.451448105561298</v>
      </c>
      <c r="K417" s="1462">
        <v>42474</v>
      </c>
      <c r="L417" s="1463" t="s">
        <v>2127</v>
      </c>
      <c r="M417" s="1464">
        <v>5.2531000000000001E-2</v>
      </c>
      <c r="N417" s="1465">
        <v>1.1553202046551576</v>
      </c>
      <c r="O417" s="1465">
        <v>1.1553202046551576</v>
      </c>
    </row>
    <row r="418" spans="2:15">
      <c r="B418" s="1381">
        <v>45139</v>
      </c>
      <c r="C418" s="1382">
        <v>1245.6153153496946</v>
      </c>
      <c r="D418" s="1382">
        <v>6747.6399067164921</v>
      </c>
      <c r="E418" s="1382">
        <v>1.0117467319476126</v>
      </c>
      <c r="F418" s="1382">
        <v>77.349502773464138</v>
      </c>
      <c r="K418" s="1462">
        <v>42475</v>
      </c>
      <c r="L418" s="1463" t="s">
        <v>2127</v>
      </c>
      <c r="M418" s="1464">
        <v>5.2531000000000001E-2</v>
      </c>
      <c r="N418" s="1465">
        <v>1.155927105911865</v>
      </c>
      <c r="O418" s="1465">
        <v>1.155927105911865</v>
      </c>
    </row>
    <row r="419" spans="2:15">
      <c r="B419" s="1381">
        <v>45170</v>
      </c>
      <c r="C419" s="1382">
        <v>1251.1570578876854</v>
      </c>
      <c r="D419" s="1382">
        <v>6769.6169698926678</v>
      </c>
      <c r="E419" s="1382">
        <v>1.0102067586649579</v>
      </c>
      <c r="F419" s="1382">
        <v>78.138990481127379</v>
      </c>
      <c r="K419" s="1462">
        <v>42476</v>
      </c>
      <c r="L419" s="1463"/>
      <c r="M419" s="1464">
        <v>0</v>
      </c>
      <c r="N419" s="1465">
        <v>1.155927105911865</v>
      </c>
      <c r="O419" s="1465">
        <v>1.155927105911865</v>
      </c>
    </row>
    <row r="420" spans="2:15">
      <c r="B420" s="1381">
        <v>45200</v>
      </c>
      <c r="C420" s="1382">
        <v>1257.0750307714941</v>
      </c>
      <c r="D420" s="1382">
        <v>6796.3637265407142</v>
      </c>
      <c r="E420" s="1382">
        <v>1.0107198224735487</v>
      </c>
      <c r="F420" s="1382">
        <v>78.976626587347383</v>
      </c>
      <c r="K420" s="1462">
        <v>42477</v>
      </c>
      <c r="L420" s="1463"/>
      <c r="M420" s="1464">
        <v>0</v>
      </c>
      <c r="N420" s="1465">
        <v>1.155927105911865</v>
      </c>
      <c r="O420" s="1465">
        <v>1.155927105911865</v>
      </c>
    </row>
    <row r="421" spans="2:15">
      <c r="B421" s="1381">
        <v>45231</v>
      </c>
      <c r="C421" s="1382">
        <v>1262.6702717334581</v>
      </c>
      <c r="D421" s="1382">
        <v>6821.4830868740082</v>
      </c>
      <c r="E421" s="1382">
        <v>1.0102067586649577</v>
      </c>
      <c r="F421" s="1382">
        <v>79.782721955096918</v>
      </c>
      <c r="K421" s="1462">
        <v>42478</v>
      </c>
      <c r="L421" s="1463" t="s">
        <v>2127</v>
      </c>
      <c r="M421" s="1464">
        <v>5.2531000000000001E-2</v>
      </c>
      <c r="N421" s="1465">
        <v>1.1565343259798715</v>
      </c>
      <c r="O421" s="1465">
        <v>1.1565343259798715</v>
      </c>
    </row>
    <row r="422" spans="2:15">
      <c r="B422" s="1381">
        <v>45261</v>
      </c>
      <c r="C422" s="1382">
        <v>1268.1742514479442</v>
      </c>
      <c r="D422" s="1382">
        <v>6857.9166280410027</v>
      </c>
      <c r="E422" s="1382">
        <v>1.0102067586649579</v>
      </c>
      <c r="F422" s="1382">
        <v>80.597044943726033</v>
      </c>
      <c r="K422" s="1462">
        <v>42479</v>
      </c>
      <c r="L422" s="1463" t="s">
        <v>2127</v>
      </c>
      <c r="M422" s="1464">
        <v>5.2531000000000001E-2</v>
      </c>
      <c r="N422" s="1465">
        <v>1.1571418650266521</v>
      </c>
      <c r="O422" s="1465">
        <v>1.1571418650266521</v>
      </c>
    </row>
    <row r="423" spans="2:15">
      <c r="B423" s="1381">
        <v>45292</v>
      </c>
      <c r="C423" s="1382" t="e">
        <v>#N/A</v>
      </c>
      <c r="D423" s="1382" t="e">
        <v>#N/A</v>
      </c>
      <c r="E423" s="1382" t="e">
        <v>#N/A</v>
      </c>
      <c r="F423" s="1382" t="e">
        <f t="shared" ref="F423:F483" si="0">F422*E423</f>
        <v>#N/A</v>
      </c>
      <c r="K423" s="1462">
        <v>42480</v>
      </c>
      <c r="L423" s="1463" t="s">
        <v>2127</v>
      </c>
      <c r="M423" s="1464">
        <v>5.2531000000000001E-2</v>
      </c>
      <c r="N423" s="1465">
        <v>1.1577497232197693</v>
      </c>
      <c r="O423" s="1465">
        <v>1.1577497232197693</v>
      </c>
    </row>
    <row r="424" spans="2:15">
      <c r="B424" s="1381">
        <v>45323</v>
      </c>
      <c r="C424" s="1382" t="e">
        <v>#N/A</v>
      </c>
      <c r="D424" s="1382" t="e">
        <v>#N/A</v>
      </c>
      <c r="E424" s="1382" t="e">
        <v>#N/A</v>
      </c>
      <c r="F424" s="1382" t="e">
        <f t="shared" si="0"/>
        <v>#N/A</v>
      </c>
      <c r="K424" s="1462">
        <v>42481</v>
      </c>
      <c r="L424" s="1463"/>
      <c r="M424" s="1464">
        <v>0</v>
      </c>
      <c r="N424" s="1465">
        <v>1.1577497232197693</v>
      </c>
      <c r="O424" s="1465">
        <v>1.1577497232197693</v>
      </c>
    </row>
    <row r="425" spans="2:15">
      <c r="B425" s="1381">
        <v>45352</v>
      </c>
      <c r="C425" s="1382" t="e">
        <v>#N/A</v>
      </c>
      <c r="D425" s="1382" t="e">
        <v>#N/A</v>
      </c>
      <c r="E425" s="1382" t="e">
        <v>#N/A</v>
      </c>
      <c r="F425" s="1382" t="e">
        <f t="shared" si="0"/>
        <v>#N/A</v>
      </c>
      <c r="K425" s="1462">
        <v>42482</v>
      </c>
      <c r="L425" s="1463" t="s">
        <v>2127</v>
      </c>
      <c r="M425" s="1464">
        <v>5.2531000000000001E-2</v>
      </c>
      <c r="N425" s="1465">
        <v>1.1583579007268738</v>
      </c>
      <c r="O425" s="1465">
        <v>1.1583579007268738</v>
      </c>
    </row>
    <row r="426" spans="2:15">
      <c r="B426" s="1381">
        <v>45383</v>
      </c>
      <c r="C426" s="1382" t="e">
        <v>#N/A</v>
      </c>
      <c r="D426" s="1382" t="e">
        <v>#N/A</v>
      </c>
      <c r="E426" s="1382" t="e">
        <v>#N/A</v>
      </c>
      <c r="F426" s="1382" t="e">
        <f t="shared" si="0"/>
        <v>#N/A</v>
      </c>
      <c r="K426" s="1462">
        <v>42483</v>
      </c>
      <c r="L426" s="1463"/>
      <c r="M426" s="1464">
        <v>0</v>
      </c>
      <c r="N426" s="1465">
        <v>1.1583579007268738</v>
      </c>
      <c r="O426" s="1465">
        <v>1.1583579007268738</v>
      </c>
    </row>
    <row r="427" spans="2:15">
      <c r="B427" s="1381">
        <v>45413</v>
      </c>
      <c r="C427" s="1382" t="e">
        <v>#N/A</v>
      </c>
      <c r="D427" s="1382" t="e">
        <v>#N/A</v>
      </c>
      <c r="E427" s="1382" t="e">
        <v>#N/A</v>
      </c>
      <c r="F427" s="1382" t="e">
        <f t="shared" si="0"/>
        <v>#N/A</v>
      </c>
      <c r="K427" s="1462">
        <v>42484</v>
      </c>
      <c r="L427" s="1463"/>
      <c r="M427" s="1464">
        <v>0</v>
      </c>
      <c r="N427" s="1465">
        <v>1.1583579007268738</v>
      </c>
      <c r="O427" s="1465">
        <v>1.1583579007268738</v>
      </c>
    </row>
    <row r="428" spans="2:15">
      <c r="B428" s="1381">
        <v>45444</v>
      </c>
      <c r="C428" s="1382" t="e">
        <v>#N/A</v>
      </c>
      <c r="D428" s="1382" t="e">
        <v>#N/A</v>
      </c>
      <c r="E428" s="1382" t="e">
        <v>#N/A</v>
      </c>
      <c r="F428" s="1382" t="e">
        <f t="shared" si="0"/>
        <v>#N/A</v>
      </c>
      <c r="K428" s="1462">
        <v>42485</v>
      </c>
      <c r="L428" s="1463" t="s">
        <v>2127</v>
      </c>
      <c r="M428" s="1464">
        <v>5.2531000000000001E-2</v>
      </c>
      <c r="N428" s="1465">
        <v>1.1589663977157048</v>
      </c>
      <c r="O428" s="1465">
        <v>1.1589663977157048</v>
      </c>
    </row>
    <row r="429" spans="2:15">
      <c r="B429" s="1381">
        <v>45474</v>
      </c>
      <c r="C429" s="1382" t="e">
        <v>#N/A</v>
      </c>
      <c r="D429" s="1382" t="e">
        <v>#N/A</v>
      </c>
      <c r="E429" s="1382" t="e">
        <v>#N/A</v>
      </c>
      <c r="F429" s="1382" t="e">
        <f t="shared" si="0"/>
        <v>#N/A</v>
      </c>
      <c r="K429" s="1462">
        <v>42486</v>
      </c>
      <c r="L429" s="1463" t="s">
        <v>2127</v>
      </c>
      <c r="M429" s="1464">
        <v>5.2531000000000001E-2</v>
      </c>
      <c r="N429" s="1465">
        <v>1.1595752143540887</v>
      </c>
      <c r="O429" s="1465">
        <v>1.1595752143540887</v>
      </c>
    </row>
    <row r="430" spans="2:15">
      <c r="B430" s="1381">
        <v>45505</v>
      </c>
      <c r="C430" s="1382" t="e">
        <v>#N/A</v>
      </c>
      <c r="D430" s="1382" t="e">
        <v>#N/A</v>
      </c>
      <c r="E430" s="1382" t="e">
        <v>#N/A</v>
      </c>
      <c r="F430" s="1382" t="e">
        <f t="shared" si="0"/>
        <v>#N/A</v>
      </c>
      <c r="K430" s="1462">
        <v>42487</v>
      </c>
      <c r="L430" s="1463" t="s">
        <v>2127</v>
      </c>
      <c r="M430" s="1464">
        <v>5.2531000000000001E-2</v>
      </c>
      <c r="N430" s="1465">
        <v>1.160184350809941</v>
      </c>
      <c r="O430" s="1465">
        <v>1.160184350809941</v>
      </c>
    </row>
    <row r="431" spans="2:15">
      <c r="B431" s="1381">
        <v>45536</v>
      </c>
      <c r="C431" s="1382" t="e">
        <v>#N/A</v>
      </c>
      <c r="D431" s="1382" t="e">
        <v>#N/A</v>
      </c>
      <c r="E431" s="1382" t="e">
        <v>#N/A</v>
      </c>
      <c r="F431" s="1382" t="e">
        <f t="shared" si="0"/>
        <v>#N/A</v>
      </c>
      <c r="K431" s="1462">
        <v>42488</v>
      </c>
      <c r="L431" s="1463" t="s">
        <v>2127</v>
      </c>
      <c r="M431" s="1464">
        <v>5.2531000000000001E-2</v>
      </c>
      <c r="N431" s="1465">
        <v>1.1607938072512649</v>
      </c>
      <c r="O431" s="1465">
        <v>1.1607938072512649</v>
      </c>
    </row>
    <row r="432" spans="2:15">
      <c r="B432" s="1381">
        <v>45566</v>
      </c>
      <c r="C432" s="1382" t="e">
        <v>#N/A</v>
      </c>
      <c r="D432" s="1382" t="e">
        <v>#N/A</v>
      </c>
      <c r="E432" s="1382" t="e">
        <v>#N/A</v>
      </c>
      <c r="F432" s="1382" t="e">
        <f t="shared" si="0"/>
        <v>#N/A</v>
      </c>
      <c r="K432" s="1462">
        <v>42489</v>
      </c>
      <c r="L432" s="1463" t="s">
        <v>2127</v>
      </c>
      <c r="M432" s="1464">
        <v>5.2531000000000001E-2</v>
      </c>
      <c r="N432" s="1465">
        <v>1.1614035838461521</v>
      </c>
      <c r="O432" s="1465">
        <v>1.1614035838461521</v>
      </c>
    </row>
    <row r="433" spans="2:15">
      <c r="B433" s="1381">
        <v>45597</v>
      </c>
      <c r="C433" s="1382" t="e">
        <v>#N/A</v>
      </c>
      <c r="D433" s="1382" t="e">
        <v>#N/A</v>
      </c>
      <c r="E433" s="1382" t="e">
        <v>#N/A</v>
      </c>
      <c r="F433" s="1382" t="e">
        <f t="shared" si="0"/>
        <v>#N/A</v>
      </c>
      <c r="K433" s="1462">
        <v>42490</v>
      </c>
      <c r="L433" s="1463"/>
      <c r="M433" s="1464">
        <v>0</v>
      </c>
      <c r="N433" s="1465">
        <v>1.1614035838461521</v>
      </c>
      <c r="O433" s="1465">
        <v>1.1614035838461521</v>
      </c>
    </row>
    <row r="434" spans="2:15">
      <c r="B434" s="1381">
        <v>45627</v>
      </c>
      <c r="C434" s="1382" t="e">
        <v>#N/A</v>
      </c>
      <c r="D434" s="1382" t="e">
        <v>#N/A</v>
      </c>
      <c r="E434" s="1382" t="e">
        <v>#N/A</v>
      </c>
      <c r="F434" s="1382" t="e">
        <f t="shared" si="0"/>
        <v>#N/A</v>
      </c>
      <c r="K434" s="1462">
        <v>42491</v>
      </c>
      <c r="L434" s="1463"/>
      <c r="M434" s="1464">
        <v>0</v>
      </c>
      <c r="N434" s="1465">
        <v>1.1614035838461521</v>
      </c>
      <c r="O434" s="1465">
        <v>1.1614035838461521</v>
      </c>
    </row>
    <row r="435" spans="2:15">
      <c r="B435" s="1381">
        <v>45658</v>
      </c>
      <c r="C435" s="1382" t="e">
        <v>#N/A</v>
      </c>
      <c r="D435" s="1382" t="e">
        <v>#N/A</v>
      </c>
      <c r="E435" s="1382" t="e">
        <v>#N/A</v>
      </c>
      <c r="F435" s="1382" t="e">
        <f t="shared" si="0"/>
        <v>#N/A</v>
      </c>
      <c r="K435" s="1462">
        <v>42492</v>
      </c>
      <c r="L435" s="1463" t="s">
        <v>2127</v>
      </c>
      <c r="M435" s="1464">
        <v>5.2531000000000001E-2</v>
      </c>
      <c r="N435" s="1465">
        <v>1.1620136807627823</v>
      </c>
      <c r="O435" s="1465">
        <v>1.1620136807627823</v>
      </c>
    </row>
    <row r="436" spans="2:15">
      <c r="B436" s="1381">
        <v>45689</v>
      </c>
      <c r="C436" s="1382" t="e">
        <v>#N/A</v>
      </c>
      <c r="D436" s="1382" t="e">
        <v>#N/A</v>
      </c>
      <c r="E436" s="1382" t="e">
        <v>#N/A</v>
      </c>
      <c r="F436" s="1382" t="e">
        <f t="shared" si="0"/>
        <v>#N/A</v>
      </c>
      <c r="K436" s="1462">
        <v>42493</v>
      </c>
      <c r="L436" s="1463" t="s">
        <v>2127</v>
      </c>
      <c r="M436" s="1464">
        <v>5.2531000000000001E-2</v>
      </c>
      <c r="N436" s="1465">
        <v>1.1626240981694238</v>
      </c>
      <c r="O436" s="1465">
        <v>1.1626240981694238</v>
      </c>
    </row>
    <row r="437" spans="2:15">
      <c r="B437" s="1381">
        <v>45717</v>
      </c>
      <c r="C437" s="1382" t="e">
        <v>#N/A</v>
      </c>
      <c r="D437" s="1382" t="e">
        <v>#N/A</v>
      </c>
      <c r="E437" s="1382" t="e">
        <v>#N/A</v>
      </c>
      <c r="F437" s="1382" t="e">
        <f t="shared" si="0"/>
        <v>#N/A</v>
      </c>
      <c r="K437" s="1462">
        <v>42494</v>
      </c>
      <c r="L437" s="1463" t="s">
        <v>2127</v>
      </c>
      <c r="M437" s="1464">
        <v>5.2531000000000001E-2</v>
      </c>
      <c r="N437" s="1465">
        <v>1.1632348362344331</v>
      </c>
      <c r="O437" s="1465">
        <v>1.1632348362344331</v>
      </c>
    </row>
    <row r="438" spans="2:15">
      <c r="B438" s="1381">
        <v>45748</v>
      </c>
      <c r="C438" s="1382" t="e">
        <v>#N/A</v>
      </c>
      <c r="D438" s="1382" t="e">
        <v>#N/A</v>
      </c>
      <c r="E438" s="1382" t="e">
        <v>#N/A</v>
      </c>
      <c r="F438" s="1382" t="e">
        <f t="shared" si="0"/>
        <v>#N/A</v>
      </c>
      <c r="K438" s="1462">
        <v>42495</v>
      </c>
      <c r="L438" s="1463" t="s">
        <v>2127</v>
      </c>
      <c r="M438" s="1464">
        <v>5.2531000000000001E-2</v>
      </c>
      <c r="N438" s="1465">
        <v>1.1638458951262554</v>
      </c>
      <c r="O438" s="1465">
        <v>1.1638458951262554</v>
      </c>
    </row>
    <row r="439" spans="2:15">
      <c r="B439" s="1381">
        <v>45778</v>
      </c>
      <c r="C439" s="1382" t="e">
        <v>#N/A</v>
      </c>
      <c r="D439" s="1382" t="e">
        <v>#N/A</v>
      </c>
      <c r="E439" s="1382" t="e">
        <v>#N/A</v>
      </c>
      <c r="F439" s="1382" t="e">
        <f t="shared" si="0"/>
        <v>#N/A</v>
      </c>
      <c r="K439" s="1462">
        <v>42496</v>
      </c>
      <c r="L439" s="1463" t="s">
        <v>2127</v>
      </c>
      <c r="M439" s="1464">
        <v>5.2531000000000001E-2</v>
      </c>
      <c r="N439" s="1465">
        <v>1.1644572750134241</v>
      </c>
      <c r="O439" s="1465">
        <v>1.1644572750134241</v>
      </c>
    </row>
    <row r="440" spans="2:15">
      <c r="B440" s="1381">
        <v>45809</v>
      </c>
      <c r="C440" s="1382" t="e">
        <v>#N/A</v>
      </c>
      <c r="D440" s="1382" t="e">
        <v>#N/A</v>
      </c>
      <c r="E440" s="1382" t="e">
        <v>#N/A</v>
      </c>
      <c r="F440" s="1382" t="e">
        <f t="shared" si="0"/>
        <v>#N/A</v>
      </c>
      <c r="K440" s="1462">
        <v>42497</v>
      </c>
      <c r="L440" s="1463"/>
      <c r="M440" s="1464">
        <v>0</v>
      </c>
      <c r="N440" s="1465">
        <v>1.1644572750134241</v>
      </c>
      <c r="O440" s="1465">
        <v>1.1644572750134241</v>
      </c>
    </row>
    <row r="441" spans="2:15">
      <c r="B441" s="1381">
        <v>45839</v>
      </c>
      <c r="C441" s="1382" t="e">
        <v>#N/A</v>
      </c>
      <c r="D441" s="1382" t="e">
        <v>#N/A</v>
      </c>
      <c r="E441" s="1382" t="e">
        <v>#N/A</v>
      </c>
      <c r="F441" s="1382" t="e">
        <f t="shared" si="0"/>
        <v>#N/A</v>
      </c>
      <c r="K441" s="1462">
        <v>42498</v>
      </c>
      <c r="L441" s="1463"/>
      <c r="M441" s="1464">
        <v>0</v>
      </c>
      <c r="N441" s="1465">
        <v>1.1644572750134241</v>
      </c>
      <c r="O441" s="1465">
        <v>1.1644572750134241</v>
      </c>
    </row>
    <row r="442" spans="2:15">
      <c r="B442" s="1381">
        <v>45870</v>
      </c>
      <c r="C442" s="1382" t="e">
        <v>#N/A</v>
      </c>
      <c r="D442" s="1382" t="e">
        <v>#N/A</v>
      </c>
      <c r="E442" s="1382" t="e">
        <v>#N/A</v>
      </c>
      <c r="F442" s="1382" t="e">
        <f t="shared" si="0"/>
        <v>#N/A</v>
      </c>
      <c r="K442" s="1462">
        <v>42499</v>
      </c>
      <c r="L442" s="1463" t="s">
        <v>2127</v>
      </c>
      <c r="M442" s="1464">
        <v>5.2531000000000001E-2</v>
      </c>
      <c r="N442" s="1465">
        <v>1.1650689760645614</v>
      </c>
      <c r="O442" s="1465">
        <v>1.1650689760645614</v>
      </c>
    </row>
    <row r="443" spans="2:15">
      <c r="B443" s="1381">
        <v>45901</v>
      </c>
      <c r="C443" s="1382" t="e">
        <v>#N/A</v>
      </c>
      <c r="D443" s="1382" t="e">
        <v>#N/A</v>
      </c>
      <c r="E443" s="1382" t="e">
        <v>#N/A</v>
      </c>
      <c r="F443" s="1382" t="e">
        <f t="shared" si="0"/>
        <v>#N/A</v>
      </c>
      <c r="K443" s="1462">
        <v>42500</v>
      </c>
      <c r="L443" s="1463" t="s">
        <v>2127</v>
      </c>
      <c r="M443" s="1464">
        <v>5.2531000000000001E-2</v>
      </c>
      <c r="N443" s="1465">
        <v>1.1656809984483778</v>
      </c>
      <c r="O443" s="1465">
        <v>1.1656809984483778</v>
      </c>
    </row>
    <row r="444" spans="2:15">
      <c r="B444" s="1381">
        <v>45931</v>
      </c>
      <c r="C444" s="1382" t="e">
        <v>#N/A</v>
      </c>
      <c r="D444" s="1382" t="e">
        <v>#N/A</v>
      </c>
      <c r="E444" s="1382" t="e">
        <v>#N/A</v>
      </c>
      <c r="F444" s="1382" t="e">
        <f t="shared" si="0"/>
        <v>#N/A</v>
      </c>
      <c r="K444" s="1462">
        <v>42501</v>
      </c>
      <c r="L444" s="1463" t="s">
        <v>2127</v>
      </c>
      <c r="M444" s="1464">
        <v>5.2531000000000001E-2</v>
      </c>
      <c r="N444" s="1465">
        <v>1.1662933423336728</v>
      </c>
      <c r="O444" s="1465">
        <v>1.1662933423336728</v>
      </c>
    </row>
    <row r="445" spans="2:15">
      <c r="B445" s="1381">
        <v>45962</v>
      </c>
      <c r="C445" s="1382" t="e">
        <v>#N/A</v>
      </c>
      <c r="D445" s="1382" t="e">
        <v>#N/A</v>
      </c>
      <c r="E445" s="1382" t="e">
        <v>#N/A</v>
      </c>
      <c r="F445" s="1382" t="e">
        <f t="shared" si="0"/>
        <v>#N/A</v>
      </c>
      <c r="K445" s="1462">
        <v>42502</v>
      </c>
      <c r="L445" s="1463" t="s">
        <v>2127</v>
      </c>
      <c r="M445" s="1464">
        <v>5.2531000000000001E-2</v>
      </c>
      <c r="N445" s="1465">
        <v>1.1669060078893341</v>
      </c>
      <c r="O445" s="1465">
        <v>1.1669060078893341</v>
      </c>
    </row>
    <row r="446" spans="2:15">
      <c r="B446" s="1381">
        <v>45992</v>
      </c>
      <c r="C446" s="1382" t="e">
        <v>#N/A</v>
      </c>
      <c r="D446" s="1382" t="e">
        <v>#N/A</v>
      </c>
      <c r="E446" s="1382" t="e">
        <v>#N/A</v>
      </c>
      <c r="F446" s="1382" t="e">
        <f t="shared" si="0"/>
        <v>#N/A</v>
      </c>
      <c r="K446" s="1462">
        <v>42503</v>
      </c>
      <c r="L446" s="1463" t="s">
        <v>2127</v>
      </c>
      <c r="M446" s="1464">
        <v>5.2531000000000001E-2</v>
      </c>
      <c r="N446" s="1465">
        <v>1.1675189952843383</v>
      </c>
      <c r="O446" s="1465">
        <v>1.1675189952843383</v>
      </c>
    </row>
    <row r="447" spans="2:15">
      <c r="B447" s="1381">
        <v>46023</v>
      </c>
      <c r="C447" s="1382" t="e">
        <v>#N/A</v>
      </c>
      <c r="D447" s="1382" t="e">
        <v>#N/A</v>
      </c>
      <c r="E447" s="1382" t="e">
        <v>#N/A</v>
      </c>
      <c r="F447" s="1382" t="e">
        <f t="shared" si="0"/>
        <v>#N/A</v>
      </c>
      <c r="K447" s="1462">
        <v>42504</v>
      </c>
      <c r="L447" s="1463"/>
      <c r="M447" s="1464">
        <v>0</v>
      </c>
      <c r="N447" s="1465">
        <v>1.1675189952843383</v>
      </c>
      <c r="O447" s="1465">
        <v>1.1675189952843383</v>
      </c>
    </row>
    <row r="448" spans="2:15">
      <c r="B448" s="1381">
        <v>46054</v>
      </c>
      <c r="C448" s="1382" t="e">
        <v>#N/A</v>
      </c>
      <c r="D448" s="1382" t="e">
        <v>#N/A</v>
      </c>
      <c r="E448" s="1382" t="e">
        <v>#N/A</v>
      </c>
      <c r="F448" s="1382" t="e">
        <f t="shared" si="0"/>
        <v>#N/A</v>
      </c>
      <c r="K448" s="1462">
        <v>42505</v>
      </c>
      <c r="L448" s="1463"/>
      <c r="M448" s="1464">
        <v>0</v>
      </c>
      <c r="N448" s="1465">
        <v>1.1675189952843383</v>
      </c>
      <c r="O448" s="1465">
        <v>1.1675189952843383</v>
      </c>
    </row>
    <row r="449" spans="2:15">
      <c r="B449" s="1381">
        <v>46082</v>
      </c>
      <c r="C449" s="1382" t="e">
        <v>#N/A</v>
      </c>
      <c r="D449" s="1382" t="e">
        <v>#N/A</v>
      </c>
      <c r="E449" s="1382" t="e">
        <v>#N/A</v>
      </c>
      <c r="F449" s="1382" t="e">
        <f t="shared" si="0"/>
        <v>#N/A</v>
      </c>
      <c r="K449" s="1462">
        <v>42506</v>
      </c>
      <c r="L449" s="1463" t="s">
        <v>2127</v>
      </c>
      <c r="M449" s="1464">
        <v>5.2531000000000001E-2</v>
      </c>
      <c r="N449" s="1465">
        <v>1.1681323046877512</v>
      </c>
      <c r="O449" s="1465">
        <v>1.1681323046877512</v>
      </c>
    </row>
    <row r="450" spans="2:15">
      <c r="B450" s="1381">
        <v>46113</v>
      </c>
      <c r="C450" s="1382" t="e">
        <v>#N/A</v>
      </c>
      <c r="D450" s="1382" t="e">
        <v>#N/A</v>
      </c>
      <c r="E450" s="1382" t="e">
        <v>#N/A</v>
      </c>
      <c r="F450" s="1382" t="e">
        <f t="shared" si="0"/>
        <v>#N/A</v>
      </c>
      <c r="K450" s="1462">
        <v>42507</v>
      </c>
      <c r="L450" s="1463" t="s">
        <v>2127</v>
      </c>
      <c r="M450" s="1464">
        <v>5.2531000000000001E-2</v>
      </c>
      <c r="N450" s="1465">
        <v>1.1687459362687267</v>
      </c>
      <c r="O450" s="1465">
        <v>1.1687459362687267</v>
      </c>
    </row>
    <row r="451" spans="2:15">
      <c r="B451" s="1381">
        <v>46143</v>
      </c>
      <c r="C451" s="1382" t="e">
        <v>#N/A</v>
      </c>
      <c r="D451" s="1382" t="e">
        <v>#N/A</v>
      </c>
      <c r="E451" s="1382" t="e">
        <v>#N/A</v>
      </c>
      <c r="F451" s="1382" t="e">
        <f t="shared" si="0"/>
        <v>#N/A</v>
      </c>
      <c r="K451" s="1462">
        <v>42508</v>
      </c>
      <c r="L451" s="1463" t="s">
        <v>2127</v>
      </c>
      <c r="M451" s="1464">
        <v>5.2531000000000001E-2</v>
      </c>
      <c r="N451" s="1465">
        <v>1.1693598901965081</v>
      </c>
      <c r="O451" s="1465">
        <v>1.1693598901965081</v>
      </c>
    </row>
    <row r="452" spans="2:15">
      <c r="B452" s="1381">
        <v>46174</v>
      </c>
      <c r="C452" s="1382" t="e">
        <v>#N/A</v>
      </c>
      <c r="D452" s="1382" t="e">
        <v>#N/A</v>
      </c>
      <c r="E452" s="1382" t="e">
        <v>#N/A</v>
      </c>
      <c r="F452" s="1382" t="e">
        <f t="shared" si="0"/>
        <v>#N/A</v>
      </c>
      <c r="K452" s="1462">
        <v>42509</v>
      </c>
      <c r="L452" s="1463" t="s">
        <v>2127</v>
      </c>
      <c r="M452" s="1464">
        <v>5.2531000000000001E-2</v>
      </c>
      <c r="N452" s="1465">
        <v>1.1699741666404273</v>
      </c>
      <c r="O452" s="1465">
        <v>1.1699741666404273</v>
      </c>
    </row>
    <row r="453" spans="2:15">
      <c r="B453" s="1381">
        <v>46204</v>
      </c>
      <c r="C453" s="1382" t="e">
        <v>#N/A</v>
      </c>
      <c r="D453" s="1382" t="e">
        <v>#N/A</v>
      </c>
      <c r="E453" s="1382" t="e">
        <v>#N/A</v>
      </c>
      <c r="F453" s="1382" t="e">
        <f t="shared" si="0"/>
        <v>#N/A</v>
      </c>
      <c r="K453" s="1462">
        <v>42510</v>
      </c>
      <c r="L453" s="1463" t="s">
        <v>2127</v>
      </c>
      <c r="M453" s="1464">
        <v>5.2531000000000001E-2</v>
      </c>
      <c r="N453" s="1465">
        <v>1.1705887657699052</v>
      </c>
      <c r="O453" s="1465">
        <v>1.1705887657699052</v>
      </c>
    </row>
    <row r="454" spans="2:15">
      <c r="B454" s="1381">
        <v>46235</v>
      </c>
      <c r="C454" s="1382" t="e">
        <v>#N/A</v>
      </c>
      <c r="D454" s="1382" t="e">
        <v>#N/A</v>
      </c>
      <c r="E454" s="1382" t="e">
        <v>#N/A</v>
      </c>
      <c r="F454" s="1382" t="e">
        <f t="shared" si="0"/>
        <v>#N/A</v>
      </c>
      <c r="K454" s="1462">
        <v>42511</v>
      </c>
      <c r="L454" s="1463"/>
      <c r="M454" s="1464">
        <v>0</v>
      </c>
      <c r="N454" s="1465">
        <v>1.1705887657699052</v>
      </c>
      <c r="O454" s="1465">
        <v>1.1705887657699052</v>
      </c>
    </row>
    <row r="455" spans="2:15">
      <c r="B455" s="1381">
        <v>46266</v>
      </c>
      <c r="C455" s="1382" t="e">
        <v>#N/A</v>
      </c>
      <c r="D455" s="1382" t="e">
        <v>#N/A</v>
      </c>
      <c r="E455" s="1382" t="e">
        <v>#N/A</v>
      </c>
      <c r="F455" s="1382" t="e">
        <f t="shared" si="0"/>
        <v>#N/A</v>
      </c>
      <c r="K455" s="1462">
        <v>42512</v>
      </c>
      <c r="L455" s="1463"/>
      <c r="M455" s="1464">
        <v>0</v>
      </c>
      <c r="N455" s="1465">
        <v>1.1705887657699052</v>
      </c>
      <c r="O455" s="1465">
        <v>1.1705887657699052</v>
      </c>
    </row>
    <row r="456" spans="2:15">
      <c r="B456" s="1381">
        <v>46296</v>
      </c>
      <c r="C456" s="1382" t="e">
        <v>#N/A</v>
      </c>
      <c r="D456" s="1382" t="e">
        <v>#N/A</v>
      </c>
      <c r="E456" s="1382" t="e">
        <v>#N/A</v>
      </c>
      <c r="F456" s="1382" t="e">
        <f t="shared" si="0"/>
        <v>#N/A</v>
      </c>
      <c r="K456" s="1462">
        <v>42513</v>
      </c>
      <c r="L456" s="1463" t="s">
        <v>2127</v>
      </c>
      <c r="M456" s="1464">
        <v>5.2531000000000001E-2</v>
      </c>
      <c r="N456" s="1465">
        <v>1.1712036877544518</v>
      </c>
      <c r="O456" s="1465">
        <v>1.1712036877544518</v>
      </c>
    </row>
    <row r="457" spans="2:15">
      <c r="B457" s="1381">
        <v>46327</v>
      </c>
      <c r="C457" s="1382" t="e">
        <v>#N/A</v>
      </c>
      <c r="D457" s="1382" t="e">
        <v>#N/A</v>
      </c>
      <c r="E457" s="1382" t="e">
        <v>#N/A</v>
      </c>
      <c r="F457" s="1382" t="e">
        <f t="shared" si="0"/>
        <v>#N/A</v>
      </c>
      <c r="K457" s="1462">
        <v>42514</v>
      </c>
      <c r="L457" s="1463" t="s">
        <v>2127</v>
      </c>
      <c r="M457" s="1464">
        <v>5.2531000000000001E-2</v>
      </c>
      <c r="N457" s="1465">
        <v>1.1718189327636661</v>
      </c>
      <c r="O457" s="1465">
        <v>1.1718189327636661</v>
      </c>
    </row>
    <row r="458" spans="2:15">
      <c r="B458" s="1381">
        <v>46357</v>
      </c>
      <c r="C458" s="1382" t="e">
        <v>#N/A</v>
      </c>
      <c r="D458" s="1382" t="e">
        <v>#N/A</v>
      </c>
      <c r="E458" s="1382" t="e">
        <v>#N/A</v>
      </c>
      <c r="F458" s="1382" t="e">
        <f t="shared" si="0"/>
        <v>#N/A</v>
      </c>
      <c r="K458" s="1462">
        <v>42515</v>
      </c>
      <c r="L458" s="1463" t="s">
        <v>2127</v>
      </c>
      <c r="M458" s="1464">
        <v>5.2531000000000001E-2</v>
      </c>
      <c r="N458" s="1465">
        <v>1.1724345009672361</v>
      </c>
      <c r="O458" s="1465">
        <v>1.1724345009672361</v>
      </c>
    </row>
    <row r="459" spans="2:15">
      <c r="B459" s="1381">
        <v>46388</v>
      </c>
      <c r="C459" s="1382" t="e">
        <v>#N/A</v>
      </c>
      <c r="D459" s="1382" t="e">
        <v>#N/A</v>
      </c>
      <c r="E459" s="1382" t="e">
        <v>#N/A</v>
      </c>
      <c r="F459" s="1382" t="e">
        <f t="shared" si="0"/>
        <v>#N/A</v>
      </c>
      <c r="K459" s="1462">
        <v>42516</v>
      </c>
      <c r="L459" s="1463"/>
      <c r="M459" s="1464">
        <v>0</v>
      </c>
      <c r="N459" s="1465">
        <v>1.1724345009672361</v>
      </c>
      <c r="O459" s="1465">
        <v>1.1724345009672361</v>
      </c>
    </row>
    <row r="460" spans="2:15">
      <c r="B460" s="1381">
        <v>46419</v>
      </c>
      <c r="C460" s="1382" t="e">
        <v>#N/A</v>
      </c>
      <c r="D460" s="1382" t="e">
        <v>#N/A</v>
      </c>
      <c r="E460" s="1382" t="e">
        <v>#N/A</v>
      </c>
      <c r="F460" s="1382" t="e">
        <f t="shared" si="0"/>
        <v>#N/A</v>
      </c>
      <c r="K460" s="1462">
        <v>42517</v>
      </c>
      <c r="L460" s="1463" t="s">
        <v>2127</v>
      </c>
      <c r="M460" s="1464">
        <v>5.2531000000000001E-2</v>
      </c>
      <c r="N460" s="1465">
        <v>1.1730503925349391</v>
      </c>
      <c r="O460" s="1465">
        <v>1.1730503925349391</v>
      </c>
    </row>
    <row r="461" spans="2:15">
      <c r="B461" s="1381">
        <v>46447</v>
      </c>
      <c r="C461" s="1382" t="e">
        <v>#N/A</v>
      </c>
      <c r="D461" s="1382" t="e">
        <v>#N/A</v>
      </c>
      <c r="E461" s="1382" t="e">
        <v>#N/A</v>
      </c>
      <c r="F461" s="1382" t="e">
        <f t="shared" si="0"/>
        <v>#N/A</v>
      </c>
      <c r="K461" s="1462">
        <v>42518</v>
      </c>
      <c r="L461" s="1463"/>
      <c r="M461" s="1464">
        <v>0</v>
      </c>
      <c r="N461" s="1465">
        <v>1.1730503925349391</v>
      </c>
      <c r="O461" s="1465">
        <v>1.1730503925349391</v>
      </c>
    </row>
    <row r="462" spans="2:15">
      <c r="B462" s="1381">
        <v>46478</v>
      </c>
      <c r="C462" s="1382" t="e">
        <v>#N/A</v>
      </c>
      <c r="D462" s="1382" t="e">
        <v>#N/A</v>
      </c>
      <c r="E462" s="1382" t="e">
        <v>#N/A</v>
      </c>
      <c r="F462" s="1382" t="e">
        <f t="shared" si="0"/>
        <v>#N/A</v>
      </c>
      <c r="K462" s="1462">
        <v>42519</v>
      </c>
      <c r="L462" s="1463"/>
      <c r="M462" s="1464">
        <v>0</v>
      </c>
      <c r="N462" s="1465">
        <v>1.1730503925349391</v>
      </c>
      <c r="O462" s="1465">
        <v>1.1730503925349391</v>
      </c>
    </row>
    <row r="463" spans="2:15">
      <c r="B463" s="1381">
        <v>46508</v>
      </c>
      <c r="C463" s="1382" t="e">
        <v>#N/A</v>
      </c>
      <c r="D463" s="1382" t="e">
        <v>#N/A</v>
      </c>
      <c r="E463" s="1382" t="e">
        <v>#N/A</v>
      </c>
      <c r="F463" s="1382" t="e">
        <f t="shared" si="0"/>
        <v>#N/A</v>
      </c>
      <c r="K463" s="1462">
        <v>42520</v>
      </c>
      <c r="L463" s="1463" t="s">
        <v>2127</v>
      </c>
      <c r="M463" s="1464">
        <v>5.2531000000000001E-2</v>
      </c>
      <c r="N463" s="1465">
        <v>1.1736666076366418</v>
      </c>
      <c r="O463" s="1465">
        <v>1.1736666076366418</v>
      </c>
    </row>
    <row r="464" spans="2:15">
      <c r="B464" s="1381">
        <v>46539</v>
      </c>
      <c r="C464" s="1382" t="e">
        <v>#N/A</v>
      </c>
      <c r="D464" s="1382" t="e">
        <v>#N/A</v>
      </c>
      <c r="E464" s="1382" t="e">
        <v>#N/A</v>
      </c>
      <c r="F464" s="1382" t="e">
        <f t="shared" si="0"/>
        <v>#N/A</v>
      </c>
      <c r="K464" s="1462">
        <v>42521</v>
      </c>
      <c r="L464" s="1463" t="s">
        <v>2127</v>
      </c>
      <c r="M464" s="1464">
        <v>5.2531000000000001E-2</v>
      </c>
      <c r="N464" s="1465">
        <v>1.1742831464422994</v>
      </c>
      <c r="O464" s="1465">
        <v>1.1742831464422994</v>
      </c>
    </row>
    <row r="465" spans="2:15">
      <c r="B465" s="1381">
        <v>46569</v>
      </c>
      <c r="C465" s="1382" t="e">
        <v>#N/A</v>
      </c>
      <c r="D465" s="1382" t="e">
        <v>#N/A</v>
      </c>
      <c r="E465" s="1382" t="e">
        <v>#N/A</v>
      </c>
      <c r="F465" s="1382" t="e">
        <f t="shared" si="0"/>
        <v>#N/A</v>
      </c>
      <c r="K465" s="1462">
        <v>42522</v>
      </c>
      <c r="L465" s="1463" t="s">
        <v>2127</v>
      </c>
      <c r="M465" s="1464">
        <v>5.2531000000000001E-2</v>
      </c>
      <c r="N465" s="1465">
        <v>1.174900009121957</v>
      </c>
      <c r="O465" s="1465">
        <v>1.174900009121957</v>
      </c>
    </row>
    <row r="466" spans="2:15">
      <c r="B466" s="1381">
        <v>46600</v>
      </c>
      <c r="C466" s="1382" t="e">
        <v>#N/A</v>
      </c>
      <c r="D466" s="1382" t="e">
        <v>#N/A</v>
      </c>
      <c r="E466" s="1382" t="e">
        <v>#N/A</v>
      </c>
      <c r="F466" s="1382" t="e">
        <f t="shared" si="0"/>
        <v>#N/A</v>
      </c>
      <c r="K466" s="1462">
        <v>42523</v>
      </c>
      <c r="L466" s="1463" t="s">
        <v>2127</v>
      </c>
      <c r="M466" s="1464">
        <v>5.2531000000000001E-2</v>
      </c>
      <c r="N466" s="1465">
        <v>1.1755171958457489</v>
      </c>
      <c r="O466" s="1465">
        <v>1.1755171958457489</v>
      </c>
    </row>
    <row r="467" spans="2:15">
      <c r="B467" s="1381">
        <v>46631</v>
      </c>
      <c r="C467" s="1382" t="e">
        <v>#N/A</v>
      </c>
      <c r="D467" s="1382" t="e">
        <v>#N/A</v>
      </c>
      <c r="E467" s="1382" t="e">
        <v>#N/A</v>
      </c>
      <c r="F467" s="1382" t="e">
        <f t="shared" si="0"/>
        <v>#N/A</v>
      </c>
      <c r="K467" s="1462">
        <v>42524</v>
      </c>
      <c r="L467" s="1463" t="s">
        <v>2127</v>
      </c>
      <c r="M467" s="1464">
        <v>5.2531000000000001E-2</v>
      </c>
      <c r="N467" s="1465">
        <v>1.1761347067838985</v>
      </c>
      <c r="O467" s="1465">
        <v>1.1761347067838985</v>
      </c>
    </row>
    <row r="468" spans="2:15">
      <c r="B468" s="1381">
        <v>46661</v>
      </c>
      <c r="C468" s="1382" t="e">
        <v>#N/A</v>
      </c>
      <c r="D468" s="1382" t="e">
        <v>#N/A</v>
      </c>
      <c r="E468" s="1382" t="e">
        <v>#N/A</v>
      </c>
      <c r="F468" s="1382" t="e">
        <f t="shared" si="0"/>
        <v>#N/A</v>
      </c>
      <c r="K468" s="1462">
        <v>42525</v>
      </c>
      <c r="L468" s="1463"/>
      <c r="M468" s="1464">
        <v>0</v>
      </c>
      <c r="N468" s="1465">
        <v>1.1761347067838985</v>
      </c>
      <c r="O468" s="1465">
        <v>1.1761347067838985</v>
      </c>
    </row>
    <row r="469" spans="2:15">
      <c r="B469" s="1381">
        <v>46692</v>
      </c>
      <c r="C469" s="1382" t="e">
        <v>#N/A</v>
      </c>
      <c r="D469" s="1382" t="e">
        <v>#N/A</v>
      </c>
      <c r="E469" s="1382" t="e">
        <v>#N/A</v>
      </c>
      <c r="F469" s="1382" t="e">
        <f t="shared" si="0"/>
        <v>#N/A</v>
      </c>
      <c r="K469" s="1462">
        <v>42526</v>
      </c>
      <c r="L469" s="1463"/>
      <c r="M469" s="1464">
        <v>0</v>
      </c>
      <c r="N469" s="1465">
        <v>1.1761347067838985</v>
      </c>
      <c r="O469" s="1465">
        <v>1.1761347067838985</v>
      </c>
    </row>
    <row r="470" spans="2:15">
      <c r="B470" s="1381">
        <v>46722</v>
      </c>
      <c r="C470" s="1382" t="e">
        <v>#N/A</v>
      </c>
      <c r="D470" s="1382" t="e">
        <v>#N/A</v>
      </c>
      <c r="E470" s="1382" t="e">
        <v>#N/A</v>
      </c>
      <c r="F470" s="1382" t="e">
        <f t="shared" si="0"/>
        <v>#N/A</v>
      </c>
      <c r="K470" s="1462">
        <v>42527</v>
      </c>
      <c r="L470" s="1463" t="s">
        <v>2127</v>
      </c>
      <c r="M470" s="1464">
        <v>5.2531000000000001E-2</v>
      </c>
      <c r="N470" s="1465">
        <v>1.1767525421067191</v>
      </c>
      <c r="O470" s="1465">
        <v>1.1767525421067191</v>
      </c>
    </row>
    <row r="471" spans="2:15">
      <c r="B471" s="1381">
        <v>46753</v>
      </c>
      <c r="C471" s="1382" t="e">
        <v>#N/A</v>
      </c>
      <c r="D471" s="1382" t="e">
        <v>#N/A</v>
      </c>
      <c r="E471" s="1382" t="e">
        <v>#N/A</v>
      </c>
      <c r="F471" s="1382" t="e">
        <f t="shared" si="0"/>
        <v>#N/A</v>
      </c>
      <c r="K471" s="1462">
        <v>42528</v>
      </c>
      <c r="L471" s="1463" t="s">
        <v>2127</v>
      </c>
      <c r="M471" s="1464">
        <v>5.2531000000000001E-2</v>
      </c>
      <c r="N471" s="1465">
        <v>1.1773707019846131</v>
      </c>
      <c r="O471" s="1465">
        <v>1.1773707019846131</v>
      </c>
    </row>
    <row r="472" spans="2:15">
      <c r="B472" s="1381">
        <v>46784</v>
      </c>
      <c r="C472" s="1382" t="e">
        <v>#N/A</v>
      </c>
      <c r="D472" s="1382" t="e">
        <v>#N/A</v>
      </c>
      <c r="E472" s="1382" t="e">
        <v>#N/A</v>
      </c>
      <c r="F472" s="1382" t="e">
        <f t="shared" si="0"/>
        <v>#N/A</v>
      </c>
      <c r="K472" s="1462">
        <v>42529</v>
      </c>
      <c r="L472" s="1463" t="s">
        <v>2127</v>
      </c>
      <c r="M472" s="1464">
        <v>5.2531000000000001E-2</v>
      </c>
      <c r="N472" s="1465">
        <v>1.1779891865880727</v>
      </c>
      <c r="O472" s="1465">
        <v>1.1779891865880727</v>
      </c>
    </row>
    <row r="473" spans="2:15">
      <c r="B473" s="1381">
        <v>46813</v>
      </c>
      <c r="C473" s="1382" t="e">
        <v>#N/A</v>
      </c>
      <c r="D473" s="1382" t="e">
        <v>#N/A</v>
      </c>
      <c r="E473" s="1382" t="e">
        <v>#N/A</v>
      </c>
      <c r="F473" s="1382" t="e">
        <f t="shared" si="0"/>
        <v>#N/A</v>
      </c>
      <c r="K473" s="1462">
        <v>42530</v>
      </c>
      <c r="L473" s="1463" t="s">
        <v>2127</v>
      </c>
      <c r="M473" s="1464">
        <v>5.2531000000000001E-2</v>
      </c>
      <c r="N473" s="1465">
        <v>1.1786079960876794</v>
      </c>
      <c r="O473" s="1465">
        <v>1.1786079960876794</v>
      </c>
    </row>
    <row r="474" spans="2:15">
      <c r="B474" s="1381">
        <v>46844</v>
      </c>
      <c r="C474" s="1382" t="e">
        <v>#N/A</v>
      </c>
      <c r="D474" s="1382" t="e">
        <v>#N/A</v>
      </c>
      <c r="E474" s="1382" t="e">
        <v>#N/A</v>
      </c>
      <c r="F474" s="1382" t="e">
        <f t="shared" si="0"/>
        <v>#N/A</v>
      </c>
      <c r="K474" s="1462">
        <v>42531</v>
      </c>
      <c r="L474" s="1463" t="s">
        <v>2127</v>
      </c>
      <c r="M474" s="1464">
        <v>5.2531000000000001E-2</v>
      </c>
      <c r="N474" s="1465">
        <v>1.1792271306541042</v>
      </c>
      <c r="O474" s="1465">
        <v>1.1792271306541042</v>
      </c>
    </row>
    <row r="475" spans="2:15">
      <c r="B475" s="1381">
        <v>46874</v>
      </c>
      <c r="C475" s="1382" t="e">
        <v>#N/A</v>
      </c>
      <c r="D475" s="1382" t="e">
        <v>#N/A</v>
      </c>
      <c r="E475" s="1382" t="e">
        <v>#N/A</v>
      </c>
      <c r="F475" s="1382" t="e">
        <f t="shared" si="0"/>
        <v>#N/A</v>
      </c>
      <c r="K475" s="1462">
        <v>42532</v>
      </c>
      <c r="L475" s="1463"/>
      <c r="M475" s="1464">
        <v>0</v>
      </c>
      <c r="N475" s="1465">
        <v>1.1792271306541042</v>
      </c>
      <c r="O475" s="1465">
        <v>1.1792271306541042</v>
      </c>
    </row>
    <row r="476" spans="2:15">
      <c r="B476" s="1381">
        <v>46905</v>
      </c>
      <c r="C476" s="1382" t="e">
        <v>#N/A</v>
      </c>
      <c r="D476" s="1382" t="e">
        <v>#N/A</v>
      </c>
      <c r="E476" s="1382" t="e">
        <v>#N/A</v>
      </c>
      <c r="F476" s="1382" t="e">
        <f t="shared" si="0"/>
        <v>#N/A</v>
      </c>
      <c r="K476" s="1462">
        <v>42533</v>
      </c>
      <c r="L476" s="1463"/>
      <c r="M476" s="1464">
        <v>0</v>
      </c>
      <c r="N476" s="1465">
        <v>1.1792271306541042</v>
      </c>
      <c r="O476" s="1465">
        <v>1.1792271306541042</v>
      </c>
    </row>
    <row r="477" spans="2:15">
      <c r="B477" s="1381">
        <v>46935</v>
      </c>
      <c r="C477" s="1382" t="e">
        <v>#N/A</v>
      </c>
      <c r="D477" s="1382" t="e">
        <v>#N/A</v>
      </c>
      <c r="E477" s="1382" t="e">
        <v>#N/A</v>
      </c>
      <c r="F477" s="1382" t="e">
        <f t="shared" si="0"/>
        <v>#N/A</v>
      </c>
      <c r="K477" s="1462">
        <v>42534</v>
      </c>
      <c r="L477" s="1463" t="s">
        <v>2127</v>
      </c>
      <c r="M477" s="1464">
        <v>5.2531000000000001E-2</v>
      </c>
      <c r="N477" s="1465">
        <v>1.1798465904581081</v>
      </c>
      <c r="O477" s="1465">
        <v>1.1798465904581081</v>
      </c>
    </row>
    <row r="478" spans="2:15">
      <c r="B478" s="1381">
        <v>46966</v>
      </c>
      <c r="C478" s="1382" t="e">
        <v>#N/A</v>
      </c>
      <c r="D478" s="1382" t="e">
        <v>#N/A</v>
      </c>
      <c r="E478" s="1382" t="e">
        <v>#N/A</v>
      </c>
      <c r="F478" s="1382" t="e">
        <f t="shared" si="0"/>
        <v>#N/A</v>
      </c>
      <c r="K478" s="1462">
        <v>42535</v>
      </c>
      <c r="L478" s="1463" t="s">
        <v>2127</v>
      </c>
      <c r="M478" s="1464">
        <v>5.2531000000000001E-2</v>
      </c>
      <c r="N478" s="1465">
        <v>1.1804663756705416</v>
      </c>
      <c r="O478" s="1465">
        <v>1.1804663756705416</v>
      </c>
    </row>
    <row r="479" spans="2:15">
      <c r="B479" s="1381">
        <v>46997</v>
      </c>
      <c r="C479" s="1382" t="e">
        <v>#N/A</v>
      </c>
      <c r="D479" s="1382" t="e">
        <v>#N/A</v>
      </c>
      <c r="E479" s="1382" t="e">
        <v>#N/A</v>
      </c>
      <c r="F479" s="1382" t="e">
        <f t="shared" si="0"/>
        <v>#N/A</v>
      </c>
      <c r="K479" s="1462">
        <v>42536</v>
      </c>
      <c r="L479" s="1463" t="s">
        <v>2127</v>
      </c>
      <c r="M479" s="1464">
        <v>5.2531000000000001E-2</v>
      </c>
      <c r="N479" s="1465">
        <v>1.1810864864623452</v>
      </c>
      <c r="O479" s="1465">
        <v>1.1810864864623452</v>
      </c>
    </row>
    <row r="480" spans="2:15">
      <c r="B480" s="1381">
        <v>47027</v>
      </c>
      <c r="C480" s="1382" t="e">
        <v>#N/A</v>
      </c>
      <c r="D480" s="1382" t="e">
        <v>#N/A</v>
      </c>
      <c r="E480" s="1382" t="e">
        <v>#N/A</v>
      </c>
      <c r="F480" s="1382" t="e">
        <f t="shared" si="0"/>
        <v>#N/A</v>
      </c>
      <c r="K480" s="1462">
        <v>42537</v>
      </c>
      <c r="L480" s="1463" t="s">
        <v>2127</v>
      </c>
      <c r="M480" s="1464">
        <v>5.2531000000000001E-2</v>
      </c>
      <c r="N480" s="1465">
        <v>1.1817069230045487</v>
      </c>
      <c r="O480" s="1465">
        <v>1.1817069230045487</v>
      </c>
    </row>
    <row r="481" spans="2:15">
      <c r="B481" s="1381">
        <v>47058</v>
      </c>
      <c r="C481" s="1382" t="e">
        <v>#N/A</v>
      </c>
      <c r="D481" s="1382" t="e">
        <v>#N/A</v>
      </c>
      <c r="E481" s="1382" t="e">
        <v>#N/A</v>
      </c>
      <c r="F481" s="1382" t="e">
        <f t="shared" si="0"/>
        <v>#N/A</v>
      </c>
      <c r="K481" s="1462">
        <v>42538</v>
      </c>
      <c r="L481" s="1463" t="s">
        <v>2127</v>
      </c>
      <c r="M481" s="1464">
        <v>5.2531000000000001E-2</v>
      </c>
      <c r="N481" s="1465">
        <v>1.1823276854682723</v>
      </c>
      <c r="O481" s="1465">
        <v>1.1823276854682723</v>
      </c>
    </row>
    <row r="482" spans="2:15">
      <c r="B482" s="1381">
        <v>47088</v>
      </c>
      <c r="C482" s="1382" t="e">
        <v>#N/A</v>
      </c>
      <c r="D482" s="1382" t="e">
        <v>#N/A</v>
      </c>
      <c r="E482" s="1382" t="e">
        <v>#N/A</v>
      </c>
      <c r="F482" s="1382" t="e">
        <f t="shared" si="0"/>
        <v>#N/A</v>
      </c>
      <c r="K482" s="1462">
        <v>42539</v>
      </c>
      <c r="L482" s="1463"/>
      <c r="M482" s="1464">
        <v>0</v>
      </c>
      <c r="N482" s="1465">
        <v>1.1823276854682723</v>
      </c>
      <c r="O482" s="1465">
        <v>1.1823276854682723</v>
      </c>
    </row>
    <row r="483" spans="2:15">
      <c r="B483" s="1381">
        <v>47119</v>
      </c>
      <c r="C483" s="1382" t="e">
        <v>#N/A</v>
      </c>
      <c r="D483" s="1382" t="e">
        <v>#N/A</v>
      </c>
      <c r="E483" s="1382" t="e">
        <v>#N/A</v>
      </c>
      <c r="F483" s="1382" t="e">
        <f t="shared" si="0"/>
        <v>#N/A</v>
      </c>
      <c r="K483" s="1462">
        <v>42540</v>
      </c>
      <c r="L483" s="1463"/>
      <c r="M483" s="1464">
        <v>0</v>
      </c>
      <c r="N483" s="1465">
        <v>1.1823276854682723</v>
      </c>
      <c r="O483" s="1465">
        <v>1.1823276854682723</v>
      </c>
    </row>
    <row r="484" spans="2:15">
      <c r="B484" s="1381">
        <v>47150</v>
      </c>
      <c r="C484" s="1382" t="e">
        <v>#N/A</v>
      </c>
      <c r="D484" s="1382" t="e">
        <v>#N/A</v>
      </c>
      <c r="E484" s="1382" t="e">
        <v>#N/A</v>
      </c>
      <c r="F484" s="1382" t="e">
        <f t="shared" ref="F484:F500" si="1">F483*E484</f>
        <v>#N/A</v>
      </c>
      <c r="K484" s="1462">
        <v>42541</v>
      </c>
      <c r="L484" s="1463" t="s">
        <v>2127</v>
      </c>
      <c r="M484" s="1464">
        <v>5.2531000000000001E-2</v>
      </c>
      <c r="N484" s="1465">
        <v>1.1829487740247255</v>
      </c>
      <c r="O484" s="1465">
        <v>1.1829487740247255</v>
      </c>
    </row>
    <row r="485" spans="2:15">
      <c r="B485" s="1381">
        <v>47178</v>
      </c>
      <c r="C485" s="1382" t="e">
        <v>#N/A</v>
      </c>
      <c r="D485" s="1382" t="e">
        <v>#N/A</v>
      </c>
      <c r="E485" s="1382" t="e">
        <v>#N/A</v>
      </c>
      <c r="F485" s="1382" t="e">
        <f t="shared" si="1"/>
        <v>#N/A</v>
      </c>
      <c r="K485" s="1462">
        <v>42542</v>
      </c>
      <c r="L485" s="1463" t="s">
        <v>2127</v>
      </c>
      <c r="M485" s="1464">
        <v>5.2531000000000001E-2</v>
      </c>
      <c r="N485" s="1465">
        <v>1.1835701888452084</v>
      </c>
      <c r="O485" s="1465">
        <v>1.1835701888452084</v>
      </c>
    </row>
    <row r="486" spans="2:15">
      <c r="B486" s="1381">
        <v>47209</v>
      </c>
      <c r="C486" s="1382" t="e">
        <v>#N/A</v>
      </c>
      <c r="D486" s="1382" t="e">
        <v>#N/A</v>
      </c>
      <c r="E486" s="1382" t="e">
        <v>#N/A</v>
      </c>
      <c r="F486" s="1382" t="e">
        <f t="shared" si="1"/>
        <v>#N/A</v>
      </c>
      <c r="K486" s="1462">
        <v>42543</v>
      </c>
      <c r="L486" s="1463" t="s">
        <v>2127</v>
      </c>
      <c r="M486" s="1464">
        <v>5.2531000000000001E-2</v>
      </c>
      <c r="N486" s="1465">
        <v>1.1841919301011106</v>
      </c>
      <c r="O486" s="1465">
        <v>1.1841919301011106</v>
      </c>
    </row>
    <row r="487" spans="2:15">
      <c r="B487" s="1381">
        <v>47239</v>
      </c>
      <c r="C487" s="1382" t="e">
        <v>#N/A</v>
      </c>
      <c r="D487" s="1382" t="e">
        <v>#N/A</v>
      </c>
      <c r="E487" s="1382" t="e">
        <v>#N/A</v>
      </c>
      <c r="F487" s="1382" t="e">
        <f t="shared" si="1"/>
        <v>#N/A</v>
      </c>
      <c r="K487" s="1462">
        <v>42544</v>
      </c>
      <c r="L487" s="1463" t="s">
        <v>2127</v>
      </c>
      <c r="M487" s="1464">
        <v>5.2531000000000001E-2</v>
      </c>
      <c r="N487" s="1465">
        <v>1.1848139979639121</v>
      </c>
      <c r="O487" s="1465">
        <v>1.1848139979639121</v>
      </c>
    </row>
    <row r="488" spans="2:15">
      <c r="B488" s="1381">
        <v>47270</v>
      </c>
      <c r="C488" s="1382" t="e">
        <v>#N/A</v>
      </c>
      <c r="D488" s="1382" t="e">
        <v>#N/A</v>
      </c>
      <c r="E488" s="1382" t="e">
        <v>#N/A</v>
      </c>
      <c r="F488" s="1382" t="e">
        <f t="shared" si="1"/>
        <v>#N/A</v>
      </c>
      <c r="K488" s="1462">
        <v>42545</v>
      </c>
      <c r="L488" s="1463" t="s">
        <v>2127</v>
      </c>
      <c r="M488" s="1464">
        <v>5.2531000000000001E-2</v>
      </c>
      <c r="N488" s="1465">
        <v>1.1854363926051825</v>
      </c>
      <c r="O488" s="1465">
        <v>1.1854363926051825</v>
      </c>
    </row>
    <row r="489" spans="2:15">
      <c r="B489" s="1381">
        <v>47300</v>
      </c>
      <c r="C489" s="1382" t="e">
        <v>#N/A</v>
      </c>
      <c r="D489" s="1382" t="e">
        <v>#N/A</v>
      </c>
      <c r="E489" s="1382" t="e">
        <v>#N/A</v>
      </c>
      <c r="F489" s="1382" t="e">
        <f t="shared" si="1"/>
        <v>#N/A</v>
      </c>
      <c r="K489" s="1462">
        <v>42546</v>
      </c>
      <c r="L489" s="1463"/>
      <c r="M489" s="1464">
        <v>0</v>
      </c>
      <c r="N489" s="1465">
        <v>1.1854363926051825</v>
      </c>
      <c r="O489" s="1465">
        <v>1.1854363926051825</v>
      </c>
    </row>
    <row r="490" spans="2:15">
      <c r="B490" s="1381">
        <v>47331</v>
      </c>
      <c r="C490" s="1382" t="e">
        <v>#N/A</v>
      </c>
      <c r="D490" s="1382" t="e">
        <v>#N/A</v>
      </c>
      <c r="E490" s="1382" t="e">
        <v>#N/A</v>
      </c>
      <c r="F490" s="1382" t="e">
        <f t="shared" si="1"/>
        <v>#N/A</v>
      </c>
      <c r="K490" s="1462">
        <v>42547</v>
      </c>
      <c r="L490" s="1463"/>
      <c r="M490" s="1464">
        <v>0</v>
      </c>
      <c r="N490" s="1465">
        <v>1.1854363926051825</v>
      </c>
      <c r="O490" s="1465">
        <v>1.1854363926051825</v>
      </c>
    </row>
    <row r="491" spans="2:15">
      <c r="B491" s="1381">
        <v>47362</v>
      </c>
      <c r="C491" s="1382" t="e">
        <v>#N/A</v>
      </c>
      <c r="D491" s="1382" t="e">
        <v>#N/A</v>
      </c>
      <c r="E491" s="1382" t="e">
        <v>#N/A</v>
      </c>
      <c r="F491" s="1382" t="e">
        <f t="shared" si="1"/>
        <v>#N/A</v>
      </c>
      <c r="K491" s="1462">
        <v>42548</v>
      </c>
      <c r="L491" s="1463" t="s">
        <v>2127</v>
      </c>
      <c r="M491" s="1464">
        <v>5.2531000000000001E-2</v>
      </c>
      <c r="N491" s="1465">
        <v>1.1860591141965819</v>
      </c>
      <c r="O491" s="1465">
        <v>1.1860591141965819</v>
      </c>
    </row>
    <row r="492" spans="2:15">
      <c r="B492" s="1381">
        <v>47392</v>
      </c>
      <c r="C492" s="1382" t="e">
        <v>#N/A</v>
      </c>
      <c r="D492" s="1382" t="e">
        <v>#N/A</v>
      </c>
      <c r="E492" s="1382" t="e">
        <v>#N/A</v>
      </c>
      <c r="F492" s="1382" t="e">
        <f t="shared" si="1"/>
        <v>#N/A</v>
      </c>
      <c r="K492" s="1462">
        <v>42549</v>
      </c>
      <c r="L492" s="1463" t="s">
        <v>2127</v>
      </c>
      <c r="M492" s="1464">
        <v>5.2531000000000001E-2</v>
      </c>
      <c r="N492" s="1465">
        <v>1.1866821629098605</v>
      </c>
      <c r="O492" s="1465">
        <v>1.1866821629098605</v>
      </c>
    </row>
    <row r="493" spans="2:15">
      <c r="B493" s="1381">
        <v>47423</v>
      </c>
      <c r="C493" s="1382" t="e">
        <v>#N/A</v>
      </c>
      <c r="D493" s="1382" t="e">
        <v>#N/A</v>
      </c>
      <c r="E493" s="1382" t="e">
        <v>#N/A</v>
      </c>
      <c r="F493" s="1382" t="e">
        <f t="shared" si="1"/>
        <v>#N/A</v>
      </c>
      <c r="K493" s="1462">
        <v>42550</v>
      </c>
      <c r="L493" s="1463" t="s">
        <v>2127</v>
      </c>
      <c r="M493" s="1464">
        <v>5.2531000000000001E-2</v>
      </c>
      <c r="N493" s="1465">
        <v>1.1873055389168587</v>
      </c>
      <c r="O493" s="1465">
        <v>1.1873055389168587</v>
      </c>
    </row>
    <row r="494" spans="2:15">
      <c r="B494" s="1381">
        <v>47453</v>
      </c>
      <c r="C494" s="1382" t="e">
        <v>#N/A</v>
      </c>
      <c r="D494" s="1382" t="e">
        <v>#N/A</v>
      </c>
      <c r="E494" s="1382" t="e">
        <v>#N/A</v>
      </c>
      <c r="F494" s="1382" t="e">
        <f t="shared" si="1"/>
        <v>#N/A</v>
      </c>
      <c r="K494" s="1462">
        <v>42551</v>
      </c>
      <c r="L494" s="1463" t="s">
        <v>2127</v>
      </c>
      <c r="M494" s="1464">
        <v>5.2531000000000001E-2</v>
      </c>
      <c r="N494" s="1465">
        <v>1.1879292423895071</v>
      </c>
      <c r="O494" s="1465">
        <v>1.1879292423895071</v>
      </c>
    </row>
    <row r="495" spans="2:15">
      <c r="B495" s="1381">
        <v>47484</v>
      </c>
      <c r="C495" s="1382" t="e">
        <v>#N/A</v>
      </c>
      <c r="D495" s="1382" t="e">
        <v>#N/A</v>
      </c>
      <c r="E495" s="1382" t="e">
        <v>#N/A</v>
      </c>
      <c r="F495" s="1382" t="e">
        <f t="shared" si="1"/>
        <v>#N/A</v>
      </c>
      <c r="K495" s="1462">
        <v>42552</v>
      </c>
      <c r="L495" s="1463" t="s">
        <v>2127</v>
      </c>
      <c r="M495" s="1464">
        <v>5.2531000000000001E-2</v>
      </c>
      <c r="N495" s="1465">
        <v>1.1885532734998268</v>
      </c>
      <c r="O495" s="1465">
        <v>1.1885532734998268</v>
      </c>
    </row>
    <row r="496" spans="2:15">
      <c r="B496" s="1381">
        <v>47515</v>
      </c>
      <c r="C496" s="1382" t="e">
        <v>#N/A</v>
      </c>
      <c r="D496" s="1382" t="e">
        <v>#N/A</v>
      </c>
      <c r="E496" s="1382" t="e">
        <v>#N/A</v>
      </c>
      <c r="F496" s="1382" t="e">
        <f t="shared" si="1"/>
        <v>#N/A</v>
      </c>
      <c r="K496" s="1462">
        <v>42553</v>
      </c>
      <c r="L496" s="1463"/>
      <c r="M496" s="1464">
        <v>0</v>
      </c>
      <c r="N496" s="1465">
        <v>1.1885532734998268</v>
      </c>
      <c r="O496" s="1465">
        <v>1.1885532734998268</v>
      </c>
    </row>
    <row r="497" spans="2:15">
      <c r="B497" s="1381">
        <v>47543</v>
      </c>
      <c r="C497" s="1382" t="e">
        <v>#N/A</v>
      </c>
      <c r="D497" s="1382" t="e">
        <v>#N/A</v>
      </c>
      <c r="E497" s="1382" t="e">
        <v>#N/A</v>
      </c>
      <c r="F497" s="1382" t="e">
        <f t="shared" si="1"/>
        <v>#N/A</v>
      </c>
      <c r="K497" s="1462">
        <v>42554</v>
      </c>
      <c r="L497" s="1463"/>
      <c r="M497" s="1464">
        <v>0</v>
      </c>
      <c r="N497" s="1465">
        <v>1.1885532734998268</v>
      </c>
      <c r="O497" s="1465">
        <v>1.1885532734998268</v>
      </c>
    </row>
    <row r="498" spans="2:15">
      <c r="B498" s="1381">
        <v>47574</v>
      </c>
      <c r="C498" s="1382" t="e">
        <v>#N/A</v>
      </c>
      <c r="D498" s="1382" t="e">
        <v>#N/A</v>
      </c>
      <c r="E498" s="1382" t="e">
        <v>#N/A</v>
      </c>
      <c r="F498" s="1382" t="e">
        <f t="shared" si="1"/>
        <v>#N/A</v>
      </c>
      <c r="K498" s="1462">
        <v>42555</v>
      </c>
      <c r="L498" s="1463" t="s">
        <v>2127</v>
      </c>
      <c r="M498" s="1464">
        <v>5.2531000000000001E-2</v>
      </c>
      <c r="N498" s="1465">
        <v>1.189177632419929</v>
      </c>
      <c r="O498" s="1465">
        <v>1.189177632419929</v>
      </c>
    </row>
    <row r="499" spans="2:15">
      <c r="B499" s="1381">
        <v>47604</v>
      </c>
      <c r="C499" s="1382" t="e">
        <v>#N/A</v>
      </c>
      <c r="D499" s="1382" t="e">
        <v>#N/A</v>
      </c>
      <c r="E499" s="1382" t="e">
        <v>#N/A</v>
      </c>
      <c r="F499" s="1382" t="e">
        <f t="shared" si="1"/>
        <v>#N/A</v>
      </c>
      <c r="K499" s="1462">
        <v>42556</v>
      </c>
      <c r="L499" s="1463" t="s">
        <v>2127</v>
      </c>
      <c r="M499" s="1464">
        <v>5.2531000000000001E-2</v>
      </c>
      <c r="N499" s="1465">
        <v>1.1898023193220155</v>
      </c>
      <c r="O499" s="1465">
        <v>1.1898023193220155</v>
      </c>
    </row>
    <row r="500" spans="2:15">
      <c r="B500" s="1381">
        <v>47635</v>
      </c>
      <c r="C500" s="1382" t="e">
        <v>#N/A</v>
      </c>
      <c r="D500" s="1382" t="e">
        <v>#N/A</v>
      </c>
      <c r="E500" s="1382" t="e">
        <v>#N/A</v>
      </c>
      <c r="F500" s="1382" t="e">
        <f t="shared" si="1"/>
        <v>#N/A</v>
      </c>
      <c r="K500" s="1462">
        <v>42557</v>
      </c>
      <c r="L500" s="1463" t="s">
        <v>2127</v>
      </c>
      <c r="M500" s="1464">
        <v>5.2531000000000001E-2</v>
      </c>
      <c r="N500" s="1465">
        <v>1.1904273343783787</v>
      </c>
      <c r="O500" s="1465">
        <v>1.1904273343783787</v>
      </c>
    </row>
    <row r="501" spans="2:15">
      <c r="K501" s="1462">
        <v>42558</v>
      </c>
      <c r="L501" s="1463" t="s">
        <v>2127</v>
      </c>
      <c r="M501" s="1464">
        <v>5.2531000000000001E-2</v>
      </c>
      <c r="N501" s="1465">
        <v>1.191052677761401</v>
      </c>
      <c r="O501" s="1465">
        <v>1.191052677761401</v>
      </c>
    </row>
    <row r="502" spans="2:15">
      <c r="K502" s="1462">
        <v>42559</v>
      </c>
      <c r="L502" s="1463" t="s">
        <v>2127</v>
      </c>
      <c r="M502" s="1464">
        <v>5.2531000000000001E-2</v>
      </c>
      <c r="N502" s="1465">
        <v>1.1916783496435559</v>
      </c>
      <c r="O502" s="1465">
        <v>1.1916783496435559</v>
      </c>
    </row>
    <row r="503" spans="2:15">
      <c r="K503" s="1462">
        <v>42560</v>
      </c>
      <c r="L503" s="1463"/>
      <c r="M503" s="1464">
        <v>0</v>
      </c>
      <c r="N503" s="1465">
        <v>1.1916783496435559</v>
      </c>
      <c r="O503" s="1465">
        <v>1.1916783496435559</v>
      </c>
    </row>
    <row r="504" spans="2:15">
      <c r="K504" s="1462">
        <v>42561</v>
      </c>
      <c r="L504" s="1463"/>
      <c r="M504" s="1464">
        <v>0</v>
      </c>
      <c r="N504" s="1465">
        <v>1.1916783496435559</v>
      </c>
      <c r="O504" s="1465">
        <v>1.1916783496435559</v>
      </c>
    </row>
    <row r="505" spans="2:15">
      <c r="K505" s="1462">
        <v>42562</v>
      </c>
      <c r="L505" s="1463" t="s">
        <v>2127</v>
      </c>
      <c r="M505" s="1464">
        <v>5.2531000000000001E-2</v>
      </c>
      <c r="N505" s="1465">
        <v>1.1923043501974071</v>
      </c>
      <c r="O505" s="1465">
        <v>1.1923043501974071</v>
      </c>
    </row>
    <row r="506" spans="2:15">
      <c r="K506" s="1462">
        <v>42563</v>
      </c>
      <c r="L506" s="1463" t="s">
        <v>2127</v>
      </c>
      <c r="M506" s="1464">
        <v>5.2531000000000001E-2</v>
      </c>
      <c r="N506" s="1465">
        <v>1.1929306795956094</v>
      </c>
      <c r="O506" s="1465">
        <v>1.1929306795956094</v>
      </c>
    </row>
    <row r="507" spans="2:15">
      <c r="K507" s="1462">
        <v>42564</v>
      </c>
      <c r="L507" s="1463" t="s">
        <v>2127</v>
      </c>
      <c r="M507" s="1464">
        <v>5.2531000000000001E-2</v>
      </c>
      <c r="N507" s="1465">
        <v>1.1935573380109077</v>
      </c>
      <c r="O507" s="1465">
        <v>1.1935573380109077</v>
      </c>
    </row>
    <row r="508" spans="2:15">
      <c r="K508" s="1462">
        <v>42565</v>
      </c>
      <c r="L508" s="1463" t="s">
        <v>2127</v>
      </c>
      <c r="M508" s="1464">
        <v>5.2531000000000001E-2</v>
      </c>
      <c r="N508" s="1465">
        <v>1.1941843256161382</v>
      </c>
      <c r="O508" s="1465">
        <v>1.1941843256161382</v>
      </c>
    </row>
    <row r="509" spans="2:15">
      <c r="K509" s="1462">
        <v>42566</v>
      </c>
      <c r="L509" s="1463" t="s">
        <v>2127</v>
      </c>
      <c r="M509" s="1464">
        <v>5.2531000000000001E-2</v>
      </c>
      <c r="N509" s="1465">
        <v>1.1948116425842277</v>
      </c>
      <c r="O509" s="1465">
        <v>1.1948116425842277</v>
      </c>
    </row>
    <row r="510" spans="2:15">
      <c r="K510" s="1462">
        <v>42567</v>
      </c>
      <c r="L510" s="1463"/>
      <c r="M510" s="1464">
        <v>0</v>
      </c>
      <c r="N510" s="1465">
        <v>1.1948116425842277</v>
      </c>
      <c r="O510" s="1465">
        <v>1.1948116425842277</v>
      </c>
    </row>
    <row r="511" spans="2:15">
      <c r="K511" s="1462">
        <v>42568</v>
      </c>
      <c r="L511" s="1463"/>
      <c r="M511" s="1464">
        <v>0</v>
      </c>
      <c r="N511" s="1465">
        <v>1.1948116425842277</v>
      </c>
      <c r="O511" s="1465">
        <v>1.1948116425842277</v>
      </c>
    </row>
    <row r="512" spans="2:15">
      <c r="K512" s="1462">
        <v>42569</v>
      </c>
      <c r="L512" s="1463" t="s">
        <v>2127</v>
      </c>
      <c r="M512" s="1464">
        <v>5.2531000000000001E-2</v>
      </c>
      <c r="N512" s="1465">
        <v>1.1954392890881935</v>
      </c>
      <c r="O512" s="1465">
        <v>1.1954392890881935</v>
      </c>
    </row>
    <row r="513" spans="11:15">
      <c r="K513" s="1462">
        <v>42570</v>
      </c>
      <c r="L513" s="1463" t="s">
        <v>2127</v>
      </c>
      <c r="M513" s="1464">
        <v>5.2531000000000001E-2</v>
      </c>
      <c r="N513" s="1465">
        <v>1.1960672653011444</v>
      </c>
      <c r="O513" s="1465">
        <v>1.1960672653011444</v>
      </c>
    </row>
    <row r="514" spans="11:15">
      <c r="K514" s="1462">
        <v>42571</v>
      </c>
      <c r="L514" s="1463" t="s">
        <v>2127</v>
      </c>
      <c r="M514" s="1464">
        <v>5.2531000000000001E-2</v>
      </c>
      <c r="N514" s="1465">
        <v>1.1966955713962797</v>
      </c>
      <c r="O514" s="1465">
        <v>1.1966955713962797</v>
      </c>
    </row>
    <row r="515" spans="11:15">
      <c r="K515" s="1462">
        <v>42572</v>
      </c>
      <c r="L515" s="1463" t="s">
        <v>2127</v>
      </c>
      <c r="M515" s="1464">
        <v>5.2531000000000001E-2</v>
      </c>
      <c r="N515" s="1465">
        <v>1.19732420754689</v>
      </c>
      <c r="O515" s="1465">
        <v>1.19732420754689</v>
      </c>
    </row>
    <row r="516" spans="11:15">
      <c r="K516" s="1462">
        <v>42573</v>
      </c>
      <c r="L516" s="1463" t="s">
        <v>2127</v>
      </c>
      <c r="M516" s="1464">
        <v>5.2531000000000001E-2</v>
      </c>
      <c r="N516" s="1465">
        <v>1.1979531739263565</v>
      </c>
      <c r="O516" s="1465">
        <v>1.1979531739263565</v>
      </c>
    </row>
    <row r="517" spans="11:15">
      <c r="K517" s="1462">
        <v>42574</v>
      </c>
      <c r="L517" s="1463"/>
      <c r="M517" s="1464">
        <v>0</v>
      </c>
      <c r="N517" s="1465">
        <v>1.1979531739263565</v>
      </c>
      <c r="O517" s="1465">
        <v>1.1979531739263565</v>
      </c>
    </row>
    <row r="518" spans="11:15">
      <c r="K518" s="1462">
        <v>42575</v>
      </c>
      <c r="L518" s="1463"/>
      <c r="M518" s="1464">
        <v>0</v>
      </c>
      <c r="N518" s="1465">
        <v>1.1979531739263565</v>
      </c>
      <c r="O518" s="1465">
        <v>1.1979531739263565</v>
      </c>
    </row>
    <row r="519" spans="11:15">
      <c r="K519" s="1462">
        <v>42576</v>
      </c>
      <c r="L519" s="1463" t="s">
        <v>2127</v>
      </c>
      <c r="M519" s="1464">
        <v>5.2531000000000001E-2</v>
      </c>
      <c r="N519" s="1465">
        <v>1.1985824707081518</v>
      </c>
      <c r="O519" s="1465">
        <v>1.1985824707081518</v>
      </c>
    </row>
    <row r="520" spans="11:15">
      <c r="K520" s="1462">
        <v>42577</v>
      </c>
      <c r="L520" s="1463" t="s">
        <v>2127</v>
      </c>
      <c r="M520" s="1464">
        <v>5.2531000000000001E-2</v>
      </c>
      <c r="N520" s="1465">
        <v>1.1992120980658396</v>
      </c>
      <c r="O520" s="1465">
        <v>1.1992120980658396</v>
      </c>
    </row>
    <row r="521" spans="11:15">
      <c r="K521" s="1462">
        <v>42578</v>
      </c>
      <c r="L521" s="1463" t="s">
        <v>2127</v>
      </c>
      <c r="M521" s="1464">
        <v>5.2531000000000001E-2</v>
      </c>
      <c r="N521" s="1465">
        <v>1.1998420561730745</v>
      </c>
      <c r="O521" s="1465">
        <v>1.1998420561730745</v>
      </c>
    </row>
    <row r="522" spans="11:15">
      <c r="K522" s="1462">
        <v>42579</v>
      </c>
      <c r="L522" s="1463" t="s">
        <v>2127</v>
      </c>
      <c r="M522" s="1464">
        <v>5.2531000000000001E-2</v>
      </c>
      <c r="N522" s="1465">
        <v>1.2004723452036028</v>
      </c>
      <c r="O522" s="1465">
        <v>1.2004723452036028</v>
      </c>
    </row>
    <row r="523" spans="11:15">
      <c r="K523" s="1462">
        <v>42580</v>
      </c>
      <c r="L523" s="1463" t="s">
        <v>2127</v>
      </c>
      <c r="M523" s="1464">
        <v>5.2531000000000001E-2</v>
      </c>
      <c r="N523" s="1465">
        <v>1.2011029653312617</v>
      </c>
      <c r="O523" s="1465">
        <v>1.2011029653312617</v>
      </c>
    </row>
    <row r="524" spans="11:15">
      <c r="K524" s="1462">
        <v>42581</v>
      </c>
      <c r="L524" s="1463"/>
      <c r="M524" s="1464">
        <v>0</v>
      </c>
      <c r="N524" s="1465">
        <v>1.2011029653312617</v>
      </c>
      <c r="O524" s="1465">
        <v>1.2011029653312617</v>
      </c>
    </row>
    <row r="525" spans="11:15">
      <c r="K525" s="1462">
        <v>42582</v>
      </c>
      <c r="L525" s="1463"/>
      <c r="M525" s="1464">
        <v>0</v>
      </c>
      <c r="N525" s="1465">
        <v>1.2011029653312617</v>
      </c>
      <c r="O525" s="1465">
        <v>1.2011029653312617</v>
      </c>
    </row>
    <row r="526" spans="11:15">
      <c r="K526" s="1462">
        <v>42583</v>
      </c>
      <c r="L526" s="1463" t="s">
        <v>2127</v>
      </c>
      <c r="M526" s="1464">
        <v>5.2531000000000001E-2</v>
      </c>
      <c r="N526" s="1465">
        <v>1.2017339167299799</v>
      </c>
      <c r="O526" s="1465">
        <v>1.2017339167299799</v>
      </c>
    </row>
    <row r="527" spans="11:15">
      <c r="K527" s="1462">
        <v>42584</v>
      </c>
      <c r="L527" s="1463" t="s">
        <v>2127</v>
      </c>
      <c r="M527" s="1464">
        <v>5.2531000000000001E-2</v>
      </c>
      <c r="N527" s="1465">
        <v>1.2023651995737772</v>
      </c>
      <c r="O527" s="1465">
        <v>1.2023651995737772</v>
      </c>
    </row>
    <row r="528" spans="11:15">
      <c r="K528" s="1462">
        <v>42585</v>
      </c>
      <c r="L528" s="1463" t="s">
        <v>2127</v>
      </c>
      <c r="M528" s="1464">
        <v>5.2531000000000001E-2</v>
      </c>
      <c r="N528" s="1465">
        <v>1.2029968140367653</v>
      </c>
      <c r="O528" s="1465">
        <v>1.2029968140367653</v>
      </c>
    </row>
    <row r="529" spans="11:15">
      <c r="K529" s="1462">
        <v>42586</v>
      </c>
      <c r="L529" s="1463" t="s">
        <v>2127</v>
      </c>
      <c r="M529" s="1464">
        <v>5.2531000000000001E-2</v>
      </c>
      <c r="N529" s="1465">
        <v>1.203628760293147</v>
      </c>
      <c r="O529" s="1465">
        <v>1.203628760293147</v>
      </c>
    </row>
    <row r="530" spans="11:15">
      <c r="K530" s="1462">
        <v>42587</v>
      </c>
      <c r="L530" s="1463" t="s">
        <v>2127</v>
      </c>
      <c r="M530" s="1464">
        <v>5.2531000000000001E-2</v>
      </c>
      <c r="N530" s="1465">
        <v>1.2042610385172166</v>
      </c>
      <c r="O530" s="1465">
        <v>1.2042610385172166</v>
      </c>
    </row>
    <row r="531" spans="11:15">
      <c r="K531" s="1462">
        <v>42588</v>
      </c>
      <c r="L531" s="1463"/>
      <c r="M531" s="1464">
        <v>0</v>
      </c>
      <c r="N531" s="1465">
        <v>1.2042610385172166</v>
      </c>
      <c r="O531" s="1465">
        <v>1.2042610385172166</v>
      </c>
    </row>
    <row r="532" spans="11:15">
      <c r="K532" s="1462">
        <v>42589</v>
      </c>
      <c r="L532" s="1463"/>
      <c r="M532" s="1464">
        <v>0</v>
      </c>
      <c r="N532" s="1465">
        <v>1.2042610385172166</v>
      </c>
      <c r="O532" s="1465">
        <v>1.2042610385172166</v>
      </c>
    </row>
    <row r="533" spans="11:15">
      <c r="K533" s="1462">
        <v>42590</v>
      </c>
      <c r="L533" s="1463" t="s">
        <v>2127</v>
      </c>
      <c r="M533" s="1464">
        <v>5.2531000000000001E-2</v>
      </c>
      <c r="N533" s="1465">
        <v>1.2048936488833599</v>
      </c>
      <c r="O533" s="1465">
        <v>1.2048936488833599</v>
      </c>
    </row>
    <row r="534" spans="11:15">
      <c r="K534" s="1462">
        <v>42591</v>
      </c>
      <c r="L534" s="1463" t="s">
        <v>2127</v>
      </c>
      <c r="M534" s="1464">
        <v>5.2531000000000001E-2</v>
      </c>
      <c r="N534" s="1465">
        <v>1.2055265915660549</v>
      </c>
      <c r="O534" s="1465">
        <v>1.2055265915660549</v>
      </c>
    </row>
    <row r="535" spans="11:15">
      <c r="K535" s="1462">
        <v>42592</v>
      </c>
      <c r="L535" s="1463" t="s">
        <v>2127</v>
      </c>
      <c r="M535" s="1464">
        <v>5.2531000000000001E-2</v>
      </c>
      <c r="N535" s="1465">
        <v>1.2061598667398705</v>
      </c>
      <c r="O535" s="1465">
        <v>1.2061598667398705</v>
      </c>
    </row>
    <row r="536" spans="11:15">
      <c r="K536" s="1462">
        <v>42593</v>
      </c>
      <c r="L536" s="1463" t="s">
        <v>2127</v>
      </c>
      <c r="M536" s="1464">
        <v>5.2531000000000001E-2</v>
      </c>
      <c r="N536" s="1465">
        <v>1.2067934745794677</v>
      </c>
      <c r="O536" s="1465">
        <v>1.2067934745794677</v>
      </c>
    </row>
    <row r="537" spans="11:15">
      <c r="K537" s="1462">
        <v>42594</v>
      </c>
      <c r="L537" s="1463" t="s">
        <v>2127</v>
      </c>
      <c r="M537" s="1464">
        <v>5.2531000000000001E-2</v>
      </c>
      <c r="N537" s="1465">
        <v>1.2074274152595992</v>
      </c>
      <c r="O537" s="1465">
        <v>1.2074274152595992</v>
      </c>
    </row>
    <row r="538" spans="11:15">
      <c r="K538" s="1462">
        <v>42595</v>
      </c>
      <c r="L538" s="1463"/>
      <c r="M538" s="1464">
        <v>0</v>
      </c>
      <c r="N538" s="1465">
        <v>1.2074274152595992</v>
      </c>
      <c r="O538" s="1465">
        <v>1.2074274152595992</v>
      </c>
    </row>
    <row r="539" spans="11:15">
      <c r="K539" s="1462">
        <v>42596</v>
      </c>
      <c r="L539" s="1463"/>
      <c r="M539" s="1464">
        <v>0</v>
      </c>
      <c r="N539" s="1465">
        <v>1.2074274152595992</v>
      </c>
      <c r="O539" s="1465">
        <v>1.2074274152595992</v>
      </c>
    </row>
    <row r="540" spans="11:15">
      <c r="K540" s="1462">
        <v>42597</v>
      </c>
      <c r="L540" s="1463" t="s">
        <v>2127</v>
      </c>
      <c r="M540" s="1464">
        <v>5.2531000000000001E-2</v>
      </c>
      <c r="N540" s="1465">
        <v>1.2080616889551092</v>
      </c>
      <c r="O540" s="1465">
        <v>1.2080616889551092</v>
      </c>
    </row>
    <row r="541" spans="11:15">
      <c r="K541" s="1462">
        <v>42598</v>
      </c>
      <c r="L541" s="1463" t="s">
        <v>2127</v>
      </c>
      <c r="M541" s="1464">
        <v>5.2531000000000001E-2</v>
      </c>
      <c r="N541" s="1465">
        <v>1.2086962958409342</v>
      </c>
      <c r="O541" s="1465">
        <v>1.2086962958409342</v>
      </c>
    </row>
    <row r="542" spans="11:15">
      <c r="K542" s="1462">
        <v>42599</v>
      </c>
      <c r="L542" s="1463" t="s">
        <v>2127</v>
      </c>
      <c r="M542" s="1464">
        <v>5.2531000000000001E-2</v>
      </c>
      <c r="N542" s="1465">
        <v>1.2093312360921025</v>
      </c>
      <c r="O542" s="1465">
        <v>1.2093312360921025</v>
      </c>
    </row>
    <row r="543" spans="11:15">
      <c r="K543" s="1462">
        <v>42600</v>
      </c>
      <c r="L543" s="1463" t="s">
        <v>2127</v>
      </c>
      <c r="M543" s="1464">
        <v>5.2531000000000001E-2</v>
      </c>
      <c r="N543" s="1465">
        <v>1.209966509883734</v>
      </c>
      <c r="O543" s="1465">
        <v>1.209966509883734</v>
      </c>
    </row>
    <row r="544" spans="11:15">
      <c r="K544" s="1462">
        <v>42601</v>
      </c>
      <c r="L544" s="1463" t="s">
        <v>2127</v>
      </c>
      <c r="M544" s="1464">
        <v>5.2531000000000001E-2</v>
      </c>
      <c r="N544" s="1465">
        <v>1.2106021173910411</v>
      </c>
      <c r="O544" s="1465">
        <v>1.2106021173910411</v>
      </c>
    </row>
    <row r="545" spans="11:15">
      <c r="K545" s="1462">
        <v>42602</v>
      </c>
      <c r="L545" s="1463"/>
      <c r="M545" s="1464">
        <v>0</v>
      </c>
      <c r="N545" s="1465">
        <v>1.2106021173910411</v>
      </c>
      <c r="O545" s="1465">
        <v>1.2106021173910411</v>
      </c>
    </row>
    <row r="546" spans="11:15">
      <c r="K546" s="1462">
        <v>42603</v>
      </c>
      <c r="L546" s="1463"/>
      <c r="M546" s="1464">
        <v>0</v>
      </c>
      <c r="N546" s="1465">
        <v>1.2106021173910411</v>
      </c>
      <c r="O546" s="1465">
        <v>1.2106021173910411</v>
      </c>
    </row>
    <row r="547" spans="11:15">
      <c r="K547" s="1462">
        <v>42604</v>
      </c>
      <c r="L547" s="1463" t="s">
        <v>2127</v>
      </c>
      <c r="M547" s="1464">
        <v>5.2531000000000001E-2</v>
      </c>
      <c r="N547" s="1465">
        <v>1.2112380587893277</v>
      </c>
      <c r="O547" s="1465">
        <v>1.2112380587893277</v>
      </c>
    </row>
    <row r="548" spans="11:15">
      <c r="K548" s="1462">
        <v>42605</v>
      </c>
      <c r="L548" s="1463" t="s">
        <v>2127</v>
      </c>
      <c r="M548" s="1464">
        <v>5.2531000000000001E-2</v>
      </c>
      <c r="N548" s="1465">
        <v>1.2118743342539904</v>
      </c>
      <c r="O548" s="1465">
        <v>1.2118743342539904</v>
      </c>
    </row>
    <row r="549" spans="11:15">
      <c r="K549" s="1462">
        <v>42606</v>
      </c>
      <c r="L549" s="1463" t="s">
        <v>2127</v>
      </c>
      <c r="M549" s="1464">
        <v>5.2531000000000001E-2</v>
      </c>
      <c r="N549" s="1465">
        <v>1.2125109439605173</v>
      </c>
      <c r="O549" s="1465">
        <v>1.2125109439605173</v>
      </c>
    </row>
    <row r="550" spans="11:15">
      <c r="K550" s="1462">
        <v>42607</v>
      </c>
      <c r="L550" s="1463" t="s">
        <v>2127</v>
      </c>
      <c r="M550" s="1464">
        <v>5.2531000000000001E-2</v>
      </c>
      <c r="N550" s="1465">
        <v>1.2131478880844893</v>
      </c>
      <c r="O550" s="1465">
        <v>1.2131478880844893</v>
      </c>
    </row>
    <row r="551" spans="11:15">
      <c r="K551" s="1462">
        <v>42608</v>
      </c>
      <c r="L551" s="1463" t="s">
        <v>2127</v>
      </c>
      <c r="M551" s="1464">
        <v>5.2531000000000001E-2</v>
      </c>
      <c r="N551" s="1465">
        <v>1.2137851668015789</v>
      </c>
      <c r="O551" s="1465">
        <v>1.2137851668015789</v>
      </c>
    </row>
    <row r="552" spans="11:15">
      <c r="K552" s="1462">
        <v>42609</v>
      </c>
      <c r="L552" s="1463"/>
      <c r="M552" s="1464">
        <v>0</v>
      </c>
      <c r="N552" s="1465">
        <v>1.2137851668015789</v>
      </c>
      <c r="O552" s="1465">
        <v>1.2137851668015789</v>
      </c>
    </row>
    <row r="553" spans="11:15">
      <c r="K553" s="1462">
        <v>42610</v>
      </c>
      <c r="L553" s="1463"/>
      <c r="M553" s="1464">
        <v>0</v>
      </c>
      <c r="N553" s="1465">
        <v>1.2137851668015789</v>
      </c>
      <c r="O553" s="1465">
        <v>1.2137851668015789</v>
      </c>
    </row>
    <row r="554" spans="11:15">
      <c r="K554" s="1462">
        <v>42611</v>
      </c>
      <c r="L554" s="1463" t="s">
        <v>2127</v>
      </c>
      <c r="M554" s="1464">
        <v>5.2531000000000001E-2</v>
      </c>
      <c r="N554" s="1465">
        <v>1.2144227802875514</v>
      </c>
      <c r="O554" s="1465">
        <v>1.2144227802875514</v>
      </c>
    </row>
    <row r="555" spans="11:15">
      <c r="K555" s="1462">
        <v>42612</v>
      </c>
      <c r="L555" s="1463" t="s">
        <v>2127</v>
      </c>
      <c r="M555" s="1464">
        <v>5.2531000000000001E-2</v>
      </c>
      <c r="N555" s="1465">
        <v>1.2150607287182642</v>
      </c>
      <c r="O555" s="1465">
        <v>1.2150607287182642</v>
      </c>
    </row>
    <row r="556" spans="11:15">
      <c r="K556" s="1462">
        <v>42613</v>
      </c>
      <c r="L556" s="1463" t="s">
        <v>2127</v>
      </c>
      <c r="M556" s="1464">
        <v>5.2531000000000001E-2</v>
      </c>
      <c r="N556" s="1465">
        <v>1.2156990122696671</v>
      </c>
      <c r="O556" s="1465">
        <v>1.2156990122696671</v>
      </c>
    </row>
    <row r="557" spans="11:15">
      <c r="K557" s="1462">
        <v>42614</v>
      </c>
      <c r="L557" s="1463" t="s">
        <v>2127</v>
      </c>
      <c r="M557" s="1464">
        <v>5.2531000000000001E-2</v>
      </c>
      <c r="N557" s="1465">
        <v>1.2163376311178025</v>
      </c>
      <c r="O557" s="1465">
        <v>1.2163376311178025</v>
      </c>
    </row>
    <row r="558" spans="11:15">
      <c r="K558" s="1462">
        <v>42615</v>
      </c>
      <c r="L558" s="1463" t="s">
        <v>2127</v>
      </c>
      <c r="M558" s="1464">
        <v>5.2531000000000001E-2</v>
      </c>
      <c r="N558" s="1465">
        <v>1.216976585438805</v>
      </c>
      <c r="O558" s="1465">
        <v>1.216976585438805</v>
      </c>
    </row>
    <row r="559" spans="11:15">
      <c r="K559" s="1462">
        <v>42616</v>
      </c>
      <c r="L559" s="1463"/>
      <c r="M559" s="1464">
        <v>0</v>
      </c>
      <c r="N559" s="1465">
        <v>1.216976585438805</v>
      </c>
      <c r="O559" s="1465">
        <v>1.216976585438805</v>
      </c>
    </row>
    <row r="560" spans="11:15">
      <c r="K560" s="1462">
        <v>42617</v>
      </c>
      <c r="L560" s="1463"/>
      <c r="M560" s="1464">
        <v>0</v>
      </c>
      <c r="N560" s="1465">
        <v>1.216976585438805</v>
      </c>
      <c r="O560" s="1465">
        <v>1.216976585438805</v>
      </c>
    </row>
    <row r="561" spans="11:15">
      <c r="K561" s="1462">
        <v>42618</v>
      </c>
      <c r="L561" s="1463" t="s">
        <v>2127</v>
      </c>
      <c r="M561" s="1464">
        <v>5.2531000000000001E-2</v>
      </c>
      <c r="N561" s="1465">
        <v>1.2176158754089019</v>
      </c>
      <c r="O561" s="1465">
        <v>1.2176158754089019</v>
      </c>
    </row>
    <row r="562" spans="11:15">
      <c r="K562" s="1462">
        <v>42619</v>
      </c>
      <c r="L562" s="1463" t="s">
        <v>2127</v>
      </c>
      <c r="M562" s="1464">
        <v>5.2531000000000001E-2</v>
      </c>
      <c r="N562" s="1465">
        <v>1.2182555012044129</v>
      </c>
      <c r="O562" s="1465">
        <v>1.2182555012044129</v>
      </c>
    </row>
    <row r="563" spans="11:15">
      <c r="K563" s="1462">
        <v>42620</v>
      </c>
      <c r="L563" s="1463"/>
      <c r="M563" s="1464">
        <v>0</v>
      </c>
      <c r="N563" s="1465">
        <v>1.2182555012044129</v>
      </c>
      <c r="O563" s="1465">
        <v>1.2182555012044129</v>
      </c>
    </row>
    <row r="564" spans="11:15">
      <c r="K564" s="1462">
        <v>42621</v>
      </c>
      <c r="L564" s="1463" t="s">
        <v>2127</v>
      </c>
      <c r="M564" s="1464">
        <v>5.2531000000000001E-2</v>
      </c>
      <c r="N564" s="1465">
        <v>1.2188954630017506</v>
      </c>
      <c r="O564" s="1465">
        <v>1.2188954630017506</v>
      </c>
    </row>
    <row r="565" spans="11:15">
      <c r="K565" s="1462">
        <v>42622</v>
      </c>
      <c r="L565" s="1463" t="s">
        <v>2127</v>
      </c>
      <c r="M565" s="1464">
        <v>5.2531000000000001E-2</v>
      </c>
      <c r="N565" s="1465">
        <v>1.21953576097742</v>
      </c>
      <c r="O565" s="1465">
        <v>1.21953576097742</v>
      </c>
    </row>
    <row r="566" spans="11:15">
      <c r="K566" s="1462">
        <v>42623</v>
      </c>
      <c r="L566" s="1463"/>
      <c r="M566" s="1464">
        <v>0</v>
      </c>
      <c r="N566" s="1465">
        <v>1.21953576097742</v>
      </c>
      <c r="O566" s="1465">
        <v>1.21953576097742</v>
      </c>
    </row>
    <row r="567" spans="11:15">
      <c r="K567" s="1462">
        <v>42624</v>
      </c>
      <c r="L567" s="1463"/>
      <c r="M567" s="1464">
        <v>0</v>
      </c>
      <c r="N567" s="1465">
        <v>1.21953576097742</v>
      </c>
      <c r="O567" s="1465">
        <v>1.21953576097742</v>
      </c>
    </row>
    <row r="568" spans="11:15">
      <c r="K568" s="1462">
        <v>42625</v>
      </c>
      <c r="L568" s="1463" t="s">
        <v>2127</v>
      </c>
      <c r="M568" s="1464">
        <v>5.2531000000000001E-2</v>
      </c>
      <c r="N568" s="1465">
        <v>1.2201763953080191</v>
      </c>
      <c r="O568" s="1465">
        <v>1.2201763953080191</v>
      </c>
    </row>
    <row r="569" spans="11:15">
      <c r="K569" s="1462">
        <v>42626</v>
      </c>
      <c r="L569" s="1463" t="s">
        <v>2127</v>
      </c>
      <c r="M569" s="1464">
        <v>5.2531000000000001E-2</v>
      </c>
      <c r="N569" s="1465">
        <v>1.2208173661702384</v>
      </c>
      <c r="O569" s="1465">
        <v>1.2208173661702384</v>
      </c>
    </row>
    <row r="570" spans="11:15">
      <c r="K570" s="1462">
        <v>42627</v>
      </c>
      <c r="L570" s="1463" t="s">
        <v>2127</v>
      </c>
      <c r="M570" s="1464">
        <v>5.2531000000000001E-2</v>
      </c>
      <c r="N570" s="1465">
        <v>1.2214586737408613</v>
      </c>
      <c r="O570" s="1465">
        <v>1.2214586737408613</v>
      </c>
    </row>
    <row r="571" spans="11:15">
      <c r="K571" s="1462">
        <v>42628</v>
      </c>
      <c r="L571" s="1463" t="s">
        <v>2127</v>
      </c>
      <c r="M571" s="1464">
        <v>5.2531000000000001E-2</v>
      </c>
      <c r="N571" s="1465">
        <v>1.222100318196764</v>
      </c>
      <c r="O571" s="1465">
        <v>1.222100318196764</v>
      </c>
    </row>
    <row r="572" spans="11:15">
      <c r="K572" s="1462">
        <v>42629</v>
      </c>
      <c r="L572" s="1463" t="s">
        <v>2127</v>
      </c>
      <c r="M572" s="1464">
        <v>5.2531000000000001E-2</v>
      </c>
      <c r="N572" s="1465">
        <v>1.222742299714916</v>
      </c>
      <c r="O572" s="1465">
        <v>1.222742299714916</v>
      </c>
    </row>
    <row r="573" spans="11:15">
      <c r="K573" s="1462">
        <v>42630</v>
      </c>
      <c r="L573" s="1463"/>
      <c r="M573" s="1464">
        <v>0</v>
      </c>
      <c r="N573" s="1465">
        <v>1.222742299714916</v>
      </c>
      <c r="O573" s="1465">
        <v>1.222742299714916</v>
      </c>
    </row>
    <row r="574" spans="11:15">
      <c r="K574" s="1462">
        <v>42631</v>
      </c>
      <c r="L574" s="1463"/>
      <c r="M574" s="1464">
        <v>0</v>
      </c>
      <c r="N574" s="1465">
        <v>1.222742299714916</v>
      </c>
      <c r="O574" s="1465">
        <v>1.222742299714916</v>
      </c>
    </row>
    <row r="575" spans="11:15">
      <c r="K575" s="1462">
        <v>42632</v>
      </c>
      <c r="L575" s="1463" t="s">
        <v>2127</v>
      </c>
      <c r="M575" s="1464">
        <v>5.2531000000000001E-2</v>
      </c>
      <c r="N575" s="1465">
        <v>1.2233846184723793</v>
      </c>
      <c r="O575" s="1465">
        <v>1.2233846184723793</v>
      </c>
    </row>
    <row r="576" spans="11:15">
      <c r="K576" s="1462">
        <v>42633</v>
      </c>
      <c r="L576" s="1463" t="s">
        <v>2127</v>
      </c>
      <c r="M576" s="1464">
        <v>5.2531000000000001E-2</v>
      </c>
      <c r="N576" s="1465">
        <v>1.224027274646309</v>
      </c>
      <c r="O576" s="1465">
        <v>1.224027274646309</v>
      </c>
    </row>
    <row r="577" spans="11:15">
      <c r="K577" s="1462">
        <v>42634</v>
      </c>
      <c r="L577" s="1463" t="s">
        <v>2127</v>
      </c>
      <c r="M577" s="1464">
        <v>5.2531000000000001E-2</v>
      </c>
      <c r="N577" s="1465">
        <v>1.2246702684139534</v>
      </c>
      <c r="O577" s="1465">
        <v>1.2246702684139534</v>
      </c>
    </row>
    <row r="578" spans="11:15">
      <c r="K578" s="1462">
        <v>42635</v>
      </c>
      <c r="L578" s="1463" t="s">
        <v>2127</v>
      </c>
      <c r="M578" s="1464">
        <v>5.2531000000000001E-2</v>
      </c>
      <c r="N578" s="1465">
        <v>1.2253135999526539</v>
      </c>
      <c r="O578" s="1465">
        <v>1.2253135999526539</v>
      </c>
    </row>
    <row r="579" spans="11:15">
      <c r="K579" s="1462">
        <v>42636</v>
      </c>
      <c r="L579" s="1463" t="s">
        <v>2127</v>
      </c>
      <c r="M579" s="1464">
        <v>5.2531000000000001E-2</v>
      </c>
      <c r="N579" s="1465">
        <v>1.2259572694398451</v>
      </c>
      <c r="O579" s="1465">
        <v>1.2259572694398451</v>
      </c>
    </row>
    <row r="580" spans="11:15">
      <c r="K580" s="1462">
        <v>42637</v>
      </c>
      <c r="L580" s="1463"/>
      <c r="M580" s="1464">
        <v>0</v>
      </c>
      <c r="N580" s="1465">
        <v>1.2259572694398451</v>
      </c>
      <c r="O580" s="1465">
        <v>1.2259572694398451</v>
      </c>
    </row>
    <row r="581" spans="11:15">
      <c r="K581" s="1462">
        <v>42638</v>
      </c>
      <c r="L581" s="1463"/>
      <c r="M581" s="1464">
        <v>0</v>
      </c>
      <c r="N581" s="1465">
        <v>1.2259572694398451</v>
      </c>
      <c r="O581" s="1465">
        <v>1.2259572694398451</v>
      </c>
    </row>
    <row r="582" spans="11:15">
      <c r="K582" s="1462">
        <v>42639</v>
      </c>
      <c r="L582" s="1463" t="s">
        <v>2127</v>
      </c>
      <c r="M582" s="1464">
        <v>5.2531000000000001E-2</v>
      </c>
      <c r="N582" s="1465">
        <v>1.2266012770530546</v>
      </c>
      <c r="O582" s="1465">
        <v>1.2266012770530546</v>
      </c>
    </row>
    <row r="583" spans="11:15">
      <c r="K583" s="1462">
        <v>42640</v>
      </c>
      <c r="L583" s="1463" t="s">
        <v>2127</v>
      </c>
      <c r="M583" s="1464">
        <v>5.2531000000000001E-2</v>
      </c>
      <c r="N583" s="1465">
        <v>1.2272456229699034</v>
      </c>
      <c r="O583" s="1465">
        <v>1.2272456229699034</v>
      </c>
    </row>
    <row r="584" spans="11:15">
      <c r="K584" s="1462">
        <v>42641</v>
      </c>
      <c r="L584" s="1463" t="s">
        <v>2127</v>
      </c>
      <c r="M584" s="1464">
        <v>5.2531000000000001E-2</v>
      </c>
      <c r="N584" s="1465">
        <v>1.2278903073681058</v>
      </c>
      <c r="O584" s="1465">
        <v>1.2278903073681058</v>
      </c>
    </row>
    <row r="585" spans="11:15">
      <c r="K585" s="1462">
        <v>42642</v>
      </c>
      <c r="L585" s="1463" t="s">
        <v>2127</v>
      </c>
      <c r="M585" s="1464">
        <v>5.2531000000000001E-2</v>
      </c>
      <c r="N585" s="1465">
        <v>1.2285353304254694</v>
      </c>
      <c r="O585" s="1465">
        <v>1.2285353304254694</v>
      </c>
    </row>
    <row r="586" spans="11:15">
      <c r="K586" s="1462">
        <v>42643</v>
      </c>
      <c r="L586" s="1463" t="s">
        <v>2127</v>
      </c>
      <c r="M586" s="1464">
        <v>5.2531000000000001E-2</v>
      </c>
      <c r="N586" s="1465">
        <v>1.2291806923198951</v>
      </c>
      <c r="O586" s="1465">
        <v>1.2291806923198951</v>
      </c>
    </row>
    <row r="587" spans="11:15">
      <c r="K587" s="1462">
        <v>42644</v>
      </c>
      <c r="L587" s="1463"/>
      <c r="M587" s="1464">
        <v>0</v>
      </c>
      <c r="N587" s="1465">
        <v>1.2291806923198951</v>
      </c>
      <c r="O587" s="1465">
        <v>1.2291806923198951</v>
      </c>
    </row>
    <row r="588" spans="11:15">
      <c r="K588" s="1462">
        <v>42645</v>
      </c>
      <c r="L588" s="1463"/>
      <c r="M588" s="1464">
        <v>0</v>
      </c>
      <c r="N588" s="1465">
        <v>1.2291806923198951</v>
      </c>
      <c r="O588" s="1465">
        <v>1.2291806923198951</v>
      </c>
    </row>
    <row r="589" spans="11:15">
      <c r="K589" s="1462">
        <v>42646</v>
      </c>
      <c r="L589" s="1463" t="s">
        <v>2127</v>
      </c>
      <c r="M589" s="1464">
        <v>5.2531000000000001E-2</v>
      </c>
      <c r="N589" s="1465">
        <v>1.2298263932293776</v>
      </c>
      <c r="O589" s="1465">
        <v>1.2298263932293776</v>
      </c>
    </row>
    <row r="590" spans="11:15">
      <c r="K590" s="1462">
        <v>42647</v>
      </c>
      <c r="L590" s="1463" t="s">
        <v>2127</v>
      </c>
      <c r="M590" s="1464">
        <v>5.2531000000000001E-2</v>
      </c>
      <c r="N590" s="1465">
        <v>1.230472433332005</v>
      </c>
      <c r="O590" s="1465">
        <v>1.230472433332005</v>
      </c>
    </row>
    <row r="591" spans="11:15">
      <c r="K591" s="1462">
        <v>42648</v>
      </c>
      <c r="L591" s="1463" t="s">
        <v>2127</v>
      </c>
      <c r="M591" s="1464">
        <v>5.2531000000000001E-2</v>
      </c>
      <c r="N591" s="1465">
        <v>1.2311188128059587</v>
      </c>
      <c r="O591" s="1465">
        <v>1.2311188128059587</v>
      </c>
    </row>
    <row r="592" spans="11:15">
      <c r="K592" s="1462">
        <v>42649</v>
      </c>
      <c r="L592" s="1463" t="s">
        <v>2127</v>
      </c>
      <c r="M592" s="1464">
        <v>5.2531000000000001E-2</v>
      </c>
      <c r="N592" s="1465">
        <v>1.2317655318295138</v>
      </c>
      <c r="O592" s="1465">
        <v>1.2317655318295138</v>
      </c>
    </row>
    <row r="593" spans="11:15">
      <c r="K593" s="1462">
        <v>42650</v>
      </c>
      <c r="L593" s="1463" t="s">
        <v>2127</v>
      </c>
      <c r="M593" s="1464">
        <v>5.2531000000000001E-2</v>
      </c>
      <c r="N593" s="1465">
        <v>1.232412590581039</v>
      </c>
      <c r="O593" s="1465">
        <v>1.232412590581039</v>
      </c>
    </row>
    <row r="594" spans="11:15">
      <c r="K594" s="1462">
        <v>42651</v>
      </c>
      <c r="L594" s="1463"/>
      <c r="M594" s="1464">
        <v>0</v>
      </c>
      <c r="N594" s="1465">
        <v>1.232412590581039</v>
      </c>
      <c r="O594" s="1465">
        <v>1.232412590581039</v>
      </c>
    </row>
    <row r="595" spans="11:15">
      <c r="K595" s="1462">
        <v>42652</v>
      </c>
      <c r="L595" s="1463"/>
      <c r="M595" s="1464">
        <v>0</v>
      </c>
      <c r="N595" s="1465">
        <v>1.232412590581039</v>
      </c>
      <c r="O595" s="1465">
        <v>1.232412590581039</v>
      </c>
    </row>
    <row r="596" spans="11:15">
      <c r="K596" s="1462">
        <v>42653</v>
      </c>
      <c r="L596" s="1463" t="s">
        <v>2127</v>
      </c>
      <c r="M596" s="1464">
        <v>5.2531000000000001E-2</v>
      </c>
      <c r="N596" s="1465">
        <v>1.2330599892389971</v>
      </c>
      <c r="O596" s="1465">
        <v>1.2330599892389971</v>
      </c>
    </row>
    <row r="597" spans="11:15">
      <c r="K597" s="1462">
        <v>42654</v>
      </c>
      <c r="L597" s="1463" t="s">
        <v>2127</v>
      </c>
      <c r="M597" s="1464">
        <v>5.2531000000000001E-2</v>
      </c>
      <c r="N597" s="1465">
        <v>1.2337077279819442</v>
      </c>
      <c r="O597" s="1465">
        <v>1.2337077279819442</v>
      </c>
    </row>
    <row r="598" spans="11:15">
      <c r="K598" s="1462">
        <v>42655</v>
      </c>
      <c r="L598" s="1463"/>
      <c r="M598" s="1464">
        <v>0</v>
      </c>
      <c r="N598" s="1465">
        <v>1.2337077279819442</v>
      </c>
      <c r="O598" s="1465">
        <v>1.2337077279819442</v>
      </c>
    </row>
    <row r="599" spans="11:15">
      <c r="K599" s="1462">
        <v>42656</v>
      </c>
      <c r="L599" s="1463" t="s">
        <v>2127</v>
      </c>
      <c r="M599" s="1464">
        <v>5.2531000000000001E-2</v>
      </c>
      <c r="N599" s="1465">
        <v>1.2343558069885303</v>
      </c>
      <c r="O599" s="1465">
        <v>1.2343558069885303</v>
      </c>
    </row>
    <row r="600" spans="11:15">
      <c r="K600" s="1462">
        <v>42657</v>
      </c>
      <c r="L600" s="1463" t="s">
        <v>2127</v>
      </c>
      <c r="M600" s="1464">
        <v>5.2531000000000001E-2</v>
      </c>
      <c r="N600" s="1465">
        <v>1.2350042264374994</v>
      </c>
      <c r="O600" s="1465">
        <v>1.2350042264374994</v>
      </c>
    </row>
    <row r="601" spans="11:15">
      <c r="K601" s="1462">
        <v>42658</v>
      </c>
      <c r="L601" s="1463"/>
      <c r="M601" s="1464">
        <v>0</v>
      </c>
      <c r="N601" s="1465">
        <v>1.2350042264374994</v>
      </c>
      <c r="O601" s="1465">
        <v>1.2350042264374994</v>
      </c>
    </row>
    <row r="602" spans="11:15">
      <c r="K602" s="1462">
        <v>42659</v>
      </c>
      <c r="L602" s="1463"/>
      <c r="M602" s="1464">
        <v>0</v>
      </c>
      <c r="N602" s="1465">
        <v>1.2350042264374994</v>
      </c>
      <c r="O602" s="1465">
        <v>1.2350042264374994</v>
      </c>
    </row>
    <row r="603" spans="11:15">
      <c r="K603" s="1462">
        <v>42660</v>
      </c>
      <c r="L603" s="1463" t="s">
        <v>2127</v>
      </c>
      <c r="M603" s="1464">
        <v>5.2531000000000001E-2</v>
      </c>
      <c r="N603" s="1465">
        <v>1.2356529865076893</v>
      </c>
      <c r="O603" s="1465">
        <v>1.2356529865076893</v>
      </c>
    </row>
    <row r="604" spans="11:15">
      <c r="K604" s="1462">
        <v>42661</v>
      </c>
      <c r="L604" s="1463" t="s">
        <v>2127</v>
      </c>
      <c r="M604" s="1464">
        <v>5.2531000000000001E-2</v>
      </c>
      <c r="N604" s="1465">
        <v>1.2363020873780317</v>
      </c>
      <c r="O604" s="1465">
        <v>1.2363020873780317</v>
      </c>
    </row>
    <row r="605" spans="11:15">
      <c r="K605" s="1462">
        <v>42662</v>
      </c>
      <c r="L605" s="1463" t="s">
        <v>2127</v>
      </c>
      <c r="M605" s="1464">
        <v>5.2531000000000001E-2</v>
      </c>
      <c r="N605" s="1465">
        <v>1.2369515292275524</v>
      </c>
      <c r="O605" s="1465">
        <v>1.2369515292275524</v>
      </c>
    </row>
    <row r="606" spans="11:15">
      <c r="K606" s="1462">
        <v>42663</v>
      </c>
      <c r="L606" s="1463" t="s">
        <v>2127</v>
      </c>
      <c r="M606" s="1464">
        <v>5.1659999999999998E-2</v>
      </c>
      <c r="N606" s="1465">
        <v>1.2375905383875514</v>
      </c>
      <c r="O606" s="1465">
        <v>1.2376013122353708</v>
      </c>
    </row>
    <row r="607" spans="11:15">
      <c r="K607" s="1462">
        <v>42664</v>
      </c>
      <c r="L607" s="1463" t="s">
        <v>2127</v>
      </c>
      <c r="M607" s="1464">
        <v>5.1659999999999998E-2</v>
      </c>
      <c r="N607" s="1465">
        <v>1.2382298776596825</v>
      </c>
      <c r="O607" s="1465">
        <v>1.2382514365807011</v>
      </c>
    </row>
    <row r="608" spans="11:15">
      <c r="K608" s="1462">
        <v>42665</v>
      </c>
      <c r="L608" s="1463"/>
      <c r="M608" s="1464">
        <v>0</v>
      </c>
      <c r="N608" s="1465">
        <v>1.2382298776596825</v>
      </c>
      <c r="O608" s="1465">
        <v>1.2382514365807011</v>
      </c>
    </row>
    <row r="609" spans="11:15">
      <c r="K609" s="1462">
        <v>42666</v>
      </c>
      <c r="L609" s="1463"/>
      <c r="M609" s="1464">
        <v>0</v>
      </c>
      <c r="N609" s="1465">
        <v>1.2382298776596825</v>
      </c>
      <c r="O609" s="1465">
        <v>1.2382514365807011</v>
      </c>
    </row>
    <row r="610" spans="11:15">
      <c r="K610" s="1462">
        <v>42667</v>
      </c>
      <c r="L610" s="1463" t="s">
        <v>2127</v>
      </c>
      <c r="M610" s="1464">
        <v>5.1659999999999998E-2</v>
      </c>
      <c r="N610" s="1465">
        <v>1.2388695472144815</v>
      </c>
      <c r="O610" s="1465">
        <v>1.2389019024428514</v>
      </c>
    </row>
    <row r="611" spans="11:15">
      <c r="K611" s="1462">
        <v>42668</v>
      </c>
      <c r="L611" s="1463" t="s">
        <v>2127</v>
      </c>
      <c r="M611" s="1464">
        <v>5.1659999999999998E-2</v>
      </c>
      <c r="N611" s="1465">
        <v>1.2395095472225726</v>
      </c>
      <c r="O611" s="1465">
        <v>1.2395527100012236</v>
      </c>
    </row>
    <row r="612" spans="11:15">
      <c r="K612" s="1462">
        <v>42669</v>
      </c>
      <c r="L612" s="1463" t="s">
        <v>2127</v>
      </c>
      <c r="M612" s="1464">
        <v>5.1659999999999998E-2</v>
      </c>
      <c r="N612" s="1465">
        <v>1.2401498778546678</v>
      </c>
      <c r="O612" s="1465">
        <v>1.2402038594353144</v>
      </c>
    </row>
    <row r="613" spans="11:15">
      <c r="K613" s="1462">
        <v>42670</v>
      </c>
      <c r="L613" s="1463" t="s">
        <v>2127</v>
      </c>
      <c r="M613" s="1464">
        <v>5.1659999999999998E-2</v>
      </c>
      <c r="N613" s="1465">
        <v>1.2407905392815677</v>
      </c>
      <c r="O613" s="1465">
        <v>1.2408553509247144</v>
      </c>
    </row>
    <row r="614" spans="11:15">
      <c r="K614" s="1462">
        <v>42671</v>
      </c>
      <c r="L614" s="1463" t="s">
        <v>2127</v>
      </c>
      <c r="M614" s="1464">
        <v>5.1659999999999998E-2</v>
      </c>
      <c r="N614" s="1465">
        <v>1.2414315316741606</v>
      </c>
      <c r="O614" s="1465">
        <v>1.2415071846491088</v>
      </c>
    </row>
    <row r="615" spans="11:15">
      <c r="K615" s="1462">
        <v>42672</v>
      </c>
      <c r="L615" s="1463"/>
      <c r="M615" s="1464">
        <v>0</v>
      </c>
      <c r="N615" s="1465">
        <v>1.2414315316741606</v>
      </c>
      <c r="O615" s="1465">
        <v>1.2415071846491088</v>
      </c>
    </row>
    <row r="616" spans="11:15">
      <c r="K616" s="1462">
        <v>42673</v>
      </c>
      <c r="L616" s="1463"/>
      <c r="M616" s="1464">
        <v>0</v>
      </c>
      <c r="N616" s="1465">
        <v>1.2414315316741606</v>
      </c>
      <c r="O616" s="1465">
        <v>1.2415071846491088</v>
      </c>
    </row>
    <row r="617" spans="11:15">
      <c r="K617" s="1462">
        <v>42674</v>
      </c>
      <c r="L617" s="1463" t="s">
        <v>2127</v>
      </c>
      <c r="M617" s="1464">
        <v>5.1659999999999998E-2</v>
      </c>
      <c r="N617" s="1465">
        <v>1.2420728552034237</v>
      </c>
      <c r="O617" s="1465">
        <v>1.2421593607882768</v>
      </c>
    </row>
    <row r="618" spans="11:15">
      <c r="K618" s="1462">
        <v>42675</v>
      </c>
      <c r="L618" s="1463" t="s">
        <v>2127</v>
      </c>
      <c r="M618" s="1464">
        <v>5.1659999999999998E-2</v>
      </c>
      <c r="N618" s="1465">
        <v>1.242714510040422</v>
      </c>
      <c r="O618" s="1465">
        <v>1.2428118795220926</v>
      </c>
    </row>
    <row r="619" spans="11:15">
      <c r="K619" s="1462">
        <v>42676</v>
      </c>
      <c r="L619" s="1463"/>
      <c r="M619" s="1464">
        <v>0</v>
      </c>
      <c r="N619" s="1465">
        <v>1.242714510040422</v>
      </c>
      <c r="O619" s="1465">
        <v>1.2428118795220926</v>
      </c>
    </row>
    <row r="620" spans="11:15">
      <c r="K620" s="1462">
        <v>42677</v>
      </c>
      <c r="L620" s="1463" t="s">
        <v>2127</v>
      </c>
      <c r="M620" s="1464">
        <v>5.1659999999999998E-2</v>
      </c>
      <c r="N620" s="1465">
        <v>1.2433564963563091</v>
      </c>
      <c r="O620" s="1465">
        <v>1.2434647410305244</v>
      </c>
    </row>
    <row r="621" spans="11:15">
      <c r="K621" s="1462">
        <v>42678</v>
      </c>
      <c r="L621" s="1463" t="s">
        <v>2127</v>
      </c>
      <c r="M621" s="1464">
        <v>5.1659999999999998E-2</v>
      </c>
      <c r="N621" s="1465">
        <v>1.2439988143223268</v>
      </c>
      <c r="O621" s="1465">
        <v>1.2441179454936351</v>
      </c>
    </row>
    <row r="622" spans="11:15">
      <c r="K622" s="1462">
        <v>42679</v>
      </c>
      <c r="L622" s="1463"/>
      <c r="M622" s="1464">
        <v>0</v>
      </c>
      <c r="N622" s="1465">
        <v>1.2439988143223268</v>
      </c>
      <c r="O622" s="1465">
        <v>1.2441179454936351</v>
      </c>
    </row>
    <row r="623" spans="11:15">
      <c r="K623" s="1462">
        <v>42680</v>
      </c>
      <c r="L623" s="1463"/>
      <c r="M623" s="1464">
        <v>0</v>
      </c>
      <c r="N623" s="1465">
        <v>1.2439988143223268</v>
      </c>
      <c r="O623" s="1465">
        <v>1.2441179454936351</v>
      </c>
    </row>
    <row r="624" spans="11:15">
      <c r="K624" s="1462">
        <v>42681</v>
      </c>
      <c r="L624" s="1463" t="s">
        <v>2127</v>
      </c>
      <c r="M624" s="1464">
        <v>5.1659999999999998E-2</v>
      </c>
      <c r="N624" s="1465">
        <v>1.2446414641098058</v>
      </c>
      <c r="O624" s="1465">
        <v>1.2447714930915823</v>
      </c>
    </row>
    <row r="625" spans="11:15">
      <c r="K625" s="1462">
        <v>42682</v>
      </c>
      <c r="L625" s="1463" t="s">
        <v>2127</v>
      </c>
      <c r="M625" s="1464">
        <v>5.1659999999999998E-2</v>
      </c>
      <c r="N625" s="1465">
        <v>1.2452844458901651</v>
      </c>
      <c r="O625" s="1465">
        <v>1.2454253840046183</v>
      </c>
    </row>
    <row r="626" spans="11:15">
      <c r="K626" s="1462">
        <v>42683</v>
      </c>
      <c r="L626" s="1463" t="s">
        <v>2127</v>
      </c>
      <c r="M626" s="1464">
        <v>5.1659999999999998E-2</v>
      </c>
      <c r="N626" s="1465">
        <v>1.2459277598349121</v>
      </c>
      <c r="O626" s="1465">
        <v>1.2460796184130898</v>
      </c>
    </row>
    <row r="627" spans="11:15">
      <c r="K627" s="1462">
        <v>42684</v>
      </c>
      <c r="L627" s="1463" t="s">
        <v>2127</v>
      </c>
      <c r="M627" s="1464">
        <v>5.1659999999999998E-2</v>
      </c>
      <c r="N627" s="1465">
        <v>1.246571406115643</v>
      </c>
      <c r="O627" s="1465">
        <v>1.2467341964974383</v>
      </c>
    </row>
    <row r="628" spans="11:15">
      <c r="K628" s="1462">
        <v>42685</v>
      </c>
      <c r="L628" s="1463" t="s">
        <v>2127</v>
      </c>
      <c r="M628" s="1464">
        <v>5.1659999999999998E-2</v>
      </c>
      <c r="N628" s="1465">
        <v>1.2472153849040424</v>
      </c>
      <c r="O628" s="1465">
        <v>1.2473891184382004</v>
      </c>
    </row>
    <row r="629" spans="11:15">
      <c r="K629" s="1462">
        <v>42686</v>
      </c>
      <c r="L629" s="1463"/>
      <c r="M629" s="1464">
        <v>0</v>
      </c>
      <c r="N629" s="1465">
        <v>1.2472153849040424</v>
      </c>
      <c r="O629" s="1465">
        <v>1.2473891184382004</v>
      </c>
    </row>
    <row r="630" spans="11:15">
      <c r="K630" s="1462">
        <v>42687</v>
      </c>
      <c r="L630" s="1463"/>
      <c r="M630" s="1464">
        <v>0</v>
      </c>
      <c r="N630" s="1465">
        <v>1.2472153849040424</v>
      </c>
      <c r="O630" s="1465">
        <v>1.2473891184382004</v>
      </c>
    </row>
    <row r="631" spans="11:15">
      <c r="K631" s="1462">
        <v>42688</v>
      </c>
      <c r="L631" s="1463" t="s">
        <v>2127</v>
      </c>
      <c r="M631" s="1464">
        <v>5.1659999999999998E-2</v>
      </c>
      <c r="N631" s="1465">
        <v>1.247859696371884</v>
      </c>
      <c r="O631" s="1465">
        <v>1.2480443844160072</v>
      </c>
    </row>
    <row r="632" spans="11:15">
      <c r="K632" s="1462">
        <v>42689</v>
      </c>
      <c r="L632" s="1463"/>
      <c r="M632" s="1464">
        <v>0</v>
      </c>
      <c r="N632" s="1465">
        <v>1.247859696371884</v>
      </c>
      <c r="O632" s="1465">
        <v>1.2480443844160072</v>
      </c>
    </row>
    <row r="633" spans="11:15">
      <c r="K633" s="1462">
        <v>42690</v>
      </c>
      <c r="L633" s="1463" t="s">
        <v>2127</v>
      </c>
      <c r="M633" s="1464">
        <v>5.1659999999999998E-2</v>
      </c>
      <c r="N633" s="1465">
        <v>1.2485043406910299</v>
      </c>
      <c r="O633" s="1465">
        <v>1.2486999946115847</v>
      </c>
    </row>
    <row r="634" spans="11:15">
      <c r="K634" s="1462">
        <v>42691</v>
      </c>
      <c r="L634" s="1463" t="s">
        <v>2127</v>
      </c>
      <c r="M634" s="1464">
        <v>5.1659999999999998E-2</v>
      </c>
      <c r="N634" s="1465">
        <v>1.249149318033431</v>
      </c>
      <c r="O634" s="1465">
        <v>1.249355949205754</v>
      </c>
    </row>
    <row r="635" spans="11:15">
      <c r="K635" s="1462">
        <v>42692</v>
      </c>
      <c r="L635" s="1463" t="s">
        <v>2127</v>
      </c>
      <c r="M635" s="1464">
        <v>5.1659999999999998E-2</v>
      </c>
      <c r="N635" s="1465">
        <v>1.2497946285711272</v>
      </c>
      <c r="O635" s="1465">
        <v>1.2500122483794314</v>
      </c>
    </row>
    <row r="636" spans="11:15">
      <c r="K636" s="1462">
        <v>42693</v>
      </c>
      <c r="L636" s="1463"/>
      <c r="M636" s="1464">
        <v>0</v>
      </c>
      <c r="N636" s="1465">
        <v>1.2497946285711272</v>
      </c>
      <c r="O636" s="1465">
        <v>1.2500122483794314</v>
      </c>
    </row>
    <row r="637" spans="11:15">
      <c r="K637" s="1462">
        <v>42694</v>
      </c>
      <c r="L637" s="1463"/>
      <c r="M637" s="1464">
        <v>0</v>
      </c>
      <c r="N637" s="1465">
        <v>1.2497946285711272</v>
      </c>
      <c r="O637" s="1465">
        <v>1.2500122483794314</v>
      </c>
    </row>
    <row r="638" spans="11:15">
      <c r="K638" s="1462">
        <v>42695</v>
      </c>
      <c r="L638" s="1463" t="s">
        <v>2127</v>
      </c>
      <c r="M638" s="1464">
        <v>5.1659999999999998E-2</v>
      </c>
      <c r="N638" s="1465">
        <v>1.2504402724762471</v>
      </c>
      <c r="O638" s="1465">
        <v>1.2506688923136275</v>
      </c>
    </row>
    <row r="639" spans="11:15">
      <c r="K639" s="1462">
        <v>42696</v>
      </c>
      <c r="L639" s="1463" t="s">
        <v>2127</v>
      </c>
      <c r="M639" s="1464">
        <v>5.1659999999999998E-2</v>
      </c>
      <c r="N639" s="1465">
        <v>1.2510862499210085</v>
      </c>
      <c r="O639" s="1465">
        <v>1.2513258811894488</v>
      </c>
    </row>
    <row r="640" spans="11:15">
      <c r="K640" s="1462">
        <v>42697</v>
      </c>
      <c r="L640" s="1463" t="s">
        <v>2127</v>
      </c>
      <c r="M640" s="1464">
        <v>5.1659999999999998E-2</v>
      </c>
      <c r="N640" s="1465">
        <v>1.2517325610777177</v>
      </c>
      <c r="O640" s="1465">
        <v>1.2519832151880963</v>
      </c>
    </row>
    <row r="641" spans="11:15">
      <c r="K641" s="1462">
        <v>42698</v>
      </c>
      <c r="L641" s="1463" t="s">
        <v>2127</v>
      </c>
      <c r="M641" s="1464">
        <v>5.1659999999999998E-2</v>
      </c>
      <c r="N641" s="1465">
        <v>1.2523792061187706</v>
      </c>
      <c r="O641" s="1465">
        <v>1.2526408944908667</v>
      </c>
    </row>
    <row r="642" spans="11:15">
      <c r="K642" s="1462">
        <v>42699</v>
      </c>
      <c r="L642" s="1463" t="s">
        <v>2127</v>
      </c>
      <c r="M642" s="1464">
        <v>5.1659999999999998E-2</v>
      </c>
      <c r="N642" s="1465">
        <v>1.2530261852166518</v>
      </c>
      <c r="O642" s="1465">
        <v>1.2532989192791517</v>
      </c>
    </row>
    <row r="643" spans="11:15">
      <c r="K643" s="1462">
        <v>42700</v>
      </c>
      <c r="L643" s="1463"/>
      <c r="M643" s="1464">
        <v>0</v>
      </c>
      <c r="N643" s="1465">
        <v>1.2530261852166518</v>
      </c>
      <c r="O643" s="1465">
        <v>1.2532989192791517</v>
      </c>
    </row>
    <row r="644" spans="11:15">
      <c r="K644" s="1462">
        <v>42701</v>
      </c>
      <c r="L644" s="1463"/>
      <c r="M644" s="1464">
        <v>0</v>
      </c>
      <c r="N644" s="1465">
        <v>1.2530261852166518</v>
      </c>
      <c r="O644" s="1465">
        <v>1.2532989192791517</v>
      </c>
    </row>
    <row r="645" spans="11:15">
      <c r="K645" s="1462">
        <v>42702</v>
      </c>
      <c r="L645" s="1463" t="s">
        <v>2127</v>
      </c>
      <c r="M645" s="1464">
        <v>5.1659999999999998E-2</v>
      </c>
      <c r="N645" s="1465">
        <v>1.2536734985439348</v>
      </c>
      <c r="O645" s="1465">
        <v>1.2539572897344382</v>
      </c>
    </row>
    <row r="646" spans="11:15">
      <c r="K646" s="1462">
        <v>42703</v>
      </c>
      <c r="L646" s="1463" t="s">
        <v>2127</v>
      </c>
      <c r="M646" s="1464">
        <v>5.1659999999999998E-2</v>
      </c>
      <c r="N646" s="1465">
        <v>1.2543211462732828</v>
      </c>
      <c r="O646" s="1465">
        <v>1.2546160060383087</v>
      </c>
    </row>
    <row r="647" spans="11:15">
      <c r="K647" s="1462">
        <v>42704</v>
      </c>
      <c r="L647" s="1463" t="s">
        <v>2127</v>
      </c>
      <c r="M647" s="1464">
        <v>5.1659999999999998E-2</v>
      </c>
      <c r="N647" s="1465">
        <v>1.2549691285774478</v>
      </c>
      <c r="O647" s="1465">
        <v>1.2552750683724407</v>
      </c>
    </row>
    <row r="648" spans="11:15">
      <c r="K648" s="1462">
        <v>42705</v>
      </c>
      <c r="L648" s="1463" t="s">
        <v>2127</v>
      </c>
      <c r="M648" s="1464">
        <v>5.0788E-2</v>
      </c>
      <c r="N648" s="1465">
        <v>1.2556065022984697</v>
      </c>
      <c r="O648" s="1465">
        <v>1.2559344769186074</v>
      </c>
    </row>
    <row r="649" spans="11:15">
      <c r="K649" s="1462">
        <v>42706</v>
      </c>
      <c r="L649" s="1463" t="s">
        <v>2127</v>
      </c>
      <c r="M649" s="1464">
        <v>5.0788E-2</v>
      </c>
      <c r="N649" s="1465">
        <v>1.2562441997288571</v>
      </c>
      <c r="O649" s="1465">
        <v>1.2565942318586776</v>
      </c>
    </row>
    <row r="650" spans="11:15">
      <c r="K650" s="1462">
        <v>42707</v>
      </c>
      <c r="L650" s="1463"/>
      <c r="M650" s="1464">
        <v>0</v>
      </c>
      <c r="N650" s="1465">
        <v>1.2562441997288571</v>
      </c>
      <c r="O650" s="1465">
        <v>1.2565942318586776</v>
      </c>
    </row>
    <row r="651" spans="11:15">
      <c r="K651" s="1462">
        <v>42708</v>
      </c>
      <c r="L651" s="1463"/>
      <c r="M651" s="1464">
        <v>0</v>
      </c>
      <c r="N651" s="1465">
        <v>1.2562441997288571</v>
      </c>
      <c r="O651" s="1465">
        <v>1.2565942318586776</v>
      </c>
    </row>
    <row r="652" spans="11:15">
      <c r="K652" s="1462">
        <v>42709</v>
      </c>
      <c r="L652" s="1463" t="s">
        <v>2127</v>
      </c>
      <c r="M652" s="1464">
        <v>5.0788E-2</v>
      </c>
      <c r="N652" s="1465">
        <v>1.2568822210330155</v>
      </c>
      <c r="O652" s="1465">
        <v>1.2572543333746153</v>
      </c>
    </row>
    <row r="653" spans="11:15">
      <c r="K653" s="1462">
        <v>42710</v>
      </c>
      <c r="L653" s="1463" t="s">
        <v>2127</v>
      </c>
      <c r="M653" s="1464">
        <v>5.0788E-2</v>
      </c>
      <c r="N653" s="1465">
        <v>1.2575205663754339</v>
      </c>
      <c r="O653" s="1465">
        <v>1.2579147816484804</v>
      </c>
    </row>
    <row r="654" spans="11:15">
      <c r="K654" s="1462">
        <v>42711</v>
      </c>
      <c r="L654" s="1463" t="s">
        <v>2127</v>
      </c>
      <c r="M654" s="1464">
        <v>5.0788E-2</v>
      </c>
      <c r="N654" s="1465">
        <v>1.2581592359206846</v>
      </c>
      <c r="O654" s="1465">
        <v>1.258575576862428</v>
      </c>
    </row>
    <row r="655" spans="11:15">
      <c r="K655" s="1462">
        <v>42712</v>
      </c>
      <c r="L655" s="1463" t="s">
        <v>2127</v>
      </c>
      <c r="M655" s="1464">
        <v>5.0788E-2</v>
      </c>
      <c r="N655" s="1465">
        <v>1.2587982298334239</v>
      </c>
      <c r="O655" s="1465">
        <v>1.2592367191987097</v>
      </c>
    </row>
    <row r="656" spans="11:15">
      <c r="K656" s="1462">
        <v>42713</v>
      </c>
      <c r="L656" s="1463" t="s">
        <v>2127</v>
      </c>
      <c r="M656" s="1464">
        <v>5.0788E-2</v>
      </c>
      <c r="N656" s="1465">
        <v>1.2594375482783917</v>
      </c>
      <c r="O656" s="1465">
        <v>1.259898208839672</v>
      </c>
    </row>
    <row r="657" spans="11:15">
      <c r="K657" s="1462">
        <v>42714</v>
      </c>
      <c r="L657" s="1463"/>
      <c r="M657" s="1464">
        <v>0</v>
      </c>
      <c r="N657" s="1465">
        <v>1.2594375482783917</v>
      </c>
      <c r="O657" s="1465">
        <v>1.259898208839672</v>
      </c>
    </row>
    <row r="658" spans="11:15">
      <c r="K658" s="1462">
        <v>42715</v>
      </c>
      <c r="L658" s="1463"/>
      <c r="M658" s="1464">
        <v>0</v>
      </c>
      <c r="N658" s="1465">
        <v>1.2594375482783917</v>
      </c>
      <c r="O658" s="1465">
        <v>1.259898208839672</v>
      </c>
    </row>
    <row r="659" spans="11:15">
      <c r="K659" s="1462">
        <v>42716</v>
      </c>
      <c r="L659" s="1463" t="s">
        <v>2127</v>
      </c>
      <c r="M659" s="1464">
        <v>5.0788E-2</v>
      </c>
      <c r="N659" s="1465">
        <v>1.2600771914204114</v>
      </c>
      <c r="O659" s="1465">
        <v>1.2605600459677575</v>
      </c>
    </row>
    <row r="660" spans="11:15">
      <c r="K660" s="1462">
        <v>42717</v>
      </c>
      <c r="L660" s="1463" t="s">
        <v>2127</v>
      </c>
      <c r="M660" s="1464">
        <v>5.0788E-2</v>
      </c>
      <c r="N660" s="1465">
        <v>1.26071715942439</v>
      </c>
      <c r="O660" s="1465">
        <v>1.2612222307655048</v>
      </c>
    </row>
    <row r="661" spans="11:15">
      <c r="K661" s="1462">
        <v>42718</v>
      </c>
      <c r="L661" s="1463" t="s">
        <v>2127</v>
      </c>
      <c r="M661" s="1464">
        <v>5.0788E-2</v>
      </c>
      <c r="N661" s="1465">
        <v>1.2613574524553184</v>
      </c>
      <c r="O661" s="1465">
        <v>1.2618847634155481</v>
      </c>
    </row>
    <row r="662" spans="11:15">
      <c r="K662" s="1462">
        <v>42719</v>
      </c>
      <c r="L662" s="1463" t="s">
        <v>2127</v>
      </c>
      <c r="M662" s="1464">
        <v>5.0788E-2</v>
      </c>
      <c r="N662" s="1465">
        <v>1.2619980706782714</v>
      </c>
      <c r="O662" s="1465">
        <v>1.262547644100618</v>
      </c>
    </row>
    <row r="663" spans="11:15">
      <c r="K663" s="1462">
        <v>42720</v>
      </c>
      <c r="L663" s="1463" t="s">
        <v>2127</v>
      </c>
      <c r="M663" s="1464">
        <v>5.0788E-2</v>
      </c>
      <c r="N663" s="1465">
        <v>1.2626390142584074</v>
      </c>
      <c r="O663" s="1465">
        <v>1.2632108730035405</v>
      </c>
    </row>
    <row r="664" spans="11:15">
      <c r="K664" s="1462">
        <v>42721</v>
      </c>
      <c r="L664" s="1463"/>
      <c r="M664" s="1464">
        <v>0</v>
      </c>
      <c r="N664" s="1465">
        <v>1.2626390142584074</v>
      </c>
      <c r="O664" s="1465">
        <v>1.2632108730035405</v>
      </c>
    </row>
    <row r="665" spans="11:15">
      <c r="K665" s="1462">
        <v>42722</v>
      </c>
      <c r="L665" s="1463"/>
      <c r="M665" s="1464">
        <v>0</v>
      </c>
      <c r="N665" s="1465">
        <v>1.2626390142584074</v>
      </c>
      <c r="O665" s="1465">
        <v>1.2632108730035405</v>
      </c>
    </row>
    <row r="666" spans="11:15">
      <c r="K666" s="1462">
        <v>42723</v>
      </c>
      <c r="L666" s="1463" t="s">
        <v>2127</v>
      </c>
      <c r="M666" s="1464">
        <v>5.0788E-2</v>
      </c>
      <c r="N666" s="1465">
        <v>1.2632802833609691</v>
      </c>
      <c r="O666" s="1465">
        <v>1.2638744503072381</v>
      </c>
    </row>
    <row r="667" spans="11:15">
      <c r="K667" s="1462">
        <v>42724</v>
      </c>
      <c r="L667" s="1463" t="s">
        <v>2127</v>
      </c>
      <c r="M667" s="1464">
        <v>5.0788E-2</v>
      </c>
      <c r="N667" s="1465">
        <v>1.2639218781512824</v>
      </c>
      <c r="O667" s="1465">
        <v>1.2645383761947291</v>
      </c>
    </row>
    <row r="668" spans="11:15">
      <c r="K668" s="1462">
        <v>42725</v>
      </c>
      <c r="L668" s="1463" t="s">
        <v>2127</v>
      </c>
      <c r="M668" s="1464">
        <v>5.0788E-2</v>
      </c>
      <c r="N668" s="1465">
        <v>1.264563798794758</v>
      </c>
      <c r="O668" s="1465">
        <v>1.2652026508491279</v>
      </c>
    </row>
    <row r="669" spans="11:15">
      <c r="K669" s="1462">
        <v>42726</v>
      </c>
      <c r="L669" s="1463" t="s">
        <v>2127</v>
      </c>
      <c r="M669" s="1464">
        <v>5.0788E-2</v>
      </c>
      <c r="N669" s="1465">
        <v>1.2652060454568899</v>
      </c>
      <c r="O669" s="1465">
        <v>1.2658672744536454</v>
      </c>
    </row>
    <row r="670" spans="11:15">
      <c r="K670" s="1462">
        <v>42727</v>
      </c>
      <c r="L670" s="1463" t="s">
        <v>2127</v>
      </c>
      <c r="M670" s="1464">
        <v>5.0788E-2</v>
      </c>
      <c r="N670" s="1465">
        <v>1.2658486183032565</v>
      </c>
      <c r="O670" s="1465">
        <v>1.2665322471915887</v>
      </c>
    </row>
    <row r="671" spans="11:15">
      <c r="K671" s="1462">
        <v>42728</v>
      </c>
      <c r="L671" s="1463"/>
      <c r="M671" s="1464">
        <v>0</v>
      </c>
      <c r="N671" s="1465">
        <v>1.2658486183032565</v>
      </c>
      <c r="O671" s="1465">
        <v>1.2665322471915887</v>
      </c>
    </row>
    <row r="672" spans="11:15">
      <c r="K672" s="1462">
        <v>42729</v>
      </c>
      <c r="L672" s="1463"/>
      <c r="M672" s="1464">
        <v>0</v>
      </c>
      <c r="N672" s="1465">
        <v>1.2658486183032565</v>
      </c>
      <c r="O672" s="1465">
        <v>1.2665322471915887</v>
      </c>
    </row>
    <row r="673" spans="11:15">
      <c r="K673" s="1462">
        <v>42730</v>
      </c>
      <c r="L673" s="1463" t="s">
        <v>2127</v>
      </c>
      <c r="M673" s="1464">
        <v>5.0788E-2</v>
      </c>
      <c r="N673" s="1465">
        <v>1.2664915174995204</v>
      </c>
      <c r="O673" s="1465">
        <v>1.2671975692463611</v>
      </c>
    </row>
    <row r="674" spans="11:15">
      <c r="K674" s="1462">
        <v>42731</v>
      </c>
      <c r="L674" s="1463" t="s">
        <v>2127</v>
      </c>
      <c r="M674" s="1464">
        <v>5.0788E-2</v>
      </c>
      <c r="N674" s="1465">
        <v>1.2671347432114282</v>
      </c>
      <c r="O674" s="1465">
        <v>1.2678632408014618</v>
      </c>
    </row>
    <row r="675" spans="11:15">
      <c r="K675" s="1462">
        <v>42732</v>
      </c>
      <c r="L675" s="1463" t="s">
        <v>2127</v>
      </c>
      <c r="M675" s="1464">
        <v>5.0788E-2</v>
      </c>
      <c r="N675" s="1465">
        <v>1.2677782956048105</v>
      </c>
      <c r="O675" s="1465">
        <v>1.2685292620404873</v>
      </c>
    </row>
    <row r="676" spans="11:15">
      <c r="K676" s="1462">
        <v>42733</v>
      </c>
      <c r="L676" s="1463" t="s">
        <v>2127</v>
      </c>
      <c r="M676" s="1464">
        <v>5.0788E-2</v>
      </c>
      <c r="N676" s="1465">
        <v>1.2684221748455822</v>
      </c>
      <c r="O676" s="1465">
        <v>1.2691956331471299</v>
      </c>
    </row>
    <row r="677" spans="11:15">
      <c r="K677" s="1462">
        <v>42734</v>
      </c>
      <c r="L677" s="1463" t="s">
        <v>2127</v>
      </c>
      <c r="M677" s="1464">
        <v>5.0788E-2</v>
      </c>
      <c r="N677" s="1465">
        <v>1.2690663810997427</v>
      </c>
      <c r="O677" s="1465">
        <v>1.2698623543051784</v>
      </c>
    </row>
    <row r="678" spans="11:15">
      <c r="K678" s="1462">
        <v>42735</v>
      </c>
      <c r="L678" s="1463"/>
      <c r="M678" s="1464">
        <v>0</v>
      </c>
      <c r="N678" s="1465">
        <v>1.2690663810997427</v>
      </c>
      <c r="O678" s="1465">
        <v>1.2698623543051784</v>
      </c>
    </row>
    <row r="679" spans="11:15">
      <c r="K679" s="1462">
        <v>42736</v>
      </c>
      <c r="L679" s="1463"/>
      <c r="M679" s="1464">
        <v>0</v>
      </c>
      <c r="N679" s="1465">
        <v>1.2690663810997427</v>
      </c>
      <c r="O679" s="1465">
        <v>1.2698623543051784</v>
      </c>
    </row>
    <row r="680" spans="11:15">
      <c r="K680" s="1462">
        <v>42737</v>
      </c>
      <c r="L680" s="1463" t="s">
        <v>2127</v>
      </c>
      <c r="M680" s="1464">
        <v>5.0788E-2</v>
      </c>
      <c r="N680" s="1465">
        <v>1.2697109145333756</v>
      </c>
      <c r="O680" s="1465">
        <v>1.2705294256985185</v>
      </c>
    </row>
    <row r="681" spans="11:15">
      <c r="K681" s="1462">
        <v>42738</v>
      </c>
      <c r="L681" s="1463" t="s">
        <v>2127</v>
      </c>
      <c r="M681" s="1464">
        <v>5.0788E-2</v>
      </c>
      <c r="N681" s="1465">
        <v>1.2703557753126489</v>
      </c>
      <c r="O681" s="1465">
        <v>1.2711968475111322</v>
      </c>
    </row>
    <row r="682" spans="11:15">
      <c r="K682" s="1462">
        <v>42739</v>
      </c>
      <c r="L682" s="1463" t="s">
        <v>2127</v>
      </c>
      <c r="M682" s="1464">
        <v>5.0788E-2</v>
      </c>
      <c r="N682" s="1465">
        <v>1.2710009636038146</v>
      </c>
      <c r="O682" s="1465">
        <v>1.2718646199270982</v>
      </c>
    </row>
    <row r="683" spans="11:15">
      <c r="K683" s="1462">
        <v>42740</v>
      </c>
      <c r="L683" s="1463" t="s">
        <v>2127</v>
      </c>
      <c r="M683" s="1464">
        <v>5.0788E-2</v>
      </c>
      <c r="N683" s="1465">
        <v>1.2716464795732099</v>
      </c>
      <c r="O683" s="1465">
        <v>1.2725327431305922</v>
      </c>
    </row>
    <row r="684" spans="11:15">
      <c r="K684" s="1462">
        <v>42741</v>
      </c>
      <c r="L684" s="1463" t="s">
        <v>2127</v>
      </c>
      <c r="M684" s="1464">
        <v>5.0788E-2</v>
      </c>
      <c r="N684" s="1465">
        <v>1.2722923233872556</v>
      </c>
      <c r="O684" s="1465">
        <v>1.2732012173058862</v>
      </c>
    </row>
    <row r="685" spans="11:15">
      <c r="K685" s="1462">
        <v>42742</v>
      </c>
      <c r="L685" s="1463"/>
      <c r="M685" s="1464">
        <v>0</v>
      </c>
      <c r="N685" s="1465">
        <v>1.2722923233872556</v>
      </c>
      <c r="O685" s="1465">
        <v>1.2732012173058862</v>
      </c>
    </row>
    <row r="686" spans="11:15">
      <c r="K686" s="1462">
        <v>42743</v>
      </c>
      <c r="L686" s="1463"/>
      <c r="M686" s="1464">
        <v>0</v>
      </c>
      <c r="N686" s="1465">
        <v>1.2722923233872556</v>
      </c>
      <c r="O686" s="1465">
        <v>1.2732012173058862</v>
      </c>
    </row>
    <row r="687" spans="11:15">
      <c r="K687" s="1462">
        <v>42744</v>
      </c>
      <c r="L687" s="1463" t="s">
        <v>2127</v>
      </c>
      <c r="M687" s="1464">
        <v>5.0788E-2</v>
      </c>
      <c r="N687" s="1465">
        <v>1.2729384952124576</v>
      </c>
      <c r="O687" s="1465">
        <v>1.2738700426373493</v>
      </c>
    </row>
    <row r="688" spans="11:15">
      <c r="K688" s="1462">
        <v>42745</v>
      </c>
      <c r="L688" s="1463" t="s">
        <v>2127</v>
      </c>
      <c r="M688" s="1464">
        <v>5.0788E-2</v>
      </c>
      <c r="N688" s="1465">
        <v>1.2735849952154061</v>
      </c>
      <c r="O688" s="1465">
        <v>1.2745392193094471</v>
      </c>
    </row>
    <row r="689" spans="11:15">
      <c r="K689" s="1462">
        <v>42746</v>
      </c>
      <c r="L689" s="1463" t="s">
        <v>2127</v>
      </c>
      <c r="M689" s="1464">
        <v>5.0788E-2</v>
      </c>
      <c r="N689" s="1465">
        <v>1.2742318235627761</v>
      </c>
      <c r="O689" s="1465">
        <v>1.2752087475067426</v>
      </c>
    </row>
    <row r="690" spans="11:15">
      <c r="K690" s="1462">
        <v>42747</v>
      </c>
      <c r="L690" s="1463" t="s">
        <v>2127</v>
      </c>
      <c r="M690" s="1464">
        <v>4.8159E-2</v>
      </c>
      <c r="N690" s="1465">
        <v>1.2748454808666856</v>
      </c>
      <c r="O690" s="1465">
        <v>1.2758786274138953</v>
      </c>
    </row>
    <row r="691" spans="11:15">
      <c r="K691" s="1462">
        <v>42748</v>
      </c>
      <c r="L691" s="1463" t="s">
        <v>2127</v>
      </c>
      <c r="M691" s="1464">
        <v>4.8159E-2</v>
      </c>
      <c r="N691" s="1465">
        <v>1.2754594337018161</v>
      </c>
      <c r="O691" s="1465">
        <v>1.2765488592156622</v>
      </c>
    </row>
    <row r="692" spans="11:15">
      <c r="K692" s="1462">
        <v>42749</v>
      </c>
      <c r="L692" s="1463"/>
      <c r="M692" s="1464">
        <v>0</v>
      </c>
      <c r="N692" s="1465">
        <v>1.2754594337018161</v>
      </c>
      <c r="O692" s="1465">
        <v>1.2765488592156622</v>
      </c>
    </row>
    <row r="693" spans="11:15">
      <c r="K693" s="1462">
        <v>42750</v>
      </c>
      <c r="L693" s="1463"/>
      <c r="M693" s="1464">
        <v>0</v>
      </c>
      <c r="N693" s="1465">
        <v>1.2754594337018161</v>
      </c>
      <c r="O693" s="1465">
        <v>1.2765488592156622</v>
      </c>
    </row>
    <row r="694" spans="11:15">
      <c r="K694" s="1462">
        <v>42751</v>
      </c>
      <c r="L694" s="1463" t="s">
        <v>2127</v>
      </c>
      <c r="M694" s="1464">
        <v>4.8159E-2</v>
      </c>
      <c r="N694" s="1465">
        <v>1.2760736822104926</v>
      </c>
      <c r="O694" s="1465">
        <v>1.2772194430968968</v>
      </c>
    </row>
    <row r="695" spans="11:15">
      <c r="K695" s="1462">
        <v>42752</v>
      </c>
      <c r="L695" s="1463" t="s">
        <v>2127</v>
      </c>
      <c r="M695" s="1464">
        <v>4.8159E-2</v>
      </c>
      <c r="N695" s="1465">
        <v>1.2766882265351083</v>
      </c>
      <c r="O695" s="1465">
        <v>1.27789037924255</v>
      </c>
    </row>
    <row r="696" spans="11:15">
      <c r="K696" s="1462">
        <v>42753</v>
      </c>
      <c r="L696" s="1463" t="s">
        <v>2127</v>
      </c>
      <c r="M696" s="1464">
        <v>4.8159E-2</v>
      </c>
      <c r="N696" s="1465">
        <v>1.2773030668181251</v>
      </c>
      <c r="O696" s="1465">
        <v>1.2785616678376699</v>
      </c>
    </row>
    <row r="697" spans="11:15">
      <c r="K697" s="1462">
        <v>42754</v>
      </c>
      <c r="L697" s="1463" t="s">
        <v>2127</v>
      </c>
      <c r="M697" s="1464">
        <v>4.8159E-2</v>
      </c>
      <c r="N697" s="1465">
        <v>1.2779182032020739</v>
      </c>
      <c r="O697" s="1465">
        <v>1.2792333090674017</v>
      </c>
    </row>
    <row r="698" spans="11:15">
      <c r="K698" s="1462">
        <v>42755</v>
      </c>
      <c r="L698" s="1463" t="s">
        <v>2127</v>
      </c>
      <c r="M698" s="1464">
        <v>4.8159E-2</v>
      </c>
      <c r="N698" s="1465">
        <v>1.278533635829554</v>
      </c>
      <c r="O698" s="1465">
        <v>1.279905303116988</v>
      </c>
    </row>
    <row r="699" spans="11:15">
      <c r="K699" s="1462">
        <v>42756</v>
      </c>
      <c r="L699" s="1463"/>
      <c r="M699" s="1464">
        <v>0</v>
      </c>
      <c r="N699" s="1465">
        <v>1.278533635829554</v>
      </c>
      <c r="O699" s="1465">
        <v>1.279905303116988</v>
      </c>
    </row>
    <row r="700" spans="11:15">
      <c r="K700" s="1462">
        <v>42757</v>
      </c>
      <c r="L700" s="1463"/>
      <c r="M700" s="1464">
        <v>0</v>
      </c>
      <c r="N700" s="1465">
        <v>1.278533635829554</v>
      </c>
      <c r="O700" s="1465">
        <v>1.279905303116988</v>
      </c>
    </row>
    <row r="701" spans="11:15">
      <c r="K701" s="1462">
        <v>42758</v>
      </c>
      <c r="L701" s="1463" t="s">
        <v>2127</v>
      </c>
      <c r="M701" s="1464">
        <v>4.8159E-2</v>
      </c>
      <c r="N701" s="1465">
        <v>1.279149364843233</v>
      </c>
      <c r="O701" s="1465">
        <v>1.2805776501717685</v>
      </c>
    </row>
    <row r="702" spans="11:15">
      <c r="K702" s="1462">
        <v>42759</v>
      </c>
      <c r="L702" s="1463" t="s">
        <v>2127</v>
      </c>
      <c r="M702" s="1464">
        <v>4.8159E-2</v>
      </c>
      <c r="N702" s="1465">
        <v>1.2797653903858479</v>
      </c>
      <c r="O702" s="1465">
        <v>1.2812503504171802</v>
      </c>
    </row>
    <row r="703" spans="11:15">
      <c r="K703" s="1462">
        <v>42760</v>
      </c>
      <c r="L703" s="1463" t="s">
        <v>2127</v>
      </c>
      <c r="M703" s="1464">
        <v>4.8159E-2</v>
      </c>
      <c r="N703" s="1465">
        <v>1.2803817126002037</v>
      </c>
      <c r="O703" s="1465">
        <v>1.2819234040387577</v>
      </c>
    </row>
    <row r="704" spans="11:15">
      <c r="K704" s="1462">
        <v>42761</v>
      </c>
      <c r="L704" s="1463" t="s">
        <v>2127</v>
      </c>
      <c r="M704" s="1464">
        <v>4.8159E-2</v>
      </c>
      <c r="N704" s="1465">
        <v>1.2809983316291746</v>
      </c>
      <c r="O704" s="1465">
        <v>1.2825968112221333</v>
      </c>
    </row>
    <row r="705" spans="11:15">
      <c r="K705" s="1462">
        <v>42762</v>
      </c>
      <c r="L705" s="1463" t="s">
        <v>2127</v>
      </c>
      <c r="M705" s="1464">
        <v>4.8159E-2</v>
      </c>
      <c r="N705" s="1465">
        <v>1.2816152476157039</v>
      </c>
      <c r="O705" s="1465">
        <v>1.2832705721530364</v>
      </c>
    </row>
    <row r="706" spans="11:15">
      <c r="K706" s="1462">
        <v>42763</v>
      </c>
      <c r="L706" s="1463"/>
      <c r="M706" s="1464">
        <v>0</v>
      </c>
      <c r="N706" s="1465">
        <v>1.2816152476157039</v>
      </c>
      <c r="O706" s="1465">
        <v>1.2832705721530364</v>
      </c>
    </row>
    <row r="707" spans="11:15">
      <c r="K707" s="1462">
        <v>42764</v>
      </c>
      <c r="L707" s="1463"/>
      <c r="M707" s="1464">
        <v>0</v>
      </c>
      <c r="N707" s="1465">
        <v>1.2816152476157039</v>
      </c>
      <c r="O707" s="1465">
        <v>1.2832705721530364</v>
      </c>
    </row>
    <row r="708" spans="11:15">
      <c r="K708" s="1462">
        <v>42765</v>
      </c>
      <c r="L708" s="1463" t="s">
        <v>2127</v>
      </c>
      <c r="M708" s="1464">
        <v>4.8159E-2</v>
      </c>
      <c r="N708" s="1465">
        <v>1.2822324607028031</v>
      </c>
      <c r="O708" s="1465">
        <v>1.2839446870172941</v>
      </c>
    </row>
    <row r="709" spans="11:15">
      <c r="K709" s="1462">
        <v>42766</v>
      </c>
      <c r="L709" s="1463" t="s">
        <v>2127</v>
      </c>
      <c r="M709" s="1464">
        <v>4.8159E-2</v>
      </c>
      <c r="N709" s="1465">
        <v>1.2828499710335528</v>
      </c>
      <c r="O709" s="1465">
        <v>1.2846191560008311</v>
      </c>
    </row>
    <row r="710" spans="11:15">
      <c r="K710" s="1462">
        <v>42767</v>
      </c>
      <c r="L710" s="1463" t="s">
        <v>2127</v>
      </c>
      <c r="M710" s="1464">
        <v>4.8159E-2</v>
      </c>
      <c r="N710" s="1465">
        <v>1.2834677787511029</v>
      </c>
      <c r="O710" s="1465">
        <v>1.2852939792896698</v>
      </c>
    </row>
    <row r="711" spans="11:15">
      <c r="K711" s="1462">
        <v>42768</v>
      </c>
      <c r="L711" s="1463" t="s">
        <v>2127</v>
      </c>
      <c r="M711" s="1464">
        <v>4.8159E-2</v>
      </c>
      <c r="N711" s="1465">
        <v>1.2840858839986715</v>
      </c>
      <c r="O711" s="1465">
        <v>1.2859691570699305</v>
      </c>
    </row>
    <row r="712" spans="11:15">
      <c r="K712" s="1462">
        <v>42769</v>
      </c>
      <c r="L712" s="1463" t="s">
        <v>2127</v>
      </c>
      <c r="M712" s="1464">
        <v>4.8159E-2</v>
      </c>
      <c r="N712" s="1465">
        <v>1.2847042869195464</v>
      </c>
      <c r="O712" s="1465">
        <v>1.286644689527831</v>
      </c>
    </row>
    <row r="713" spans="11:15">
      <c r="K713" s="1462">
        <v>42770</v>
      </c>
      <c r="L713" s="1463"/>
      <c r="M713" s="1464">
        <v>0</v>
      </c>
      <c r="N713" s="1465">
        <v>1.2847042869195464</v>
      </c>
      <c r="O713" s="1465">
        <v>1.286644689527831</v>
      </c>
    </row>
    <row r="714" spans="11:15">
      <c r="K714" s="1462">
        <v>42771</v>
      </c>
      <c r="L714" s="1463"/>
      <c r="M714" s="1464">
        <v>0</v>
      </c>
      <c r="N714" s="1465">
        <v>1.2847042869195464</v>
      </c>
      <c r="O714" s="1465">
        <v>1.286644689527831</v>
      </c>
    </row>
    <row r="715" spans="11:15">
      <c r="K715" s="1462">
        <v>42772</v>
      </c>
      <c r="L715" s="1463" t="s">
        <v>2127</v>
      </c>
      <c r="M715" s="1464">
        <v>4.8159E-2</v>
      </c>
      <c r="N715" s="1465">
        <v>1.285322987657084</v>
      </c>
      <c r="O715" s="1465">
        <v>1.2873205768496869</v>
      </c>
    </row>
    <row r="716" spans="11:15">
      <c r="K716" s="1462">
        <v>42773</v>
      </c>
      <c r="L716" s="1463" t="s">
        <v>2127</v>
      </c>
      <c r="M716" s="1464">
        <v>4.8159E-2</v>
      </c>
      <c r="N716" s="1465">
        <v>1.2859419863547097</v>
      </c>
      <c r="O716" s="1465">
        <v>1.2879968192219118</v>
      </c>
    </row>
    <row r="717" spans="11:15">
      <c r="K717" s="1462">
        <v>42774</v>
      </c>
      <c r="L717" s="1463" t="s">
        <v>2127</v>
      </c>
      <c r="M717" s="1464">
        <v>4.8159E-2</v>
      </c>
      <c r="N717" s="1465">
        <v>1.2865612831559181</v>
      </c>
      <c r="O717" s="1465">
        <v>1.2886734168310172</v>
      </c>
    </row>
    <row r="718" spans="11:15">
      <c r="K718" s="1462">
        <v>42775</v>
      </c>
      <c r="L718" s="1463" t="s">
        <v>2127</v>
      </c>
      <c r="M718" s="1464">
        <v>4.8159E-2</v>
      </c>
      <c r="N718" s="1465">
        <v>1.2871808782042731</v>
      </c>
      <c r="O718" s="1465">
        <v>1.2893503698636126</v>
      </c>
    </row>
    <row r="719" spans="11:15">
      <c r="K719" s="1462">
        <v>42776</v>
      </c>
      <c r="L719" s="1463" t="s">
        <v>2127</v>
      </c>
      <c r="M719" s="1464">
        <v>4.8159E-2</v>
      </c>
      <c r="N719" s="1465">
        <v>1.2878007716434074</v>
      </c>
      <c r="O719" s="1465">
        <v>1.2900276785064058</v>
      </c>
    </row>
    <row r="720" spans="11:15">
      <c r="K720" s="1462">
        <v>42777</v>
      </c>
      <c r="L720" s="1463"/>
      <c r="M720" s="1464">
        <v>0</v>
      </c>
      <c r="N720" s="1465">
        <v>1.2878007716434074</v>
      </c>
      <c r="O720" s="1465">
        <v>1.2900276785064058</v>
      </c>
    </row>
    <row r="721" spans="11:15">
      <c r="K721" s="1462">
        <v>42778</v>
      </c>
      <c r="L721" s="1463"/>
      <c r="M721" s="1464">
        <v>0</v>
      </c>
      <c r="N721" s="1465">
        <v>1.2878007716434074</v>
      </c>
      <c r="O721" s="1465">
        <v>1.2900276785064058</v>
      </c>
    </row>
    <row r="722" spans="11:15">
      <c r="K722" s="1462">
        <v>42779</v>
      </c>
      <c r="L722" s="1463" t="s">
        <v>2127</v>
      </c>
      <c r="M722" s="1464">
        <v>4.8159E-2</v>
      </c>
      <c r="N722" s="1465">
        <v>1.2884209636170232</v>
      </c>
      <c r="O722" s="1465">
        <v>1.2907053429462019</v>
      </c>
    </row>
    <row r="723" spans="11:15">
      <c r="K723" s="1462">
        <v>42780</v>
      </c>
      <c r="L723" s="1463" t="s">
        <v>2127</v>
      </c>
      <c r="M723" s="1464">
        <v>4.8159E-2</v>
      </c>
      <c r="N723" s="1465">
        <v>1.2890414542688915</v>
      </c>
      <c r="O723" s="1465">
        <v>1.291383363369905</v>
      </c>
    </row>
    <row r="724" spans="11:15">
      <c r="K724" s="1462">
        <v>42781</v>
      </c>
      <c r="L724" s="1463" t="s">
        <v>2127</v>
      </c>
      <c r="M724" s="1464">
        <v>4.8159E-2</v>
      </c>
      <c r="N724" s="1465">
        <v>1.2896622437428527</v>
      </c>
      <c r="O724" s="1465">
        <v>1.2920617399645169</v>
      </c>
    </row>
    <row r="725" spans="11:15">
      <c r="K725" s="1462">
        <v>42782</v>
      </c>
      <c r="L725" s="1463" t="s">
        <v>2127</v>
      </c>
      <c r="M725" s="1464">
        <v>4.8159E-2</v>
      </c>
      <c r="N725" s="1465">
        <v>1.2902833321828167</v>
      </c>
      <c r="O725" s="1465">
        <v>1.2927404729171377</v>
      </c>
    </row>
    <row r="726" spans="11:15">
      <c r="K726" s="1462">
        <v>42783</v>
      </c>
      <c r="L726" s="1463" t="s">
        <v>2127</v>
      </c>
      <c r="M726" s="1464">
        <v>4.8159E-2</v>
      </c>
      <c r="N726" s="1465">
        <v>1.2909047197327626</v>
      </c>
      <c r="O726" s="1465">
        <v>1.2934195624149658</v>
      </c>
    </row>
    <row r="727" spans="11:15">
      <c r="K727" s="1462">
        <v>42784</v>
      </c>
      <c r="L727" s="1463"/>
      <c r="M727" s="1464">
        <v>0</v>
      </c>
      <c r="N727" s="1465">
        <v>1.2909047197327626</v>
      </c>
      <c r="O727" s="1465">
        <v>1.2934195624149658</v>
      </c>
    </row>
    <row r="728" spans="11:15">
      <c r="K728" s="1462">
        <v>42785</v>
      </c>
      <c r="L728" s="1463"/>
      <c r="M728" s="1464">
        <v>0</v>
      </c>
      <c r="N728" s="1465">
        <v>1.2909047197327626</v>
      </c>
      <c r="O728" s="1465">
        <v>1.2934195624149658</v>
      </c>
    </row>
    <row r="729" spans="11:15">
      <c r="K729" s="1462">
        <v>42786</v>
      </c>
      <c r="L729" s="1463" t="s">
        <v>2127</v>
      </c>
      <c r="M729" s="1464">
        <v>4.8159E-2</v>
      </c>
      <c r="N729" s="1465">
        <v>1.2915264065367384</v>
      </c>
      <c r="O729" s="1465">
        <v>1.2940990086452979</v>
      </c>
    </row>
    <row r="730" spans="11:15">
      <c r="K730" s="1462">
        <v>42787</v>
      </c>
      <c r="L730" s="1463" t="s">
        <v>2127</v>
      </c>
      <c r="M730" s="1464">
        <v>4.8159E-2</v>
      </c>
      <c r="N730" s="1465">
        <v>1.2921483927388624</v>
      </c>
      <c r="O730" s="1465">
        <v>1.2947788117955294</v>
      </c>
    </row>
    <row r="731" spans="11:15">
      <c r="K731" s="1462">
        <v>42788</v>
      </c>
      <c r="L731" s="1463" t="s">
        <v>2127</v>
      </c>
      <c r="M731" s="1464">
        <v>4.8159E-2</v>
      </c>
      <c r="N731" s="1465">
        <v>1.2927706784833215</v>
      </c>
      <c r="O731" s="1465">
        <v>1.2954589720531537</v>
      </c>
    </row>
    <row r="732" spans="11:15">
      <c r="K732" s="1462">
        <v>42789</v>
      </c>
      <c r="L732" s="1463" t="s">
        <v>2127</v>
      </c>
      <c r="M732" s="1464">
        <v>4.5512999999999998E-2</v>
      </c>
      <c r="N732" s="1465">
        <v>1.2933590572022196</v>
      </c>
      <c r="O732" s="1465">
        <v>1.296139489605763</v>
      </c>
    </row>
    <row r="733" spans="11:15">
      <c r="K733" s="1462">
        <v>42790</v>
      </c>
      <c r="L733" s="1463" t="s">
        <v>2127</v>
      </c>
      <c r="M733" s="1464">
        <v>4.5512999999999998E-2</v>
      </c>
      <c r="N733" s="1465">
        <v>1.2939477037099241</v>
      </c>
      <c r="O733" s="1465">
        <v>1.2968203646410479</v>
      </c>
    </row>
    <row r="734" spans="11:15">
      <c r="K734" s="1462">
        <v>42791</v>
      </c>
      <c r="L734" s="1463"/>
      <c r="M734" s="1464">
        <v>0</v>
      </c>
      <c r="N734" s="1465">
        <v>1.2939477037099241</v>
      </c>
      <c r="O734" s="1465">
        <v>1.2968203646410479</v>
      </c>
    </row>
    <row r="735" spans="11:15">
      <c r="K735" s="1462">
        <v>42792</v>
      </c>
      <c r="L735" s="1463"/>
      <c r="M735" s="1464">
        <v>0</v>
      </c>
      <c r="N735" s="1465">
        <v>1.2939477037099241</v>
      </c>
      <c r="O735" s="1465">
        <v>1.2968203646410479</v>
      </c>
    </row>
    <row r="736" spans="11:15">
      <c r="K736" s="1462">
        <v>42793</v>
      </c>
      <c r="L736" s="1463"/>
      <c r="M736" s="1464">
        <v>0</v>
      </c>
      <c r="N736" s="1465">
        <v>1.2939477037099241</v>
      </c>
      <c r="O736" s="1465">
        <v>1.2968203646410479</v>
      </c>
    </row>
    <row r="737" spans="11:15">
      <c r="K737" s="1462">
        <v>42794</v>
      </c>
      <c r="L737" s="1463"/>
      <c r="M737" s="1464">
        <v>0</v>
      </c>
      <c r="N737" s="1465">
        <v>1.2939477037099241</v>
      </c>
      <c r="O737" s="1465">
        <v>1.2968203646410479</v>
      </c>
    </row>
    <row r="738" spans="11:15">
      <c r="K738" s="1462">
        <v>42795</v>
      </c>
      <c r="L738" s="1463" t="s">
        <v>2127</v>
      </c>
      <c r="M738" s="1464">
        <v>4.5512999999999998E-2</v>
      </c>
      <c r="N738" s="1465">
        <v>1.2945366181283136</v>
      </c>
      <c r="O738" s="1465">
        <v>1.2975015973467974</v>
      </c>
    </row>
    <row r="739" spans="11:15">
      <c r="K739" s="1462">
        <v>42796</v>
      </c>
      <c r="L739" s="1463" t="s">
        <v>2127</v>
      </c>
      <c r="M739" s="1464">
        <v>4.5512999999999998E-2</v>
      </c>
      <c r="N739" s="1465">
        <v>1.2951258005793223</v>
      </c>
      <c r="O739" s="1465">
        <v>1.2981831879108996</v>
      </c>
    </row>
    <row r="740" spans="11:15">
      <c r="K740" s="1462">
        <v>42797</v>
      </c>
      <c r="L740" s="1463" t="s">
        <v>2127</v>
      </c>
      <c r="M740" s="1464">
        <v>4.5512999999999998E-2</v>
      </c>
      <c r="N740" s="1465">
        <v>1.2957152511849399</v>
      </c>
      <c r="O740" s="1465">
        <v>1.2988651365213411</v>
      </c>
    </row>
    <row r="741" spans="11:15">
      <c r="K741" s="1462">
        <v>42798</v>
      </c>
      <c r="L741" s="1463"/>
      <c r="M741" s="1464">
        <v>0</v>
      </c>
      <c r="N741" s="1465">
        <v>1.2957152511849399</v>
      </c>
      <c r="O741" s="1465">
        <v>1.2988651365213411</v>
      </c>
    </row>
    <row r="742" spans="11:15">
      <c r="K742" s="1462">
        <v>42799</v>
      </c>
      <c r="L742" s="1463"/>
      <c r="M742" s="1464">
        <v>0</v>
      </c>
      <c r="N742" s="1465">
        <v>1.2957152511849399</v>
      </c>
      <c r="O742" s="1465">
        <v>1.2988651365213411</v>
      </c>
    </row>
    <row r="743" spans="11:15">
      <c r="K743" s="1462">
        <v>42800</v>
      </c>
      <c r="L743" s="1463" t="s">
        <v>2127</v>
      </c>
      <c r="M743" s="1464">
        <v>4.5512999999999998E-2</v>
      </c>
      <c r="N743" s="1465">
        <v>1.2963049700672116</v>
      </c>
      <c r="O743" s="1465">
        <v>1.2995474433662071</v>
      </c>
    </row>
    <row r="744" spans="11:15">
      <c r="K744" s="1462">
        <v>42801</v>
      </c>
      <c r="L744" s="1463" t="s">
        <v>2127</v>
      </c>
      <c r="M744" s="1464">
        <v>4.5512999999999998E-2</v>
      </c>
      <c r="N744" s="1465">
        <v>1.2968949573482382</v>
      </c>
      <c r="O744" s="1465">
        <v>1.3002301086336818</v>
      </c>
    </row>
    <row r="745" spans="11:15">
      <c r="K745" s="1462">
        <v>42802</v>
      </c>
      <c r="L745" s="1463" t="s">
        <v>2127</v>
      </c>
      <c r="M745" s="1464">
        <v>4.5512999999999998E-2</v>
      </c>
      <c r="N745" s="1465">
        <v>1.2974852131501762</v>
      </c>
      <c r="O745" s="1465">
        <v>1.3009131325120482</v>
      </c>
    </row>
    <row r="746" spans="11:15">
      <c r="K746" s="1462">
        <v>42803</v>
      </c>
      <c r="L746" s="1463" t="s">
        <v>2127</v>
      </c>
      <c r="M746" s="1464">
        <v>4.5512999999999998E-2</v>
      </c>
      <c r="N746" s="1465">
        <v>1.2980757375952372</v>
      </c>
      <c r="O746" s="1465">
        <v>1.3015965151896882</v>
      </c>
    </row>
    <row r="747" spans="11:15">
      <c r="K747" s="1462">
        <v>42804</v>
      </c>
      <c r="L747" s="1463" t="s">
        <v>2127</v>
      </c>
      <c r="M747" s="1464">
        <v>4.5512999999999998E-2</v>
      </c>
      <c r="N747" s="1465">
        <v>1.2986665308056888</v>
      </c>
      <c r="O747" s="1465">
        <v>1.3022802568550824</v>
      </c>
    </row>
    <row r="748" spans="11:15">
      <c r="K748" s="1462">
        <v>42805</v>
      </c>
      <c r="L748" s="1463"/>
      <c r="M748" s="1464">
        <v>0</v>
      </c>
      <c r="N748" s="1465">
        <v>1.2986665308056888</v>
      </c>
      <c r="O748" s="1465">
        <v>1.3022802568550824</v>
      </c>
    </row>
    <row r="749" spans="11:15">
      <c r="K749" s="1462">
        <v>42806</v>
      </c>
      <c r="L749" s="1463"/>
      <c r="M749" s="1464">
        <v>0</v>
      </c>
      <c r="N749" s="1465">
        <v>1.2986665308056888</v>
      </c>
      <c r="O749" s="1465">
        <v>1.3022802568550824</v>
      </c>
    </row>
    <row r="750" spans="11:15">
      <c r="K750" s="1462">
        <v>42807</v>
      </c>
      <c r="L750" s="1463" t="s">
        <v>2127</v>
      </c>
      <c r="M750" s="1464">
        <v>4.5512999999999998E-2</v>
      </c>
      <c r="N750" s="1465">
        <v>1.2992575929038543</v>
      </c>
      <c r="O750" s="1465">
        <v>1.3029643576968111</v>
      </c>
    </row>
    <row r="751" spans="11:15">
      <c r="K751" s="1462">
        <v>42808</v>
      </c>
      <c r="L751" s="1463" t="s">
        <v>2127</v>
      </c>
      <c r="M751" s="1464">
        <v>4.5512999999999998E-2</v>
      </c>
      <c r="N751" s="1465">
        <v>1.2998489240121127</v>
      </c>
      <c r="O751" s="1465">
        <v>1.3036488179035528</v>
      </c>
    </row>
    <row r="752" spans="11:15">
      <c r="K752" s="1462">
        <v>42809</v>
      </c>
      <c r="L752" s="1463" t="s">
        <v>2127</v>
      </c>
      <c r="M752" s="1464">
        <v>4.5512999999999998E-2</v>
      </c>
      <c r="N752" s="1465">
        <v>1.3004405242528982</v>
      </c>
      <c r="O752" s="1465">
        <v>1.3043336376640857</v>
      </c>
    </row>
    <row r="753" spans="11:15">
      <c r="K753" s="1462">
        <v>42810</v>
      </c>
      <c r="L753" s="1463" t="s">
        <v>2127</v>
      </c>
      <c r="M753" s="1464">
        <v>4.5512999999999998E-2</v>
      </c>
      <c r="N753" s="1465">
        <v>1.3010323937487014</v>
      </c>
      <c r="O753" s="1465">
        <v>1.305018817167287</v>
      </c>
    </row>
    <row r="754" spans="11:15">
      <c r="K754" s="1462">
        <v>42811</v>
      </c>
      <c r="L754" s="1463" t="s">
        <v>2127</v>
      </c>
      <c r="M754" s="1464">
        <v>4.5512999999999998E-2</v>
      </c>
      <c r="N754" s="1465">
        <v>1.3016245326220681</v>
      </c>
      <c r="O754" s="1465">
        <v>1.3057043566021331</v>
      </c>
    </row>
    <row r="755" spans="11:15">
      <c r="K755" s="1462">
        <v>42812</v>
      </c>
      <c r="L755" s="1463"/>
      <c r="M755" s="1464">
        <v>0</v>
      </c>
      <c r="N755" s="1465">
        <v>1.3016245326220681</v>
      </c>
      <c r="O755" s="1465">
        <v>1.3057043566021331</v>
      </c>
    </row>
    <row r="756" spans="11:15">
      <c r="K756" s="1462">
        <v>42813</v>
      </c>
      <c r="L756" s="1463"/>
      <c r="M756" s="1464">
        <v>0</v>
      </c>
      <c r="N756" s="1465">
        <v>1.3016245326220681</v>
      </c>
      <c r="O756" s="1465">
        <v>1.3057043566021331</v>
      </c>
    </row>
    <row r="757" spans="11:15">
      <c r="K757" s="1462">
        <v>42814</v>
      </c>
      <c r="L757" s="1463" t="s">
        <v>2127</v>
      </c>
      <c r="M757" s="1464">
        <v>4.5512999999999998E-2</v>
      </c>
      <c r="N757" s="1465">
        <v>1.3022169409956004</v>
      </c>
      <c r="O757" s="1465">
        <v>1.3063902561576999</v>
      </c>
    </row>
    <row r="758" spans="11:15">
      <c r="K758" s="1462">
        <v>42815</v>
      </c>
      <c r="L758" s="1463" t="s">
        <v>2127</v>
      </c>
      <c r="M758" s="1464">
        <v>4.5512999999999998E-2</v>
      </c>
      <c r="N758" s="1465">
        <v>1.3028096189919556</v>
      </c>
      <c r="O758" s="1465">
        <v>1.3070765160231621</v>
      </c>
    </row>
    <row r="759" spans="11:15">
      <c r="K759" s="1462">
        <v>42816</v>
      </c>
      <c r="L759" s="1463" t="s">
        <v>2127</v>
      </c>
      <c r="M759" s="1464">
        <v>4.5512999999999998E-2</v>
      </c>
      <c r="N759" s="1465">
        <v>1.3034025667338474</v>
      </c>
      <c r="O759" s="1465">
        <v>1.3077631363877942</v>
      </c>
    </row>
    <row r="760" spans="11:15">
      <c r="K760" s="1462">
        <v>42817</v>
      </c>
      <c r="L760" s="1463" t="s">
        <v>2127</v>
      </c>
      <c r="M760" s="1464">
        <v>4.5512999999999998E-2</v>
      </c>
      <c r="N760" s="1465">
        <v>1.3039957843440448</v>
      </c>
      <c r="O760" s="1465">
        <v>1.30845011744097</v>
      </c>
    </row>
    <row r="761" spans="11:15">
      <c r="K761" s="1462">
        <v>42818</v>
      </c>
      <c r="L761" s="1463" t="s">
        <v>2127</v>
      </c>
      <c r="M761" s="1464">
        <v>4.5512999999999998E-2</v>
      </c>
      <c r="N761" s="1465">
        <v>1.3045892719453733</v>
      </c>
      <c r="O761" s="1465">
        <v>1.309137459372163</v>
      </c>
    </row>
    <row r="762" spans="11:15">
      <c r="K762" s="1462">
        <v>42819</v>
      </c>
      <c r="L762" s="1463"/>
      <c r="M762" s="1464">
        <v>0</v>
      </c>
      <c r="N762" s="1465">
        <v>1.3045892719453733</v>
      </c>
      <c r="O762" s="1465">
        <v>1.309137459372163</v>
      </c>
    </row>
    <row r="763" spans="11:15">
      <c r="K763" s="1462">
        <v>42820</v>
      </c>
      <c r="L763" s="1463"/>
      <c r="M763" s="1464">
        <v>0</v>
      </c>
      <c r="N763" s="1465">
        <v>1.3045892719453733</v>
      </c>
      <c r="O763" s="1465">
        <v>1.309137459372163</v>
      </c>
    </row>
    <row r="764" spans="11:15">
      <c r="K764" s="1462">
        <v>42821</v>
      </c>
      <c r="L764" s="1463" t="s">
        <v>2127</v>
      </c>
      <c r="M764" s="1464">
        <v>4.5512999999999998E-2</v>
      </c>
      <c r="N764" s="1465">
        <v>1.3051830296607139</v>
      </c>
      <c r="O764" s="1465">
        <v>1.3098251623709458</v>
      </c>
    </row>
    <row r="765" spans="11:15">
      <c r="K765" s="1462">
        <v>42822</v>
      </c>
      <c r="L765" s="1463" t="s">
        <v>2127</v>
      </c>
      <c r="M765" s="1464">
        <v>4.5512999999999998E-2</v>
      </c>
      <c r="N765" s="1465">
        <v>1.3057770576130032</v>
      </c>
      <c r="O765" s="1465">
        <v>1.310513226626991</v>
      </c>
    </row>
    <row r="766" spans="11:15">
      <c r="K766" s="1462">
        <v>42823</v>
      </c>
      <c r="L766" s="1463" t="s">
        <v>2127</v>
      </c>
      <c r="M766" s="1464">
        <v>4.5512999999999998E-2</v>
      </c>
      <c r="N766" s="1465">
        <v>1.3063713559252346</v>
      </c>
      <c r="O766" s="1465">
        <v>1.3112016523300705</v>
      </c>
    </row>
    <row r="767" spans="11:15">
      <c r="K767" s="1462">
        <v>42824</v>
      </c>
      <c r="L767" s="1463" t="s">
        <v>2127</v>
      </c>
      <c r="M767" s="1464">
        <v>4.5512999999999998E-2</v>
      </c>
      <c r="N767" s="1465">
        <v>1.3069659247204568</v>
      </c>
      <c r="O767" s="1465">
        <v>1.3118904396700559</v>
      </c>
    </row>
    <row r="768" spans="11:15">
      <c r="K768" s="1462">
        <v>42825</v>
      </c>
      <c r="L768" s="1463" t="s">
        <v>2127</v>
      </c>
      <c r="M768" s="1464">
        <v>4.5512999999999998E-2</v>
      </c>
      <c r="N768" s="1465">
        <v>1.3075607641217748</v>
      </c>
      <c r="O768" s="1465">
        <v>1.3125795888369189</v>
      </c>
    </row>
    <row r="769" spans="11:15">
      <c r="K769" s="1462">
        <v>42826</v>
      </c>
      <c r="L769" s="1463"/>
      <c r="M769" s="1464">
        <v>0</v>
      </c>
      <c r="N769" s="1465">
        <v>1.3075607641217748</v>
      </c>
      <c r="O769" s="1465">
        <v>1.3125795888369189</v>
      </c>
    </row>
    <row r="770" spans="11:15">
      <c r="K770" s="1462">
        <v>42827</v>
      </c>
      <c r="L770" s="1463"/>
      <c r="M770" s="1464">
        <v>0</v>
      </c>
      <c r="N770" s="1465">
        <v>1.3075607641217748</v>
      </c>
      <c r="O770" s="1465">
        <v>1.3125795888369189</v>
      </c>
    </row>
    <row r="771" spans="11:15">
      <c r="K771" s="1462">
        <v>42828</v>
      </c>
      <c r="L771" s="1463" t="s">
        <v>2127</v>
      </c>
      <c r="M771" s="1464">
        <v>4.5512999999999998E-2</v>
      </c>
      <c r="N771" s="1465">
        <v>1.3081558742523496</v>
      </c>
      <c r="O771" s="1465">
        <v>1.3132691000207308</v>
      </c>
    </row>
    <row r="772" spans="11:15">
      <c r="K772" s="1462">
        <v>42829</v>
      </c>
      <c r="L772" s="1463" t="s">
        <v>2127</v>
      </c>
      <c r="M772" s="1464">
        <v>4.5512999999999998E-2</v>
      </c>
      <c r="N772" s="1465">
        <v>1.3087512552353979</v>
      </c>
      <c r="O772" s="1465">
        <v>1.3139589734116628</v>
      </c>
    </row>
    <row r="773" spans="11:15">
      <c r="K773" s="1462">
        <v>42830</v>
      </c>
      <c r="L773" s="1463" t="s">
        <v>2127</v>
      </c>
      <c r="M773" s="1464">
        <v>4.5512999999999998E-2</v>
      </c>
      <c r="N773" s="1465">
        <v>1.3093469071941932</v>
      </c>
      <c r="O773" s="1465">
        <v>1.3146492091999857</v>
      </c>
    </row>
    <row r="774" spans="11:15">
      <c r="K774" s="1462">
        <v>42831</v>
      </c>
      <c r="L774" s="1463" t="s">
        <v>2127</v>
      </c>
      <c r="M774" s="1464">
        <v>4.5512999999999998E-2</v>
      </c>
      <c r="N774" s="1465">
        <v>1.3099428302520644</v>
      </c>
      <c r="O774" s="1465">
        <v>1.3153398075760705</v>
      </c>
    </row>
    <row r="775" spans="11:15">
      <c r="K775" s="1462">
        <v>42832</v>
      </c>
      <c r="L775" s="1463" t="s">
        <v>2127</v>
      </c>
      <c r="M775" s="1464">
        <v>4.5512999999999998E-2</v>
      </c>
      <c r="N775" s="1465">
        <v>1.3105390245323969</v>
      </c>
      <c r="O775" s="1465">
        <v>1.3160307687303883</v>
      </c>
    </row>
    <row r="776" spans="11:15">
      <c r="K776" s="1462">
        <v>42833</v>
      </c>
      <c r="L776" s="1463"/>
      <c r="M776" s="1464">
        <v>0</v>
      </c>
      <c r="N776" s="1465">
        <v>1.3105390245323969</v>
      </c>
      <c r="O776" s="1465">
        <v>1.3160307687303883</v>
      </c>
    </row>
    <row r="777" spans="11:15">
      <c r="K777" s="1462">
        <v>42834</v>
      </c>
      <c r="L777" s="1463"/>
      <c r="M777" s="1464">
        <v>0</v>
      </c>
      <c r="N777" s="1465">
        <v>1.3105390245323969</v>
      </c>
      <c r="O777" s="1465">
        <v>1.3160307687303883</v>
      </c>
    </row>
    <row r="778" spans="11:15">
      <c r="K778" s="1462">
        <v>42835</v>
      </c>
      <c r="L778" s="1463" t="s">
        <v>2127</v>
      </c>
      <c r="M778" s="1464">
        <v>4.5512999999999998E-2</v>
      </c>
      <c r="N778" s="1465">
        <v>1.3111354901586323</v>
      </c>
      <c r="O778" s="1465">
        <v>1.3167220928535099</v>
      </c>
    </row>
    <row r="779" spans="11:15">
      <c r="K779" s="1462">
        <v>42836</v>
      </c>
      <c r="L779" s="1463" t="s">
        <v>2127</v>
      </c>
      <c r="M779" s="1464">
        <v>4.5512999999999998E-2</v>
      </c>
      <c r="N779" s="1465">
        <v>1.3117322272542682</v>
      </c>
      <c r="O779" s="1465">
        <v>1.3174137801361068</v>
      </c>
    </row>
    <row r="780" spans="11:15">
      <c r="K780" s="1462">
        <v>42837</v>
      </c>
      <c r="L780" s="1463" t="s">
        <v>2127</v>
      </c>
      <c r="M780" s="1464">
        <v>4.5512999999999998E-2</v>
      </c>
      <c r="N780" s="1465">
        <v>1.3123292359428584</v>
      </c>
      <c r="O780" s="1465">
        <v>1.3181058307689502</v>
      </c>
    </row>
    <row r="781" spans="11:15">
      <c r="K781" s="1462">
        <v>42838</v>
      </c>
      <c r="L781" s="1463" t="s">
        <v>2127</v>
      </c>
      <c r="M781" s="1464">
        <v>4.1957000000000001E-2</v>
      </c>
      <c r="N781" s="1465">
        <v>1.3128798499203831</v>
      </c>
      <c r="O781" s="1465">
        <v>1.3187982449429114</v>
      </c>
    </row>
    <row r="782" spans="11:15">
      <c r="K782" s="1462">
        <v>42839</v>
      </c>
      <c r="L782" s="1463"/>
      <c r="M782" s="1464">
        <v>0</v>
      </c>
      <c r="N782" s="1465">
        <v>1.3128798499203831</v>
      </c>
      <c r="O782" s="1465">
        <v>1.3187982449429114</v>
      </c>
    </row>
    <row r="783" spans="11:15">
      <c r="K783" s="1462">
        <v>42840</v>
      </c>
      <c r="L783" s="1463"/>
      <c r="M783" s="1464">
        <v>0</v>
      </c>
      <c r="N783" s="1465">
        <v>1.3128798499203831</v>
      </c>
      <c r="O783" s="1465">
        <v>1.3187982449429114</v>
      </c>
    </row>
    <row r="784" spans="11:15">
      <c r="K784" s="1462">
        <v>42841</v>
      </c>
      <c r="L784" s="1463"/>
      <c r="M784" s="1464">
        <v>0</v>
      </c>
      <c r="N784" s="1465">
        <v>1.3128798499203831</v>
      </c>
      <c r="O784" s="1465">
        <v>1.3187982449429114</v>
      </c>
    </row>
    <row r="785" spans="11:15">
      <c r="K785" s="1462">
        <v>42842</v>
      </c>
      <c r="L785" s="1463" t="s">
        <v>2127</v>
      </c>
      <c r="M785" s="1464">
        <v>4.1957000000000001E-2</v>
      </c>
      <c r="N785" s="1465">
        <v>1.3134306949190142</v>
      </c>
      <c r="O785" s="1465">
        <v>1.3194910228489625</v>
      </c>
    </row>
    <row r="786" spans="11:15">
      <c r="K786" s="1462">
        <v>42843</v>
      </c>
      <c r="L786" s="1463" t="s">
        <v>2127</v>
      </c>
      <c r="M786" s="1464">
        <v>4.1957000000000001E-2</v>
      </c>
      <c r="N786" s="1465">
        <v>1.3139817710356814</v>
      </c>
      <c r="O786" s="1465">
        <v>1.3201841646781753</v>
      </c>
    </row>
    <row r="787" spans="11:15">
      <c r="K787" s="1462">
        <v>42844</v>
      </c>
      <c r="L787" s="1463" t="s">
        <v>2127</v>
      </c>
      <c r="M787" s="1464">
        <v>4.1957000000000001E-2</v>
      </c>
      <c r="N787" s="1465">
        <v>1.3145330783673548</v>
      </c>
      <c r="O787" s="1465">
        <v>1.3208776706217225</v>
      </c>
    </row>
    <row r="788" spans="11:15">
      <c r="K788" s="1462">
        <v>42845</v>
      </c>
      <c r="L788" s="1463" t="s">
        <v>2127</v>
      </c>
      <c r="M788" s="1464">
        <v>4.1957000000000001E-2</v>
      </c>
      <c r="N788" s="1465">
        <v>1.3150846170110455</v>
      </c>
      <c r="O788" s="1465">
        <v>1.3215715408708768</v>
      </c>
    </row>
    <row r="789" spans="11:15">
      <c r="K789" s="1462">
        <v>42846</v>
      </c>
      <c r="L789" s="1463"/>
      <c r="M789" s="1464">
        <v>0</v>
      </c>
      <c r="N789" s="1465">
        <v>1.3150846170110455</v>
      </c>
      <c r="O789" s="1465">
        <v>1.3215715408708768</v>
      </c>
    </row>
    <row r="790" spans="11:15">
      <c r="K790" s="1462">
        <v>42847</v>
      </c>
      <c r="L790" s="1463"/>
      <c r="M790" s="1464">
        <v>0</v>
      </c>
      <c r="N790" s="1465">
        <v>1.3150846170110455</v>
      </c>
      <c r="O790" s="1465">
        <v>1.3215715408708768</v>
      </c>
    </row>
    <row r="791" spans="11:15">
      <c r="K791" s="1462">
        <v>42848</v>
      </c>
      <c r="L791" s="1463"/>
      <c r="M791" s="1464">
        <v>0</v>
      </c>
      <c r="N791" s="1465">
        <v>1.3150846170110455</v>
      </c>
      <c r="O791" s="1465">
        <v>1.3215715408708768</v>
      </c>
    </row>
    <row r="792" spans="11:15">
      <c r="K792" s="1462">
        <v>42849</v>
      </c>
      <c r="L792" s="1463" t="s">
        <v>2127</v>
      </c>
      <c r="M792" s="1464">
        <v>4.1957000000000001E-2</v>
      </c>
      <c r="N792" s="1465">
        <v>1.3156363870638048</v>
      </c>
      <c r="O792" s="1465">
        <v>1.3222657756170118</v>
      </c>
    </row>
    <row r="793" spans="11:15">
      <c r="K793" s="1462">
        <v>42850</v>
      </c>
      <c r="L793" s="1463" t="s">
        <v>2127</v>
      </c>
      <c r="M793" s="1464">
        <v>4.1957000000000001E-2</v>
      </c>
      <c r="N793" s="1465">
        <v>1.3161883886227252</v>
      </c>
      <c r="O793" s="1465">
        <v>1.322960375051601</v>
      </c>
    </row>
    <row r="794" spans="11:15">
      <c r="K794" s="1462">
        <v>42851</v>
      </c>
      <c r="L794" s="1463" t="s">
        <v>2127</v>
      </c>
      <c r="M794" s="1464">
        <v>4.1957000000000001E-2</v>
      </c>
      <c r="N794" s="1465">
        <v>1.3167406217849398</v>
      </c>
      <c r="O794" s="1465">
        <v>1.3236553393662194</v>
      </c>
    </row>
    <row r="795" spans="11:15">
      <c r="K795" s="1462">
        <v>42852</v>
      </c>
      <c r="L795" s="1463" t="s">
        <v>2127</v>
      </c>
      <c r="M795" s="1464">
        <v>4.1957000000000001E-2</v>
      </c>
      <c r="N795" s="1465">
        <v>1.3172930866476222</v>
      </c>
      <c r="O795" s="1465">
        <v>1.3243506687525419</v>
      </c>
    </row>
    <row r="796" spans="11:15">
      <c r="K796" s="1462">
        <v>42853</v>
      </c>
      <c r="L796" s="1463" t="s">
        <v>2127</v>
      </c>
      <c r="M796" s="1464">
        <v>4.1957000000000001E-2</v>
      </c>
      <c r="N796" s="1465">
        <v>1.3178457833079871</v>
      </c>
      <c r="O796" s="1465">
        <v>1.3250463634023444</v>
      </c>
    </row>
    <row r="797" spans="11:15">
      <c r="K797" s="1462">
        <v>42854</v>
      </c>
      <c r="L797" s="1463"/>
      <c r="M797" s="1464">
        <v>0</v>
      </c>
      <c r="N797" s="1465">
        <v>1.3178457833079871</v>
      </c>
      <c r="O797" s="1465">
        <v>1.3250463634023444</v>
      </c>
    </row>
    <row r="798" spans="11:15">
      <c r="K798" s="1462">
        <v>42855</v>
      </c>
      <c r="L798" s="1463"/>
      <c r="M798" s="1464">
        <v>0</v>
      </c>
      <c r="N798" s="1465">
        <v>1.3178457833079871</v>
      </c>
      <c r="O798" s="1465">
        <v>1.3250463634023444</v>
      </c>
    </row>
    <row r="799" spans="11:15">
      <c r="K799" s="1462">
        <v>42856</v>
      </c>
      <c r="L799" s="1463"/>
      <c r="M799" s="1464">
        <v>0</v>
      </c>
      <c r="N799" s="1465">
        <v>1.3178457833079871</v>
      </c>
      <c r="O799" s="1465">
        <v>1.3250463634023444</v>
      </c>
    </row>
    <row r="800" spans="11:15">
      <c r="K800" s="1462">
        <v>42857</v>
      </c>
      <c r="L800" s="1463" t="s">
        <v>2127</v>
      </c>
      <c r="M800" s="1464">
        <v>4.1957000000000001E-2</v>
      </c>
      <c r="N800" s="1465">
        <v>1.3183987118632896</v>
      </c>
      <c r="O800" s="1465">
        <v>1.3257424235075033</v>
      </c>
    </row>
    <row r="801" spans="11:15">
      <c r="K801" s="1462">
        <v>42858</v>
      </c>
      <c r="L801" s="1463" t="s">
        <v>2127</v>
      </c>
      <c r="M801" s="1464">
        <v>4.1957000000000001E-2</v>
      </c>
      <c r="N801" s="1465">
        <v>1.3189518724108262</v>
      </c>
      <c r="O801" s="1465">
        <v>1.3264388492599959</v>
      </c>
    </row>
    <row r="802" spans="11:15">
      <c r="K802" s="1462">
        <v>42859</v>
      </c>
      <c r="L802" s="1463" t="s">
        <v>2127</v>
      </c>
      <c r="M802" s="1464">
        <v>4.1957000000000001E-2</v>
      </c>
      <c r="N802" s="1465">
        <v>1.3195052650479338</v>
      </c>
      <c r="O802" s="1465">
        <v>1.3271356408519006</v>
      </c>
    </row>
    <row r="803" spans="11:15">
      <c r="K803" s="1462">
        <v>42860</v>
      </c>
      <c r="L803" s="1463" t="s">
        <v>2127</v>
      </c>
      <c r="M803" s="1464">
        <v>4.1957000000000001E-2</v>
      </c>
      <c r="N803" s="1465">
        <v>1.32005888987199</v>
      </c>
      <c r="O803" s="1465">
        <v>1.3278327984753966</v>
      </c>
    </row>
    <row r="804" spans="11:15">
      <c r="K804" s="1462">
        <v>42861</v>
      </c>
      <c r="L804" s="1463"/>
      <c r="M804" s="1464">
        <v>0</v>
      </c>
      <c r="N804" s="1465">
        <v>1.32005888987199</v>
      </c>
      <c r="O804" s="1465">
        <v>1.3278327984753966</v>
      </c>
    </row>
    <row r="805" spans="11:15">
      <c r="K805" s="1462">
        <v>42862</v>
      </c>
      <c r="L805" s="1463"/>
      <c r="M805" s="1464">
        <v>0</v>
      </c>
      <c r="N805" s="1465">
        <v>1.32005888987199</v>
      </c>
      <c r="O805" s="1465">
        <v>1.3278327984753966</v>
      </c>
    </row>
    <row r="806" spans="11:15">
      <c r="K806" s="1462">
        <v>42863</v>
      </c>
      <c r="L806" s="1463" t="s">
        <v>2127</v>
      </c>
      <c r="M806" s="1464">
        <v>4.1957000000000001E-2</v>
      </c>
      <c r="N806" s="1465">
        <v>1.3206127469804136</v>
      </c>
      <c r="O806" s="1465">
        <v>1.3285303223227638</v>
      </c>
    </row>
    <row r="807" spans="11:15">
      <c r="K807" s="1462">
        <v>42864</v>
      </c>
      <c r="L807" s="1463" t="s">
        <v>2127</v>
      </c>
      <c r="M807" s="1464">
        <v>4.1957000000000001E-2</v>
      </c>
      <c r="N807" s="1465">
        <v>1.3211668364706644</v>
      </c>
      <c r="O807" s="1465">
        <v>1.3292282125863832</v>
      </c>
    </row>
    <row r="808" spans="11:15">
      <c r="K808" s="1462">
        <v>42865</v>
      </c>
      <c r="L808" s="1463" t="s">
        <v>2127</v>
      </c>
      <c r="M808" s="1464">
        <v>4.1957000000000001E-2</v>
      </c>
      <c r="N808" s="1465">
        <v>1.3217211584402424</v>
      </c>
      <c r="O808" s="1465">
        <v>1.3299264694587369</v>
      </c>
    </row>
    <row r="809" spans="11:15">
      <c r="K809" s="1462">
        <v>42866</v>
      </c>
      <c r="L809" s="1463" t="s">
        <v>2127</v>
      </c>
      <c r="M809" s="1464">
        <v>4.1957000000000001E-2</v>
      </c>
      <c r="N809" s="1465">
        <v>1.3222757129866893</v>
      </c>
      <c r="O809" s="1465">
        <v>1.3306250931324084</v>
      </c>
    </row>
    <row r="810" spans="11:15">
      <c r="K810" s="1462">
        <v>42867</v>
      </c>
      <c r="L810" s="1463" t="s">
        <v>2127</v>
      </c>
      <c r="M810" s="1464">
        <v>4.1957000000000001E-2</v>
      </c>
      <c r="N810" s="1465">
        <v>1.3228305002075873</v>
      </c>
      <c r="O810" s="1465">
        <v>1.3313240838000817</v>
      </c>
    </row>
    <row r="811" spans="11:15">
      <c r="K811" s="1462">
        <v>42868</v>
      </c>
      <c r="L811" s="1463"/>
      <c r="M811" s="1464">
        <v>0</v>
      </c>
      <c r="N811" s="1465">
        <v>1.3228305002075873</v>
      </c>
      <c r="O811" s="1465">
        <v>1.3313240838000817</v>
      </c>
    </row>
    <row r="812" spans="11:15">
      <c r="K812" s="1462">
        <v>42869</v>
      </c>
      <c r="L812" s="1463"/>
      <c r="M812" s="1464">
        <v>0</v>
      </c>
      <c r="N812" s="1465">
        <v>1.3228305002075873</v>
      </c>
      <c r="O812" s="1465">
        <v>1.3313240838000817</v>
      </c>
    </row>
    <row r="813" spans="11:15">
      <c r="K813" s="1462">
        <v>42870</v>
      </c>
      <c r="L813" s="1463" t="s">
        <v>2127</v>
      </c>
      <c r="M813" s="1464">
        <v>4.1957000000000001E-2</v>
      </c>
      <c r="N813" s="1465">
        <v>1.3233855202005596</v>
      </c>
      <c r="O813" s="1465">
        <v>1.3320234416545427</v>
      </c>
    </row>
    <row r="814" spans="11:15">
      <c r="K814" s="1462">
        <v>42871</v>
      </c>
      <c r="L814" s="1463" t="s">
        <v>2127</v>
      </c>
      <c r="M814" s="1464">
        <v>4.1957000000000001E-2</v>
      </c>
      <c r="N814" s="1465">
        <v>1.3239407730632702</v>
      </c>
      <c r="O814" s="1465">
        <v>1.3327231668886783</v>
      </c>
    </row>
    <row r="815" spans="11:15">
      <c r="K815" s="1462">
        <v>42872</v>
      </c>
      <c r="L815" s="1463" t="s">
        <v>2127</v>
      </c>
      <c r="M815" s="1464">
        <v>4.1957000000000001E-2</v>
      </c>
      <c r="N815" s="1465">
        <v>1.3244962588934244</v>
      </c>
      <c r="O815" s="1465">
        <v>1.3334232596954767</v>
      </c>
    </row>
    <row r="816" spans="11:15">
      <c r="K816" s="1462">
        <v>42873</v>
      </c>
      <c r="L816" s="1463" t="s">
        <v>2127</v>
      </c>
      <c r="M816" s="1464">
        <v>4.1957000000000001E-2</v>
      </c>
      <c r="N816" s="1465">
        <v>1.3250519777887684</v>
      </c>
      <c r="O816" s="1465">
        <v>1.3341237202680274</v>
      </c>
    </row>
    <row r="817" spans="11:15">
      <c r="K817" s="1462">
        <v>42874</v>
      </c>
      <c r="L817" s="1463" t="s">
        <v>2127</v>
      </c>
      <c r="M817" s="1464">
        <v>4.1957000000000001E-2</v>
      </c>
      <c r="N817" s="1465">
        <v>1.3256079298470893</v>
      </c>
      <c r="O817" s="1465">
        <v>1.3348245487995214</v>
      </c>
    </row>
    <row r="818" spans="11:15">
      <c r="K818" s="1462">
        <v>42875</v>
      </c>
      <c r="L818" s="1463"/>
      <c r="M818" s="1464">
        <v>0</v>
      </c>
      <c r="N818" s="1465">
        <v>1.3256079298470893</v>
      </c>
      <c r="O818" s="1465">
        <v>1.3348245487995214</v>
      </c>
    </row>
    <row r="819" spans="11:15">
      <c r="K819" s="1462">
        <v>42876</v>
      </c>
      <c r="L819" s="1463"/>
      <c r="M819" s="1464">
        <v>0</v>
      </c>
      <c r="N819" s="1465">
        <v>1.3256079298470893</v>
      </c>
      <c r="O819" s="1465">
        <v>1.3348245487995214</v>
      </c>
    </row>
    <row r="820" spans="11:15">
      <c r="K820" s="1462">
        <v>42877</v>
      </c>
      <c r="L820" s="1463" t="s">
        <v>2127</v>
      </c>
      <c r="M820" s="1464">
        <v>4.1957000000000001E-2</v>
      </c>
      <c r="N820" s="1465">
        <v>1.3261641151662154</v>
      </c>
      <c r="O820" s="1465">
        <v>1.3355257454832512</v>
      </c>
    </row>
    <row r="821" spans="11:15">
      <c r="K821" s="1462">
        <v>42878</v>
      </c>
      <c r="L821" s="1463" t="s">
        <v>2127</v>
      </c>
      <c r="M821" s="1464">
        <v>4.1957000000000001E-2</v>
      </c>
      <c r="N821" s="1465">
        <v>1.3267205338440158</v>
      </c>
      <c r="O821" s="1465">
        <v>1.336227310512611</v>
      </c>
    </row>
    <row r="822" spans="11:15">
      <c r="K822" s="1462">
        <v>42879</v>
      </c>
      <c r="L822" s="1463" t="s">
        <v>2127</v>
      </c>
      <c r="M822" s="1464">
        <v>4.1957000000000001E-2</v>
      </c>
      <c r="N822" s="1465">
        <v>1.3272771859784007</v>
      </c>
      <c r="O822" s="1465">
        <v>1.3369292440810965</v>
      </c>
    </row>
    <row r="823" spans="11:15">
      <c r="K823" s="1462">
        <v>42880</v>
      </c>
      <c r="L823" s="1463" t="s">
        <v>2127</v>
      </c>
      <c r="M823" s="1464">
        <v>4.1957000000000001E-2</v>
      </c>
      <c r="N823" s="1465">
        <v>1.3278340716673218</v>
      </c>
      <c r="O823" s="1465">
        <v>1.3376315463823047</v>
      </c>
    </row>
    <row r="824" spans="11:15">
      <c r="K824" s="1462">
        <v>42881</v>
      </c>
      <c r="L824" s="1463" t="s">
        <v>2127</v>
      </c>
      <c r="M824" s="1464">
        <v>4.1957000000000001E-2</v>
      </c>
      <c r="N824" s="1465">
        <v>1.3283911910087713</v>
      </c>
      <c r="O824" s="1465">
        <v>1.3383342176099349</v>
      </c>
    </row>
    <row r="825" spans="11:15">
      <c r="K825" s="1462">
        <v>42882</v>
      </c>
      <c r="L825" s="1463"/>
      <c r="M825" s="1464">
        <v>0</v>
      </c>
      <c r="N825" s="1465">
        <v>1.3283911910087713</v>
      </c>
      <c r="O825" s="1465">
        <v>1.3383342176099349</v>
      </c>
    </row>
    <row r="826" spans="11:15">
      <c r="K826" s="1462">
        <v>42883</v>
      </c>
      <c r="L826" s="1463"/>
      <c r="M826" s="1464">
        <v>0</v>
      </c>
      <c r="N826" s="1465">
        <v>1.3283911910087713</v>
      </c>
      <c r="O826" s="1465">
        <v>1.3383342176099349</v>
      </c>
    </row>
    <row r="827" spans="11:15">
      <c r="K827" s="1462">
        <v>42884</v>
      </c>
      <c r="L827" s="1463" t="s">
        <v>2127</v>
      </c>
      <c r="M827" s="1464">
        <v>4.1957000000000001E-2</v>
      </c>
      <c r="N827" s="1465">
        <v>1.3289485441007829</v>
      </c>
      <c r="O827" s="1465">
        <v>1.3390372579577876</v>
      </c>
    </row>
    <row r="828" spans="11:15">
      <c r="K828" s="1462">
        <v>42885</v>
      </c>
      <c r="L828" s="1463" t="s">
        <v>2127</v>
      </c>
      <c r="M828" s="1464">
        <v>4.1957000000000001E-2</v>
      </c>
      <c r="N828" s="1465">
        <v>1.3295061310414313</v>
      </c>
      <c r="O828" s="1465">
        <v>1.3397406676197654</v>
      </c>
    </row>
    <row r="829" spans="11:15">
      <c r="K829" s="1462">
        <v>42886</v>
      </c>
      <c r="L829" s="1463" t="s">
        <v>2127</v>
      </c>
      <c r="M829" s="1464">
        <v>4.1957000000000001E-2</v>
      </c>
      <c r="N829" s="1465">
        <v>1.3300639519288324</v>
      </c>
      <c r="O829" s="1465">
        <v>1.3404444467898728</v>
      </c>
    </row>
    <row r="830" spans="11:15">
      <c r="K830" s="1462">
        <v>42887</v>
      </c>
      <c r="L830" s="1463" t="s">
        <v>2127</v>
      </c>
      <c r="M830" s="1464">
        <v>3.8370000000000001E-2</v>
      </c>
      <c r="N830" s="1465">
        <v>1.3305742974671875</v>
      </c>
      <c r="O830" s="1465">
        <v>1.341148595662216</v>
      </c>
    </row>
    <row r="831" spans="11:15">
      <c r="K831" s="1462">
        <v>42888</v>
      </c>
      <c r="L831" s="1463" t="s">
        <v>2127</v>
      </c>
      <c r="M831" s="1464">
        <v>3.8370000000000001E-2</v>
      </c>
      <c r="N831" s="1465">
        <v>1.3310848388251255</v>
      </c>
      <c r="O831" s="1465">
        <v>1.3418531144310033</v>
      </c>
    </row>
    <row r="832" spans="11:15">
      <c r="K832" s="1462">
        <v>42889</v>
      </c>
      <c r="L832" s="1463"/>
      <c r="M832" s="1464">
        <v>0</v>
      </c>
      <c r="N832" s="1465">
        <v>1.3310848388251255</v>
      </c>
      <c r="O832" s="1465">
        <v>1.3418531144310033</v>
      </c>
    </row>
    <row r="833" spans="11:15">
      <c r="K833" s="1462">
        <v>42890</v>
      </c>
      <c r="L833" s="1463"/>
      <c r="M833" s="1464">
        <v>0</v>
      </c>
      <c r="N833" s="1465">
        <v>1.3310848388251255</v>
      </c>
      <c r="O833" s="1465">
        <v>1.3418531144310033</v>
      </c>
    </row>
    <row r="834" spans="11:15">
      <c r="K834" s="1462">
        <v>42891</v>
      </c>
      <c r="L834" s="1463" t="s">
        <v>2127</v>
      </c>
      <c r="M834" s="1464">
        <v>3.8370000000000001E-2</v>
      </c>
      <c r="N834" s="1465">
        <v>1.3315955760777827</v>
      </c>
      <c r="O834" s="1465">
        <v>1.3425580032905451</v>
      </c>
    </row>
    <row r="835" spans="11:15">
      <c r="K835" s="1462">
        <v>42892</v>
      </c>
      <c r="L835" s="1463" t="s">
        <v>2127</v>
      </c>
      <c r="M835" s="1464">
        <v>3.8370000000000001E-2</v>
      </c>
      <c r="N835" s="1465">
        <v>1.3321065093003237</v>
      </c>
      <c r="O835" s="1465">
        <v>1.3432632624352536</v>
      </c>
    </row>
    <row r="836" spans="11:15">
      <c r="K836" s="1462">
        <v>42893</v>
      </c>
      <c r="L836" s="1463" t="s">
        <v>2127</v>
      </c>
      <c r="M836" s="1464">
        <v>3.8370000000000001E-2</v>
      </c>
      <c r="N836" s="1465">
        <v>1.3326176385679422</v>
      </c>
      <c r="O836" s="1465">
        <v>1.3439688920596435</v>
      </c>
    </row>
    <row r="837" spans="11:15">
      <c r="K837" s="1462">
        <v>42894</v>
      </c>
      <c r="L837" s="1463" t="s">
        <v>2127</v>
      </c>
      <c r="M837" s="1464">
        <v>3.8370000000000001E-2</v>
      </c>
      <c r="N837" s="1465">
        <v>1.3331289639558608</v>
      </c>
      <c r="O837" s="1465">
        <v>1.3446748923583314</v>
      </c>
    </row>
    <row r="838" spans="11:15">
      <c r="K838" s="1462">
        <v>42895</v>
      </c>
      <c r="L838" s="1463" t="s">
        <v>2127</v>
      </c>
      <c r="M838" s="1464">
        <v>3.8370000000000001E-2</v>
      </c>
      <c r="N838" s="1465">
        <v>1.3336404855393307</v>
      </c>
      <c r="O838" s="1465">
        <v>1.345381263526036</v>
      </c>
    </row>
    <row r="839" spans="11:15">
      <c r="K839" s="1462">
        <v>42896</v>
      </c>
      <c r="L839" s="1463"/>
      <c r="M839" s="1464">
        <v>0</v>
      </c>
      <c r="N839" s="1465">
        <v>1.3336404855393307</v>
      </c>
      <c r="O839" s="1465">
        <v>1.345381263526036</v>
      </c>
    </row>
    <row r="840" spans="11:15">
      <c r="K840" s="1462">
        <v>42897</v>
      </c>
      <c r="L840" s="1463"/>
      <c r="M840" s="1464">
        <v>0</v>
      </c>
      <c r="N840" s="1465">
        <v>1.3336404855393307</v>
      </c>
      <c r="O840" s="1465">
        <v>1.345381263526036</v>
      </c>
    </row>
    <row r="841" spans="11:15">
      <c r="K841" s="1462">
        <v>42898</v>
      </c>
      <c r="L841" s="1463" t="s">
        <v>2127</v>
      </c>
      <c r="M841" s="1464">
        <v>3.8370000000000001E-2</v>
      </c>
      <c r="N841" s="1465">
        <v>1.3341522033936322</v>
      </c>
      <c r="O841" s="1465">
        <v>1.3460880057575788</v>
      </c>
    </row>
    <row r="842" spans="11:15">
      <c r="K842" s="1462">
        <v>42899</v>
      </c>
      <c r="L842" s="1463" t="s">
        <v>2127</v>
      </c>
      <c r="M842" s="1464">
        <v>3.8370000000000001E-2</v>
      </c>
      <c r="N842" s="1465">
        <v>1.3346641175940743</v>
      </c>
      <c r="O842" s="1465">
        <v>1.3467951192478833</v>
      </c>
    </row>
    <row r="843" spans="11:15">
      <c r="K843" s="1462">
        <v>42900</v>
      </c>
      <c r="L843" s="1463" t="s">
        <v>2127</v>
      </c>
      <c r="M843" s="1464">
        <v>3.8370000000000001E-2</v>
      </c>
      <c r="N843" s="1465">
        <v>1.3351762282159951</v>
      </c>
      <c r="O843" s="1465">
        <v>1.3475026041919753</v>
      </c>
    </row>
    <row r="844" spans="11:15">
      <c r="K844" s="1462">
        <v>42901</v>
      </c>
      <c r="L844" s="1463"/>
      <c r="M844" s="1464">
        <v>0</v>
      </c>
      <c r="N844" s="1465">
        <v>1.3351762282159951</v>
      </c>
      <c r="O844" s="1465">
        <v>1.3475026041919753</v>
      </c>
    </row>
    <row r="845" spans="11:15">
      <c r="K845" s="1462">
        <v>42902</v>
      </c>
      <c r="L845" s="1463" t="s">
        <v>2127</v>
      </c>
      <c r="M845" s="1464">
        <v>3.8370000000000001E-2</v>
      </c>
      <c r="N845" s="1465">
        <v>1.3356885353347616</v>
      </c>
      <c r="O845" s="1465">
        <v>1.3482104607849834</v>
      </c>
    </row>
    <row r="846" spans="11:15">
      <c r="K846" s="1462">
        <v>42903</v>
      </c>
      <c r="L846" s="1463"/>
      <c r="M846" s="1464">
        <v>0</v>
      </c>
      <c r="N846" s="1465">
        <v>1.3356885353347616</v>
      </c>
      <c r="O846" s="1465">
        <v>1.3482104607849834</v>
      </c>
    </row>
    <row r="847" spans="11:15">
      <c r="K847" s="1462">
        <v>42904</v>
      </c>
      <c r="L847" s="1463"/>
      <c r="M847" s="1464">
        <v>0</v>
      </c>
      <c r="N847" s="1465">
        <v>1.3356885353347616</v>
      </c>
      <c r="O847" s="1465">
        <v>1.3482104607849834</v>
      </c>
    </row>
    <row r="848" spans="11:15">
      <c r="K848" s="1462">
        <v>42905</v>
      </c>
      <c r="L848" s="1463" t="s">
        <v>2127</v>
      </c>
      <c r="M848" s="1464">
        <v>3.8370000000000001E-2</v>
      </c>
      <c r="N848" s="1465">
        <v>1.3362010390257695</v>
      </c>
      <c r="O848" s="1465">
        <v>1.3489186892221383</v>
      </c>
    </row>
    <row r="849" spans="11:15">
      <c r="K849" s="1462">
        <v>42906</v>
      </c>
      <c r="L849" s="1463" t="s">
        <v>2127</v>
      </c>
      <c r="M849" s="1464">
        <v>3.8370000000000001E-2</v>
      </c>
      <c r="N849" s="1465">
        <v>1.3367137393644437</v>
      </c>
      <c r="O849" s="1465">
        <v>1.3496272896987735</v>
      </c>
    </row>
    <row r="850" spans="11:15">
      <c r="K850" s="1462">
        <v>42907</v>
      </c>
      <c r="L850" s="1463" t="s">
        <v>2127</v>
      </c>
      <c r="M850" s="1464">
        <v>3.8370000000000001E-2</v>
      </c>
      <c r="N850" s="1465">
        <v>1.3372266364262377</v>
      </c>
      <c r="O850" s="1465">
        <v>1.3503362624103252</v>
      </c>
    </row>
    <row r="851" spans="11:15">
      <c r="K851" s="1462">
        <v>42908</v>
      </c>
      <c r="L851" s="1463" t="s">
        <v>2127</v>
      </c>
      <c r="M851" s="1464">
        <v>3.8370000000000001E-2</v>
      </c>
      <c r="N851" s="1465">
        <v>1.3377397302866345</v>
      </c>
      <c r="O851" s="1465">
        <v>1.3510456075523321</v>
      </c>
    </row>
    <row r="852" spans="11:15">
      <c r="K852" s="1462">
        <v>42909</v>
      </c>
      <c r="L852" s="1463" t="s">
        <v>2127</v>
      </c>
      <c r="M852" s="1464">
        <v>3.8370000000000001E-2</v>
      </c>
      <c r="N852" s="1465">
        <v>1.3382530210211454</v>
      </c>
      <c r="O852" s="1465">
        <v>1.3517553253204353</v>
      </c>
    </row>
    <row r="853" spans="11:15">
      <c r="K853" s="1462">
        <v>42910</v>
      </c>
      <c r="L853" s="1463"/>
      <c r="M853" s="1464">
        <v>0</v>
      </c>
      <c r="N853" s="1465">
        <v>1.3382530210211454</v>
      </c>
      <c r="O853" s="1465">
        <v>1.3517553253204353</v>
      </c>
    </row>
    <row r="854" spans="11:15">
      <c r="K854" s="1462">
        <v>42911</v>
      </c>
      <c r="L854" s="1463"/>
      <c r="M854" s="1464">
        <v>0</v>
      </c>
      <c r="N854" s="1465">
        <v>1.3382530210211454</v>
      </c>
      <c r="O854" s="1465">
        <v>1.3517553253204353</v>
      </c>
    </row>
    <row r="855" spans="11:15">
      <c r="K855" s="1462">
        <v>42912</v>
      </c>
      <c r="L855" s="1463" t="s">
        <v>2127</v>
      </c>
      <c r="M855" s="1464">
        <v>3.8370000000000001E-2</v>
      </c>
      <c r="N855" s="1465">
        <v>1.3387665087053111</v>
      </c>
      <c r="O855" s="1465">
        <v>1.3524654159103793</v>
      </c>
    </row>
    <row r="856" spans="11:15">
      <c r="K856" s="1462">
        <v>42913</v>
      </c>
      <c r="L856" s="1463" t="s">
        <v>2127</v>
      </c>
      <c r="M856" s="1464">
        <v>3.8370000000000001E-2</v>
      </c>
      <c r="N856" s="1465">
        <v>1.3392801934147014</v>
      </c>
      <c r="O856" s="1465">
        <v>1.3531758795180111</v>
      </c>
    </row>
    <row r="857" spans="11:15">
      <c r="K857" s="1462">
        <v>42914</v>
      </c>
      <c r="L857" s="1463" t="s">
        <v>2127</v>
      </c>
      <c r="M857" s="1464">
        <v>3.8370000000000001E-2</v>
      </c>
      <c r="N857" s="1465">
        <v>1.3397940752249147</v>
      </c>
      <c r="O857" s="1465">
        <v>1.3538867163392807</v>
      </c>
    </row>
    <row r="858" spans="11:15">
      <c r="K858" s="1462">
        <v>42915</v>
      </c>
      <c r="L858" s="1463" t="s">
        <v>2127</v>
      </c>
      <c r="M858" s="1464">
        <v>3.8370000000000001E-2</v>
      </c>
      <c r="N858" s="1465">
        <v>1.3403081542115785</v>
      </c>
      <c r="O858" s="1465">
        <v>1.3545979265702408</v>
      </c>
    </row>
    <row r="859" spans="11:15">
      <c r="K859" s="1462">
        <v>42916</v>
      </c>
      <c r="L859" s="1463" t="s">
        <v>2127</v>
      </c>
      <c r="M859" s="1464">
        <v>3.8370000000000001E-2</v>
      </c>
      <c r="N859" s="1465">
        <v>1.3408224304503493</v>
      </c>
      <c r="O859" s="1465">
        <v>1.3553095104070474</v>
      </c>
    </row>
    <row r="860" spans="11:15">
      <c r="K860" s="1462">
        <v>42917</v>
      </c>
      <c r="L860" s="1463"/>
      <c r="M860" s="1464">
        <v>0</v>
      </c>
      <c r="N860" s="1465">
        <v>1.3408224304503493</v>
      </c>
      <c r="O860" s="1465">
        <v>1.3553095104070474</v>
      </c>
    </row>
    <row r="861" spans="11:15">
      <c r="K861" s="1462">
        <v>42918</v>
      </c>
      <c r="L861" s="1463"/>
      <c r="M861" s="1464">
        <v>0</v>
      </c>
      <c r="N861" s="1465">
        <v>1.3408224304503493</v>
      </c>
      <c r="O861" s="1465">
        <v>1.3553095104070474</v>
      </c>
    </row>
    <row r="862" spans="11:15">
      <c r="K862" s="1462">
        <v>42919</v>
      </c>
      <c r="L862" s="1463" t="s">
        <v>2127</v>
      </c>
      <c r="M862" s="1464">
        <v>3.8370000000000001E-2</v>
      </c>
      <c r="N862" s="1465">
        <v>1.3413369040169132</v>
      </c>
      <c r="O862" s="1465">
        <v>1.3560214680459592</v>
      </c>
    </row>
    <row r="863" spans="11:15">
      <c r="K863" s="1462">
        <v>42920</v>
      </c>
      <c r="L863" s="1463" t="s">
        <v>2127</v>
      </c>
      <c r="M863" s="1464">
        <v>3.8370000000000001E-2</v>
      </c>
      <c r="N863" s="1465">
        <v>1.3418515749869844</v>
      </c>
      <c r="O863" s="1465">
        <v>1.3567337996833384</v>
      </c>
    </row>
    <row r="864" spans="11:15">
      <c r="K864" s="1462">
        <v>42921</v>
      </c>
      <c r="L864" s="1463" t="s">
        <v>2127</v>
      </c>
      <c r="M864" s="1464">
        <v>3.8370000000000001E-2</v>
      </c>
      <c r="N864" s="1465">
        <v>1.342366443436307</v>
      </c>
      <c r="O864" s="1465">
        <v>1.3574465055156502</v>
      </c>
    </row>
    <row r="865" spans="11:15">
      <c r="K865" s="1462">
        <v>42922</v>
      </c>
      <c r="L865" s="1463" t="s">
        <v>2127</v>
      </c>
      <c r="M865" s="1464">
        <v>3.8370000000000001E-2</v>
      </c>
      <c r="N865" s="1465">
        <v>1.3428815094406534</v>
      </c>
      <c r="O865" s="1465">
        <v>1.3581595857394626</v>
      </c>
    </row>
    <row r="866" spans="11:15">
      <c r="K866" s="1462">
        <v>42923</v>
      </c>
      <c r="L866" s="1463" t="s">
        <v>2127</v>
      </c>
      <c r="M866" s="1464">
        <v>3.8370000000000001E-2</v>
      </c>
      <c r="N866" s="1465">
        <v>1.3433967730758258</v>
      </c>
      <c r="O866" s="1465">
        <v>1.3588730405514473</v>
      </c>
    </row>
    <row r="867" spans="11:15">
      <c r="K867" s="1462">
        <v>42924</v>
      </c>
      <c r="L867" s="1463"/>
      <c r="M867" s="1464">
        <v>0</v>
      </c>
      <c r="N867" s="1465">
        <v>1.3433967730758258</v>
      </c>
      <c r="O867" s="1465">
        <v>1.3588730405514473</v>
      </c>
    </row>
    <row r="868" spans="11:15">
      <c r="K868" s="1462">
        <v>42925</v>
      </c>
      <c r="L868" s="1463"/>
      <c r="M868" s="1464">
        <v>0</v>
      </c>
      <c r="N868" s="1465">
        <v>1.3433967730758258</v>
      </c>
      <c r="O868" s="1465">
        <v>1.3588730405514473</v>
      </c>
    </row>
    <row r="869" spans="11:15">
      <c r="K869" s="1462">
        <v>42926</v>
      </c>
      <c r="L869" s="1463" t="s">
        <v>2127</v>
      </c>
      <c r="M869" s="1464">
        <v>3.8370000000000001E-2</v>
      </c>
      <c r="N869" s="1465">
        <v>1.3439122344176551</v>
      </c>
      <c r="O869" s="1465">
        <v>1.3595868701483793</v>
      </c>
    </row>
    <row r="870" spans="11:15">
      <c r="K870" s="1462">
        <v>42927</v>
      </c>
      <c r="L870" s="1463" t="s">
        <v>2127</v>
      </c>
      <c r="M870" s="1464">
        <v>3.8370000000000001E-2</v>
      </c>
      <c r="N870" s="1465">
        <v>1.3444278935420011</v>
      </c>
      <c r="O870" s="1465">
        <v>1.3603010747271369</v>
      </c>
    </row>
    <row r="871" spans="11:15">
      <c r="K871" s="1462">
        <v>42928</v>
      </c>
      <c r="L871" s="1463" t="s">
        <v>2127</v>
      </c>
      <c r="M871" s="1464">
        <v>3.8370000000000001E-2</v>
      </c>
      <c r="N871" s="1465">
        <v>1.3449437505247532</v>
      </c>
      <c r="O871" s="1465">
        <v>1.3610156544847019</v>
      </c>
    </row>
    <row r="872" spans="11:15">
      <c r="K872" s="1462">
        <v>42929</v>
      </c>
      <c r="L872" s="1463" t="s">
        <v>2127</v>
      </c>
      <c r="M872" s="1464">
        <v>3.8370000000000001E-2</v>
      </c>
      <c r="N872" s="1465">
        <v>1.3454598054418296</v>
      </c>
      <c r="O872" s="1465">
        <v>1.3617306096181592</v>
      </c>
    </row>
    <row r="873" spans="11:15">
      <c r="K873" s="1462">
        <v>42930</v>
      </c>
      <c r="L873" s="1463" t="s">
        <v>2127</v>
      </c>
      <c r="M873" s="1464">
        <v>3.8370000000000001E-2</v>
      </c>
      <c r="N873" s="1465">
        <v>1.3459760583691776</v>
      </c>
      <c r="O873" s="1465">
        <v>1.3624459403246978</v>
      </c>
    </row>
    <row r="874" spans="11:15">
      <c r="K874" s="1462">
        <v>42931</v>
      </c>
      <c r="L874" s="1463"/>
      <c r="M874" s="1464">
        <v>0</v>
      </c>
      <c r="N874" s="1465">
        <v>1.3459760583691776</v>
      </c>
      <c r="O874" s="1465">
        <v>1.3624459403246978</v>
      </c>
    </row>
    <row r="875" spans="11:15">
      <c r="K875" s="1462">
        <v>42932</v>
      </c>
      <c r="L875" s="1463"/>
      <c r="M875" s="1464">
        <v>0</v>
      </c>
      <c r="N875" s="1465">
        <v>1.3459760583691776</v>
      </c>
      <c r="O875" s="1465">
        <v>1.3624459403246978</v>
      </c>
    </row>
    <row r="876" spans="11:15">
      <c r="K876" s="1462">
        <v>42933</v>
      </c>
      <c r="L876" s="1463" t="s">
        <v>2127</v>
      </c>
      <c r="M876" s="1464">
        <v>3.8370000000000001E-2</v>
      </c>
      <c r="N876" s="1465">
        <v>1.3464925093827738</v>
      </c>
      <c r="O876" s="1465">
        <v>1.3631616468016097</v>
      </c>
    </row>
    <row r="877" spans="11:15">
      <c r="K877" s="1462">
        <v>42934</v>
      </c>
      <c r="L877" s="1463" t="s">
        <v>2127</v>
      </c>
      <c r="M877" s="1464">
        <v>3.8370000000000001E-2</v>
      </c>
      <c r="N877" s="1465">
        <v>1.3470091585586239</v>
      </c>
      <c r="O877" s="1465">
        <v>1.3638777292462911</v>
      </c>
    </row>
    <row r="878" spans="11:15">
      <c r="K878" s="1462">
        <v>42935</v>
      </c>
      <c r="L878" s="1463" t="s">
        <v>2127</v>
      </c>
      <c r="M878" s="1464">
        <v>3.8370000000000001E-2</v>
      </c>
      <c r="N878" s="1465">
        <v>1.3475260059727627</v>
      </c>
      <c r="O878" s="1465">
        <v>1.3645941878562415</v>
      </c>
    </row>
    <row r="879" spans="11:15">
      <c r="K879" s="1462">
        <v>42936</v>
      </c>
      <c r="L879" s="1463" t="s">
        <v>2127</v>
      </c>
      <c r="M879" s="1464">
        <v>3.8370000000000001E-2</v>
      </c>
      <c r="N879" s="1465">
        <v>1.3480430517012545</v>
      </c>
      <c r="O879" s="1465">
        <v>1.3653110228290644</v>
      </c>
    </row>
    <row r="880" spans="11:15">
      <c r="K880" s="1462">
        <v>42937</v>
      </c>
      <c r="L880" s="1463" t="s">
        <v>2127</v>
      </c>
      <c r="M880" s="1464">
        <v>3.8370000000000001E-2</v>
      </c>
      <c r="N880" s="1465">
        <v>1.3485602958201923</v>
      </c>
      <c r="O880" s="1465">
        <v>1.3660282343624668</v>
      </c>
    </row>
    <row r="881" spans="11:15">
      <c r="K881" s="1462">
        <v>42938</v>
      </c>
      <c r="L881" s="1463"/>
      <c r="M881" s="1464">
        <v>0</v>
      </c>
      <c r="N881" s="1465">
        <v>1.3485602958201923</v>
      </c>
      <c r="O881" s="1465">
        <v>1.3660282343624668</v>
      </c>
    </row>
    <row r="882" spans="11:15">
      <c r="K882" s="1462">
        <v>42939</v>
      </c>
      <c r="L882" s="1463"/>
      <c r="M882" s="1464">
        <v>0</v>
      </c>
      <c r="N882" s="1465">
        <v>1.3485602958201923</v>
      </c>
      <c r="O882" s="1465">
        <v>1.3660282343624668</v>
      </c>
    </row>
    <row r="883" spans="11:15">
      <c r="K883" s="1462">
        <v>42940</v>
      </c>
      <c r="L883" s="1463" t="s">
        <v>2127</v>
      </c>
      <c r="M883" s="1464">
        <v>3.8370000000000001E-2</v>
      </c>
      <c r="N883" s="1465">
        <v>1.3490777384056984</v>
      </c>
      <c r="O883" s="1465">
        <v>1.3667458226542597</v>
      </c>
    </row>
    <row r="884" spans="11:15">
      <c r="K884" s="1462">
        <v>42941</v>
      </c>
      <c r="L884" s="1463" t="s">
        <v>2127</v>
      </c>
      <c r="M884" s="1464">
        <v>3.8370000000000001E-2</v>
      </c>
      <c r="N884" s="1465">
        <v>1.3495953795339246</v>
      </c>
      <c r="O884" s="1465">
        <v>1.3674637879023581</v>
      </c>
    </row>
    <row r="885" spans="11:15">
      <c r="K885" s="1462">
        <v>42942</v>
      </c>
      <c r="L885" s="1463" t="s">
        <v>2127</v>
      </c>
      <c r="M885" s="1464">
        <v>3.8370000000000001E-2</v>
      </c>
      <c r="N885" s="1465">
        <v>1.3501132192810517</v>
      </c>
      <c r="O885" s="1465">
        <v>1.3681821303047812</v>
      </c>
    </row>
    <row r="886" spans="11:15">
      <c r="K886" s="1462">
        <v>42943</v>
      </c>
      <c r="L886" s="1463" t="s">
        <v>2127</v>
      </c>
      <c r="M886" s="1464">
        <v>3.4749000000000002E-2</v>
      </c>
      <c r="N886" s="1465">
        <v>1.3505823701236197</v>
      </c>
      <c r="O886" s="1465">
        <v>1.3689008500596516</v>
      </c>
    </row>
    <row r="887" spans="11:15">
      <c r="K887" s="1462">
        <v>42944</v>
      </c>
      <c r="L887" s="1463" t="s">
        <v>2127</v>
      </c>
      <c r="M887" s="1464">
        <v>3.4749000000000002E-2</v>
      </c>
      <c r="N887" s="1465">
        <v>1.351051683991414</v>
      </c>
      <c r="O887" s="1465">
        <v>1.3696199473651964</v>
      </c>
    </row>
    <row r="888" spans="11:15">
      <c r="K888" s="1462">
        <v>42945</v>
      </c>
      <c r="L888" s="1463"/>
      <c r="M888" s="1464">
        <v>0</v>
      </c>
      <c r="N888" s="1465">
        <v>1.351051683991414</v>
      </c>
      <c r="O888" s="1465">
        <v>1.3696199473651964</v>
      </c>
    </row>
    <row r="889" spans="11:15">
      <c r="K889" s="1462">
        <v>42946</v>
      </c>
      <c r="L889" s="1463"/>
      <c r="M889" s="1464">
        <v>0</v>
      </c>
      <c r="N889" s="1465">
        <v>1.351051683991414</v>
      </c>
      <c r="O889" s="1465">
        <v>1.3696199473651964</v>
      </c>
    </row>
    <row r="890" spans="11:15">
      <c r="K890" s="1462">
        <v>42947</v>
      </c>
      <c r="L890" s="1463" t="s">
        <v>2127</v>
      </c>
      <c r="M890" s="1464">
        <v>3.4749000000000002E-2</v>
      </c>
      <c r="N890" s="1465">
        <v>1.3515211609410842</v>
      </c>
      <c r="O890" s="1465">
        <v>1.3703394224197469</v>
      </c>
    </row>
    <row r="891" spans="11:15">
      <c r="K891" s="1462">
        <v>42948</v>
      </c>
      <c r="L891" s="1463" t="s">
        <v>2127</v>
      </c>
      <c r="M891" s="1464">
        <v>3.4749000000000002E-2</v>
      </c>
      <c r="N891" s="1465">
        <v>1.3519908010292996</v>
      </c>
      <c r="O891" s="1465">
        <v>1.3710592754217383</v>
      </c>
    </row>
    <row r="892" spans="11:15">
      <c r="K892" s="1462">
        <v>42949</v>
      </c>
      <c r="L892" s="1463" t="s">
        <v>2127</v>
      </c>
      <c r="M892" s="1464">
        <v>3.4749000000000002E-2</v>
      </c>
      <c r="N892" s="1465">
        <v>1.3524606043127492</v>
      </c>
      <c r="O892" s="1465">
        <v>1.37177950656971</v>
      </c>
    </row>
    <row r="893" spans="11:15">
      <c r="K893" s="1462">
        <v>42950</v>
      </c>
      <c r="L893" s="1463" t="s">
        <v>2127</v>
      </c>
      <c r="M893" s="1464">
        <v>3.4749000000000002E-2</v>
      </c>
      <c r="N893" s="1465">
        <v>1.3529305708481418</v>
      </c>
      <c r="O893" s="1465">
        <v>1.3725001160623063</v>
      </c>
    </row>
    <row r="894" spans="11:15">
      <c r="K894" s="1462">
        <v>42951</v>
      </c>
      <c r="L894" s="1463" t="s">
        <v>2127</v>
      </c>
      <c r="M894" s="1464">
        <v>3.4749000000000002E-2</v>
      </c>
      <c r="N894" s="1465">
        <v>1.353400700692206</v>
      </c>
      <c r="O894" s="1465">
        <v>1.3732211040982749</v>
      </c>
    </row>
    <row r="895" spans="11:15">
      <c r="K895" s="1462">
        <v>42952</v>
      </c>
      <c r="L895" s="1463"/>
      <c r="M895" s="1464">
        <v>0</v>
      </c>
      <c r="N895" s="1465">
        <v>1.353400700692206</v>
      </c>
      <c r="O895" s="1465">
        <v>1.3732211040982749</v>
      </c>
    </row>
    <row r="896" spans="11:15">
      <c r="K896" s="1462">
        <v>42953</v>
      </c>
      <c r="L896" s="1463"/>
      <c r="M896" s="1464">
        <v>0</v>
      </c>
      <c r="N896" s="1465">
        <v>1.353400700692206</v>
      </c>
      <c r="O896" s="1465">
        <v>1.3732211040982749</v>
      </c>
    </row>
    <row r="897" spans="11:15">
      <c r="K897" s="1462">
        <v>42954</v>
      </c>
      <c r="L897" s="1463" t="s">
        <v>2127</v>
      </c>
      <c r="M897" s="1464">
        <v>3.4749000000000002E-2</v>
      </c>
      <c r="N897" s="1465">
        <v>1.3538709939016895</v>
      </c>
      <c r="O897" s="1465">
        <v>1.3739424708764687</v>
      </c>
    </row>
    <row r="898" spans="11:15">
      <c r="K898" s="1462">
        <v>42955</v>
      </c>
      <c r="L898" s="1463" t="s">
        <v>2127</v>
      </c>
      <c r="M898" s="1464">
        <v>3.4749000000000002E-2</v>
      </c>
      <c r="N898" s="1465">
        <v>1.3543414505333604</v>
      </c>
      <c r="O898" s="1465">
        <v>1.3746642165958449</v>
      </c>
    </row>
    <row r="899" spans="11:15">
      <c r="K899" s="1462">
        <v>42956</v>
      </c>
      <c r="L899" s="1463" t="s">
        <v>2127</v>
      </c>
      <c r="M899" s="1464">
        <v>3.4749000000000002E-2</v>
      </c>
      <c r="N899" s="1465">
        <v>1.3548120706440063</v>
      </c>
      <c r="O899" s="1465">
        <v>1.3753863414554648</v>
      </c>
    </row>
    <row r="900" spans="11:15">
      <c r="K900" s="1462">
        <v>42957</v>
      </c>
      <c r="L900" s="1463" t="s">
        <v>2127</v>
      </c>
      <c r="M900" s="1464">
        <v>3.4749000000000002E-2</v>
      </c>
      <c r="N900" s="1465">
        <v>1.3552828542904345</v>
      </c>
      <c r="O900" s="1465">
        <v>1.3761088456544948</v>
      </c>
    </row>
    <row r="901" spans="11:15">
      <c r="K901" s="1462">
        <v>42958</v>
      </c>
      <c r="L901" s="1463" t="s">
        <v>2127</v>
      </c>
      <c r="M901" s="1464">
        <v>3.4749000000000002E-2</v>
      </c>
      <c r="N901" s="1465">
        <v>1.3557538015294719</v>
      </c>
      <c r="O901" s="1465">
        <v>1.3768317293922054</v>
      </c>
    </row>
    <row r="902" spans="11:15">
      <c r="K902" s="1462">
        <v>42959</v>
      </c>
      <c r="L902" s="1463"/>
      <c r="M902" s="1464">
        <v>0</v>
      </c>
      <c r="N902" s="1465">
        <v>1.3557538015294719</v>
      </c>
      <c r="O902" s="1465">
        <v>1.3768317293922054</v>
      </c>
    </row>
    <row r="903" spans="11:15">
      <c r="K903" s="1462">
        <v>42960</v>
      </c>
      <c r="L903" s="1463"/>
      <c r="M903" s="1464">
        <v>0</v>
      </c>
      <c r="N903" s="1465">
        <v>1.3557538015294719</v>
      </c>
      <c r="O903" s="1465">
        <v>1.3768317293922054</v>
      </c>
    </row>
    <row r="904" spans="11:15">
      <c r="K904" s="1462">
        <v>42961</v>
      </c>
      <c r="L904" s="1463" t="s">
        <v>2127</v>
      </c>
      <c r="M904" s="1464">
        <v>3.4749000000000002E-2</v>
      </c>
      <c r="N904" s="1465">
        <v>1.3562249124179653</v>
      </c>
      <c r="O904" s="1465">
        <v>1.3775549928679724</v>
      </c>
    </row>
    <row r="905" spans="11:15">
      <c r="K905" s="1462">
        <v>42962</v>
      </c>
      <c r="L905" s="1463" t="s">
        <v>2127</v>
      </c>
      <c r="M905" s="1464">
        <v>3.4749000000000002E-2</v>
      </c>
      <c r="N905" s="1465">
        <v>1.3566961870127814</v>
      </c>
      <c r="O905" s="1465">
        <v>1.378278636281276</v>
      </c>
    </row>
    <row r="906" spans="11:15">
      <c r="K906" s="1462">
        <v>42963</v>
      </c>
      <c r="L906" s="1463" t="s">
        <v>2127</v>
      </c>
      <c r="M906" s="1464">
        <v>3.4749000000000002E-2</v>
      </c>
      <c r="N906" s="1465">
        <v>1.3571676253708065</v>
      </c>
      <c r="O906" s="1465">
        <v>1.3790026598317009</v>
      </c>
    </row>
    <row r="907" spans="11:15">
      <c r="K907" s="1462">
        <v>42964</v>
      </c>
      <c r="L907" s="1463" t="s">
        <v>2127</v>
      </c>
      <c r="M907" s="1464">
        <v>3.4749000000000002E-2</v>
      </c>
      <c r="N907" s="1465">
        <v>1.3576392275489466</v>
      </c>
      <c r="O907" s="1465">
        <v>1.3797270637189372</v>
      </c>
    </row>
    <row r="908" spans="11:15">
      <c r="K908" s="1462">
        <v>42965</v>
      </c>
      <c r="L908" s="1463" t="s">
        <v>2127</v>
      </c>
      <c r="M908" s="1464">
        <v>3.4749000000000002E-2</v>
      </c>
      <c r="N908" s="1465">
        <v>1.3581109936041276</v>
      </c>
      <c r="O908" s="1465">
        <v>1.3804518481427794</v>
      </c>
    </row>
    <row r="909" spans="11:15">
      <c r="K909" s="1462">
        <v>42966</v>
      </c>
      <c r="L909" s="1463"/>
      <c r="M909" s="1464">
        <v>0</v>
      </c>
      <c r="N909" s="1465">
        <v>1.3581109936041276</v>
      </c>
      <c r="O909" s="1465">
        <v>1.3804518481427794</v>
      </c>
    </row>
    <row r="910" spans="11:15">
      <c r="K910" s="1462">
        <v>42967</v>
      </c>
      <c r="L910" s="1463"/>
      <c r="M910" s="1464">
        <v>0</v>
      </c>
      <c r="N910" s="1465">
        <v>1.3581109936041276</v>
      </c>
      <c r="O910" s="1465">
        <v>1.3804518481427794</v>
      </c>
    </row>
    <row r="911" spans="11:15">
      <c r="K911" s="1462">
        <v>42968</v>
      </c>
      <c r="L911" s="1463" t="s">
        <v>2127</v>
      </c>
      <c r="M911" s="1464">
        <v>3.4749000000000002E-2</v>
      </c>
      <c r="N911" s="1465">
        <v>1.3585829235932951</v>
      </c>
      <c r="O911" s="1465">
        <v>1.3811770133031274</v>
      </c>
    </row>
    <row r="912" spans="11:15">
      <c r="K912" s="1462">
        <v>42969</v>
      </c>
      <c r="L912" s="1463" t="s">
        <v>2127</v>
      </c>
      <c r="M912" s="1464">
        <v>3.4749000000000002E-2</v>
      </c>
      <c r="N912" s="1465">
        <v>1.3590550175734146</v>
      </c>
      <c r="O912" s="1465">
        <v>1.3819025593999856</v>
      </c>
    </row>
    <row r="913" spans="11:15">
      <c r="K913" s="1462">
        <v>42970</v>
      </c>
      <c r="L913" s="1463" t="s">
        <v>2127</v>
      </c>
      <c r="M913" s="1464">
        <v>3.4749000000000002E-2</v>
      </c>
      <c r="N913" s="1465">
        <v>1.3595272756014711</v>
      </c>
      <c r="O913" s="1465">
        <v>1.3826284866334639</v>
      </c>
    </row>
    <row r="914" spans="11:15">
      <c r="K914" s="1462">
        <v>42971</v>
      </c>
      <c r="L914" s="1463" t="s">
        <v>2127</v>
      </c>
      <c r="M914" s="1464">
        <v>3.4749000000000002E-2</v>
      </c>
      <c r="N914" s="1465">
        <v>1.3599996977344699</v>
      </c>
      <c r="O914" s="1465">
        <v>1.3833547952037775</v>
      </c>
    </row>
    <row r="915" spans="11:15">
      <c r="K915" s="1462">
        <v>42972</v>
      </c>
      <c r="L915" s="1463" t="s">
        <v>2127</v>
      </c>
      <c r="M915" s="1464">
        <v>3.4749000000000002E-2</v>
      </c>
      <c r="N915" s="1465">
        <v>1.3604722840294357</v>
      </c>
      <c r="O915" s="1465">
        <v>1.384081485311246</v>
      </c>
    </row>
    <row r="916" spans="11:15">
      <c r="K916" s="1462">
        <v>42973</v>
      </c>
      <c r="L916" s="1463"/>
      <c r="M916" s="1464">
        <v>0</v>
      </c>
      <c r="N916" s="1465">
        <v>1.3604722840294357</v>
      </c>
      <c r="O916" s="1465">
        <v>1.384081485311246</v>
      </c>
    </row>
    <row r="917" spans="11:15">
      <c r="K917" s="1462">
        <v>42974</v>
      </c>
      <c r="L917" s="1463"/>
      <c r="M917" s="1464">
        <v>0</v>
      </c>
      <c r="N917" s="1465">
        <v>1.3604722840294357</v>
      </c>
      <c r="O917" s="1465">
        <v>1.384081485311246</v>
      </c>
    </row>
    <row r="918" spans="11:15">
      <c r="K918" s="1462">
        <v>42975</v>
      </c>
      <c r="L918" s="1463" t="s">
        <v>2127</v>
      </c>
      <c r="M918" s="1464">
        <v>3.4749000000000002E-2</v>
      </c>
      <c r="N918" s="1465">
        <v>1.3609450345434131</v>
      </c>
      <c r="O918" s="1465">
        <v>1.3848085571562949</v>
      </c>
    </row>
    <row r="919" spans="11:15">
      <c r="K919" s="1462">
        <v>42976</v>
      </c>
      <c r="L919" s="1463" t="s">
        <v>2127</v>
      </c>
      <c r="M919" s="1464">
        <v>3.4749000000000002E-2</v>
      </c>
      <c r="N919" s="1465">
        <v>1.3614179493334666</v>
      </c>
      <c r="O919" s="1465">
        <v>1.3855360109394548</v>
      </c>
    </row>
    <row r="920" spans="11:15">
      <c r="K920" s="1462">
        <v>42977</v>
      </c>
      <c r="L920" s="1463" t="s">
        <v>2127</v>
      </c>
      <c r="M920" s="1464">
        <v>3.4749000000000002E-2</v>
      </c>
      <c r="N920" s="1465">
        <v>1.3618910284566805</v>
      </c>
      <c r="O920" s="1465">
        <v>1.3862638468613613</v>
      </c>
    </row>
    <row r="921" spans="11:15">
      <c r="K921" s="1462">
        <v>42978</v>
      </c>
      <c r="L921" s="1463" t="s">
        <v>2127</v>
      </c>
      <c r="M921" s="1464">
        <v>3.4749000000000002E-2</v>
      </c>
      <c r="N921" s="1465">
        <v>1.362364271970159</v>
      </c>
      <c r="O921" s="1465">
        <v>1.3869920651227561</v>
      </c>
    </row>
    <row r="922" spans="11:15">
      <c r="K922" s="1462">
        <v>42979</v>
      </c>
      <c r="L922" s="1463" t="s">
        <v>2127</v>
      </c>
      <c r="M922" s="1464">
        <v>3.4749000000000002E-2</v>
      </c>
      <c r="N922" s="1465">
        <v>1.3628376799310258</v>
      </c>
      <c r="O922" s="1465">
        <v>1.3877206659244856</v>
      </c>
    </row>
    <row r="923" spans="11:15">
      <c r="K923" s="1462">
        <v>42980</v>
      </c>
      <c r="L923" s="1463"/>
      <c r="M923" s="1464">
        <v>0</v>
      </c>
      <c r="N923" s="1465">
        <v>1.3628376799310258</v>
      </c>
      <c r="O923" s="1465">
        <v>1.3877206659244856</v>
      </c>
    </row>
    <row r="924" spans="11:15">
      <c r="K924" s="1462">
        <v>42981</v>
      </c>
      <c r="L924" s="1463"/>
      <c r="M924" s="1464">
        <v>0</v>
      </c>
      <c r="N924" s="1465">
        <v>1.3628376799310258</v>
      </c>
      <c r="O924" s="1465">
        <v>1.3877206659244856</v>
      </c>
    </row>
    <row r="925" spans="11:15">
      <c r="K925" s="1462">
        <v>42982</v>
      </c>
      <c r="L925" s="1463" t="s">
        <v>2127</v>
      </c>
      <c r="M925" s="1464">
        <v>3.4749000000000002E-2</v>
      </c>
      <c r="N925" s="1465">
        <v>1.363311252396425</v>
      </c>
      <c r="O925" s="1465">
        <v>1.3884496494675025</v>
      </c>
    </row>
    <row r="926" spans="11:15">
      <c r="K926" s="1462">
        <v>42983</v>
      </c>
      <c r="L926" s="1463" t="s">
        <v>2127</v>
      </c>
      <c r="M926" s="1464">
        <v>3.4749000000000002E-2</v>
      </c>
      <c r="N926" s="1465">
        <v>1.3637849894235203</v>
      </c>
      <c r="O926" s="1465">
        <v>1.3891790159528643</v>
      </c>
    </row>
    <row r="927" spans="11:15">
      <c r="K927" s="1462">
        <v>42984</v>
      </c>
      <c r="L927" s="1463" t="s">
        <v>2127</v>
      </c>
      <c r="M927" s="1464">
        <v>3.4749000000000002E-2</v>
      </c>
      <c r="N927" s="1465">
        <v>1.364258891069495</v>
      </c>
      <c r="O927" s="1465">
        <v>1.3899087655817346</v>
      </c>
    </row>
    <row r="928" spans="11:15">
      <c r="K928" s="1462">
        <v>42985</v>
      </c>
      <c r="L928" s="1463"/>
      <c r="M928" s="1464">
        <v>0</v>
      </c>
      <c r="N928" s="1465">
        <v>1.364258891069495</v>
      </c>
      <c r="O928" s="1465">
        <v>1.3899087655817346</v>
      </c>
    </row>
    <row r="929" spans="11:15">
      <c r="K929" s="1462">
        <v>42986</v>
      </c>
      <c r="L929" s="1463" t="s">
        <v>2127</v>
      </c>
      <c r="M929" s="1464">
        <v>3.1095999999999999E-2</v>
      </c>
      <c r="N929" s="1465">
        <v>1.364683121014262</v>
      </c>
      <c r="O929" s="1465">
        <v>1.3906388985553824</v>
      </c>
    </row>
    <row r="930" spans="11:15">
      <c r="K930" s="1462">
        <v>42987</v>
      </c>
      <c r="L930" s="1463"/>
      <c r="M930" s="1464">
        <v>0</v>
      </c>
      <c r="N930" s="1465">
        <v>1.364683121014262</v>
      </c>
      <c r="O930" s="1465">
        <v>1.3906388985553824</v>
      </c>
    </row>
    <row r="931" spans="11:15">
      <c r="K931" s="1462">
        <v>42988</v>
      </c>
      <c r="L931" s="1463"/>
      <c r="M931" s="1464">
        <v>0</v>
      </c>
      <c r="N931" s="1465">
        <v>1.364683121014262</v>
      </c>
      <c r="O931" s="1465">
        <v>1.3906388985553824</v>
      </c>
    </row>
    <row r="932" spans="11:15">
      <c r="K932" s="1462">
        <v>42989</v>
      </c>
      <c r="L932" s="1463" t="s">
        <v>2127</v>
      </c>
      <c r="M932" s="1464">
        <v>3.1095999999999999E-2</v>
      </c>
      <c r="N932" s="1465">
        <v>1.3651074828775727</v>
      </c>
      <c r="O932" s="1465">
        <v>1.3913694150751825</v>
      </c>
    </row>
    <row r="933" spans="11:15">
      <c r="K933" s="1462">
        <v>42990</v>
      </c>
      <c r="L933" s="1463" t="s">
        <v>2127</v>
      </c>
      <c r="M933" s="1464">
        <v>3.1095999999999999E-2</v>
      </c>
      <c r="N933" s="1465">
        <v>1.3655319767004481</v>
      </c>
      <c r="O933" s="1465">
        <v>1.3921003153426157</v>
      </c>
    </row>
    <row r="934" spans="11:15">
      <c r="K934" s="1462">
        <v>42991</v>
      </c>
      <c r="L934" s="1463" t="s">
        <v>2127</v>
      </c>
      <c r="M934" s="1464">
        <v>3.1095999999999999E-2</v>
      </c>
      <c r="N934" s="1465">
        <v>1.3659566025239229</v>
      </c>
      <c r="O934" s="1465">
        <v>1.3928315995592684</v>
      </c>
    </row>
    <row r="935" spans="11:15">
      <c r="K935" s="1462">
        <v>42992</v>
      </c>
      <c r="L935" s="1463" t="s">
        <v>2127</v>
      </c>
      <c r="M935" s="1464">
        <v>3.1095999999999999E-2</v>
      </c>
      <c r="N935" s="1465">
        <v>1.3663813603890438</v>
      </c>
      <c r="O935" s="1465">
        <v>1.3935632679268328</v>
      </c>
    </row>
    <row r="936" spans="11:15">
      <c r="K936" s="1462">
        <v>42993</v>
      </c>
      <c r="L936" s="1463" t="s">
        <v>2127</v>
      </c>
      <c r="M936" s="1464">
        <v>3.1095999999999999E-2</v>
      </c>
      <c r="N936" s="1465">
        <v>1.3668062503368703</v>
      </c>
      <c r="O936" s="1465">
        <v>1.3942953206471074</v>
      </c>
    </row>
    <row r="937" spans="11:15">
      <c r="K937" s="1462">
        <v>42994</v>
      </c>
      <c r="L937" s="1463"/>
      <c r="M937" s="1464">
        <v>0</v>
      </c>
      <c r="N937" s="1465">
        <v>1.3668062503368703</v>
      </c>
      <c r="O937" s="1465">
        <v>1.3942953206471074</v>
      </c>
    </row>
    <row r="938" spans="11:15">
      <c r="K938" s="1462">
        <v>42995</v>
      </c>
      <c r="L938" s="1463"/>
      <c r="M938" s="1464">
        <v>0</v>
      </c>
      <c r="N938" s="1465">
        <v>1.3668062503368703</v>
      </c>
      <c r="O938" s="1465">
        <v>1.3942953206471074</v>
      </c>
    </row>
    <row r="939" spans="11:15">
      <c r="K939" s="1462">
        <v>42996</v>
      </c>
      <c r="L939" s="1463" t="s">
        <v>2127</v>
      </c>
      <c r="M939" s="1464">
        <v>3.1095999999999999E-2</v>
      </c>
      <c r="N939" s="1465">
        <v>1.367231272408475</v>
      </c>
      <c r="O939" s="1465">
        <v>1.3950277579219965</v>
      </c>
    </row>
    <row r="940" spans="11:15">
      <c r="K940" s="1462">
        <v>42997</v>
      </c>
      <c r="L940" s="1463" t="s">
        <v>2127</v>
      </c>
      <c r="M940" s="1464">
        <v>3.1095999999999999E-2</v>
      </c>
      <c r="N940" s="1465">
        <v>1.3676564266449431</v>
      </c>
      <c r="O940" s="1465">
        <v>1.3957605799535104</v>
      </c>
    </row>
    <row r="941" spans="11:15">
      <c r="K941" s="1462">
        <v>42998</v>
      </c>
      <c r="L941" s="1463" t="s">
        <v>2127</v>
      </c>
      <c r="M941" s="1464">
        <v>3.1095999999999999E-2</v>
      </c>
      <c r="N941" s="1465">
        <v>1.3680817130873726</v>
      </c>
      <c r="O941" s="1465">
        <v>1.3964937869437659</v>
      </c>
    </row>
    <row r="942" spans="11:15">
      <c r="K942" s="1462">
        <v>42999</v>
      </c>
      <c r="L942" s="1463" t="s">
        <v>2127</v>
      </c>
      <c r="M942" s="1464">
        <v>3.1095999999999999E-2</v>
      </c>
      <c r="N942" s="1465">
        <v>1.3685071317768742</v>
      </c>
      <c r="O942" s="1465">
        <v>1.3972273790949854</v>
      </c>
    </row>
    <row r="943" spans="11:15">
      <c r="K943" s="1462">
        <v>43000</v>
      </c>
      <c r="L943" s="1463" t="s">
        <v>2127</v>
      </c>
      <c r="M943" s="1464">
        <v>3.1095999999999999E-2</v>
      </c>
      <c r="N943" s="1465">
        <v>1.3689326827545716</v>
      </c>
      <c r="O943" s="1465">
        <v>1.3979613566094977</v>
      </c>
    </row>
    <row r="944" spans="11:15">
      <c r="K944" s="1462">
        <v>43001</v>
      </c>
      <c r="L944" s="1463"/>
      <c r="M944" s="1464">
        <v>0</v>
      </c>
      <c r="N944" s="1465">
        <v>1.3689326827545716</v>
      </c>
      <c r="O944" s="1465">
        <v>1.3979613566094977</v>
      </c>
    </row>
    <row r="945" spans="11:15">
      <c r="K945" s="1462">
        <v>43002</v>
      </c>
      <c r="L945" s="1463"/>
      <c r="M945" s="1464">
        <v>0</v>
      </c>
      <c r="N945" s="1465">
        <v>1.3689326827545716</v>
      </c>
      <c r="O945" s="1465">
        <v>1.3979613566094977</v>
      </c>
    </row>
    <row r="946" spans="11:15">
      <c r="K946" s="1462">
        <v>43003</v>
      </c>
      <c r="L946" s="1463" t="s">
        <v>2127</v>
      </c>
      <c r="M946" s="1464">
        <v>3.1095999999999999E-2</v>
      </c>
      <c r="N946" s="1465">
        <v>1.3693583660616009</v>
      </c>
      <c r="O946" s="1465">
        <v>1.3986957196897383</v>
      </c>
    </row>
    <row r="947" spans="11:15">
      <c r="K947" s="1462">
        <v>43004</v>
      </c>
      <c r="L947" s="1463" t="s">
        <v>2127</v>
      </c>
      <c r="M947" s="1464">
        <v>3.1095999999999999E-2</v>
      </c>
      <c r="N947" s="1465">
        <v>1.3697841817391114</v>
      </c>
      <c r="O947" s="1465">
        <v>1.3994304685382486</v>
      </c>
    </row>
    <row r="948" spans="11:15">
      <c r="K948" s="1462">
        <v>43005</v>
      </c>
      <c r="L948" s="1463" t="s">
        <v>2127</v>
      </c>
      <c r="M948" s="1464">
        <v>3.1095999999999999E-2</v>
      </c>
      <c r="N948" s="1465">
        <v>1.370210129828265</v>
      </c>
      <c r="O948" s="1465">
        <v>1.4001656033576764</v>
      </c>
    </row>
    <row r="949" spans="11:15">
      <c r="K949" s="1462">
        <v>43006</v>
      </c>
      <c r="L949" s="1463" t="s">
        <v>2127</v>
      </c>
      <c r="M949" s="1464">
        <v>3.1095999999999999E-2</v>
      </c>
      <c r="N949" s="1465">
        <v>1.3706362103702363</v>
      </c>
      <c r="O949" s="1465">
        <v>1.4009011243507763</v>
      </c>
    </row>
    <row r="950" spans="11:15">
      <c r="K950" s="1462">
        <v>43007</v>
      </c>
      <c r="L950" s="1463" t="s">
        <v>2127</v>
      </c>
      <c r="M950" s="1464">
        <v>3.1095999999999999E-2</v>
      </c>
      <c r="N950" s="1465">
        <v>1.371062423406213</v>
      </c>
      <c r="O950" s="1465">
        <v>1.401637031720409</v>
      </c>
    </row>
    <row r="951" spans="11:15">
      <c r="K951" s="1462">
        <v>43008</v>
      </c>
      <c r="L951" s="1463"/>
      <c r="M951" s="1464">
        <v>0</v>
      </c>
      <c r="N951" s="1465">
        <v>1.371062423406213</v>
      </c>
      <c r="O951" s="1465">
        <v>1.401637031720409</v>
      </c>
    </row>
    <row r="952" spans="11:15">
      <c r="K952" s="1462">
        <v>43009</v>
      </c>
      <c r="L952" s="1463"/>
      <c r="M952" s="1464">
        <v>0</v>
      </c>
      <c r="N952" s="1465">
        <v>1.371062423406213</v>
      </c>
      <c r="O952" s="1465">
        <v>1.401637031720409</v>
      </c>
    </row>
    <row r="953" spans="11:15">
      <c r="K953" s="1462">
        <v>43010</v>
      </c>
      <c r="L953" s="1463" t="s">
        <v>2127</v>
      </c>
      <c r="M953" s="1464">
        <v>3.1095999999999999E-2</v>
      </c>
      <c r="N953" s="1465">
        <v>1.3714887689773954</v>
      </c>
      <c r="O953" s="1465">
        <v>1.4023733256695421</v>
      </c>
    </row>
    <row r="954" spans="11:15">
      <c r="K954" s="1462">
        <v>43011</v>
      </c>
      <c r="L954" s="1463" t="s">
        <v>2127</v>
      </c>
      <c r="M954" s="1464">
        <v>3.1095999999999999E-2</v>
      </c>
      <c r="N954" s="1465">
        <v>1.3719152471249965</v>
      </c>
      <c r="O954" s="1465">
        <v>1.4031100064012496</v>
      </c>
    </row>
    <row r="955" spans="11:15">
      <c r="K955" s="1462">
        <v>43012</v>
      </c>
      <c r="L955" s="1463" t="s">
        <v>2127</v>
      </c>
      <c r="M955" s="1464">
        <v>3.1095999999999999E-2</v>
      </c>
      <c r="N955" s="1465">
        <v>1.3723418578902424</v>
      </c>
      <c r="O955" s="1465">
        <v>1.4038470741187123</v>
      </c>
    </row>
    <row r="956" spans="11:15">
      <c r="K956" s="1462">
        <v>43013</v>
      </c>
      <c r="L956" s="1463" t="s">
        <v>2127</v>
      </c>
      <c r="M956" s="1464">
        <v>3.1095999999999999E-2</v>
      </c>
      <c r="N956" s="1465">
        <v>1.3727686013143718</v>
      </c>
      <c r="O956" s="1465">
        <v>1.4045845290252177</v>
      </c>
    </row>
    <row r="957" spans="11:15">
      <c r="K957" s="1462">
        <v>43014</v>
      </c>
      <c r="L957" s="1463" t="s">
        <v>2127</v>
      </c>
      <c r="M957" s="1464">
        <v>3.1095999999999999E-2</v>
      </c>
      <c r="N957" s="1465">
        <v>1.3731954774386366</v>
      </c>
      <c r="O957" s="1465">
        <v>1.4053223713241598</v>
      </c>
    </row>
    <row r="958" spans="11:15">
      <c r="K958" s="1462">
        <v>43015</v>
      </c>
      <c r="L958" s="1463"/>
      <c r="M958" s="1464">
        <v>0</v>
      </c>
      <c r="N958" s="1465">
        <v>1.3731954774386366</v>
      </c>
      <c r="O958" s="1465">
        <v>1.4053223713241598</v>
      </c>
    </row>
    <row r="959" spans="11:15">
      <c r="K959" s="1462">
        <v>43016</v>
      </c>
      <c r="L959" s="1463"/>
      <c r="M959" s="1464">
        <v>0</v>
      </c>
      <c r="N959" s="1465">
        <v>1.3731954774386366</v>
      </c>
      <c r="O959" s="1465">
        <v>1.4053223713241598</v>
      </c>
    </row>
    <row r="960" spans="11:15">
      <c r="K960" s="1462">
        <v>43017</v>
      </c>
      <c r="L960" s="1463" t="s">
        <v>2127</v>
      </c>
      <c r="M960" s="1464">
        <v>3.1095999999999999E-2</v>
      </c>
      <c r="N960" s="1465">
        <v>1.3736224863043009</v>
      </c>
      <c r="O960" s="1465">
        <v>1.4060606012190402</v>
      </c>
    </row>
    <row r="961" spans="11:15">
      <c r="K961" s="1462">
        <v>43018</v>
      </c>
      <c r="L961" s="1463" t="s">
        <v>2127</v>
      </c>
      <c r="M961" s="1464">
        <v>3.1095999999999999E-2</v>
      </c>
      <c r="N961" s="1465">
        <v>1.3740496279526422</v>
      </c>
      <c r="O961" s="1465">
        <v>1.4067992189134666</v>
      </c>
    </row>
    <row r="962" spans="11:15">
      <c r="K962" s="1462">
        <v>43019</v>
      </c>
      <c r="L962" s="1463" t="s">
        <v>2127</v>
      </c>
      <c r="M962" s="1464">
        <v>3.1095999999999999E-2</v>
      </c>
      <c r="N962" s="1465">
        <v>1.3744769024249504</v>
      </c>
      <c r="O962" s="1465">
        <v>1.4075382246111541</v>
      </c>
    </row>
    <row r="963" spans="11:15">
      <c r="K963" s="1462">
        <v>43020</v>
      </c>
      <c r="L963" s="1463"/>
      <c r="M963" s="1464">
        <v>0</v>
      </c>
      <c r="N963" s="1465">
        <v>1.3744769024249504</v>
      </c>
      <c r="O963" s="1465">
        <v>1.4075382246111541</v>
      </c>
    </row>
    <row r="964" spans="11:15">
      <c r="K964" s="1462">
        <v>43021</v>
      </c>
      <c r="L964" s="1463" t="s">
        <v>2127</v>
      </c>
      <c r="M964" s="1464">
        <v>3.1095999999999999E-2</v>
      </c>
      <c r="N964" s="1465">
        <v>1.3749043097625284</v>
      </c>
      <c r="O964" s="1465">
        <v>1.4082776185159245</v>
      </c>
    </row>
    <row r="965" spans="11:15">
      <c r="K965" s="1462">
        <v>43022</v>
      </c>
      <c r="L965" s="1463"/>
      <c r="M965" s="1464">
        <v>0</v>
      </c>
      <c r="N965" s="1465">
        <v>1.3749043097625284</v>
      </c>
      <c r="O965" s="1465">
        <v>1.4082776185159245</v>
      </c>
    </row>
    <row r="966" spans="11:15">
      <c r="K966" s="1462">
        <v>43023</v>
      </c>
      <c r="L966" s="1463"/>
      <c r="M966" s="1464">
        <v>0</v>
      </c>
      <c r="N966" s="1465">
        <v>1.3749043097625284</v>
      </c>
      <c r="O966" s="1465">
        <v>1.4082776185159245</v>
      </c>
    </row>
    <row r="967" spans="11:15">
      <c r="K967" s="1462">
        <v>43024</v>
      </c>
      <c r="L967" s="1463" t="s">
        <v>2127</v>
      </c>
      <c r="M967" s="1464">
        <v>3.1095999999999999E-2</v>
      </c>
      <c r="N967" s="1465">
        <v>1.3753318500066922</v>
      </c>
      <c r="O967" s="1465">
        <v>1.4090174008317071</v>
      </c>
    </row>
    <row r="968" spans="11:15">
      <c r="K968" s="1462">
        <v>43025</v>
      </c>
      <c r="L968" s="1463" t="s">
        <v>2127</v>
      </c>
      <c r="M968" s="1464">
        <v>3.1095999999999999E-2</v>
      </c>
      <c r="N968" s="1465">
        <v>1.3757595231987703</v>
      </c>
      <c r="O968" s="1465">
        <v>1.4097575717625381</v>
      </c>
    </row>
    <row r="969" spans="11:15">
      <c r="K969" s="1462">
        <v>43026</v>
      </c>
      <c r="L969" s="1463" t="s">
        <v>2127</v>
      </c>
      <c r="M969" s="1464">
        <v>3.1095999999999999E-2</v>
      </c>
      <c r="N969" s="1465">
        <v>1.3761873293801041</v>
      </c>
      <c r="O969" s="1465">
        <v>1.4104981315125606</v>
      </c>
    </row>
    <row r="970" spans="11:15">
      <c r="K970" s="1462">
        <v>43027</v>
      </c>
      <c r="L970" s="1463" t="s">
        <v>2127</v>
      </c>
      <c r="M970" s="1464">
        <v>3.1095999999999999E-2</v>
      </c>
      <c r="N970" s="1465">
        <v>1.3766152685920481</v>
      </c>
      <c r="O970" s="1465">
        <v>1.4112390802860255</v>
      </c>
    </row>
    <row r="971" spans="11:15">
      <c r="K971" s="1462">
        <v>43028</v>
      </c>
      <c r="L971" s="1463" t="s">
        <v>2127</v>
      </c>
      <c r="M971" s="1464">
        <v>3.1095999999999999E-2</v>
      </c>
      <c r="N971" s="1465">
        <v>1.3770433408759695</v>
      </c>
      <c r="O971" s="1465">
        <v>1.4119804182872906</v>
      </c>
    </row>
    <row r="972" spans="11:15">
      <c r="K972" s="1462">
        <v>43029</v>
      </c>
      <c r="L972" s="1463"/>
      <c r="M972" s="1464">
        <v>0</v>
      </c>
      <c r="N972" s="1465">
        <v>1.3770433408759695</v>
      </c>
      <c r="O972" s="1465">
        <v>1.4119804182872906</v>
      </c>
    </row>
    <row r="973" spans="11:15">
      <c r="K973" s="1462">
        <v>43030</v>
      </c>
      <c r="L973" s="1463"/>
      <c r="M973" s="1464">
        <v>0</v>
      </c>
      <c r="N973" s="1465">
        <v>1.3770433408759695</v>
      </c>
      <c r="O973" s="1465">
        <v>1.4119804182872906</v>
      </c>
    </row>
    <row r="974" spans="11:15">
      <c r="K974" s="1462">
        <v>43031</v>
      </c>
      <c r="L974" s="1463" t="s">
        <v>2127</v>
      </c>
      <c r="M974" s="1464">
        <v>3.1095999999999999E-2</v>
      </c>
      <c r="N974" s="1465">
        <v>1.3774715462732483</v>
      </c>
      <c r="O974" s="1465">
        <v>1.412722145720821</v>
      </c>
    </row>
    <row r="975" spans="11:15">
      <c r="K975" s="1462">
        <v>43032</v>
      </c>
      <c r="L975" s="1463" t="s">
        <v>2127</v>
      </c>
      <c r="M975" s="1464">
        <v>3.1095999999999999E-2</v>
      </c>
      <c r="N975" s="1465">
        <v>1.3778998848252775</v>
      </c>
      <c r="O975" s="1465">
        <v>1.4134642627911895</v>
      </c>
    </row>
    <row r="976" spans="11:15">
      <c r="K976" s="1462">
        <v>43033</v>
      </c>
      <c r="L976" s="1463" t="s">
        <v>2127</v>
      </c>
      <c r="M976" s="1464">
        <v>3.1095999999999999E-2</v>
      </c>
      <c r="N976" s="1465">
        <v>1.3783283565734628</v>
      </c>
      <c r="O976" s="1465">
        <v>1.4142067697030765</v>
      </c>
    </row>
    <row r="977" spans="11:15">
      <c r="K977" s="1462">
        <v>43034</v>
      </c>
      <c r="L977" s="1463" t="s">
        <v>2127</v>
      </c>
      <c r="M977" s="1464">
        <v>2.8333000000000001E-2</v>
      </c>
      <c r="N977" s="1465">
        <v>1.3787188783467308</v>
      </c>
      <c r="O977" s="1465">
        <v>1.4149496666612691</v>
      </c>
    </row>
    <row r="978" spans="11:15">
      <c r="K978" s="1462">
        <v>43035</v>
      </c>
      <c r="L978" s="1463" t="s">
        <v>2127</v>
      </c>
      <c r="M978" s="1464">
        <v>2.8333000000000001E-2</v>
      </c>
      <c r="N978" s="1465">
        <v>1.3791095107665328</v>
      </c>
      <c r="O978" s="1465">
        <v>1.4156929538706629</v>
      </c>
    </row>
    <row r="979" spans="11:15">
      <c r="K979" s="1462">
        <v>43036</v>
      </c>
      <c r="L979" s="1463"/>
      <c r="M979" s="1464">
        <v>0</v>
      </c>
      <c r="N979" s="1465">
        <v>1.3791095107665328</v>
      </c>
      <c r="O979" s="1465">
        <v>1.4156929538706629</v>
      </c>
    </row>
    <row r="980" spans="11:15">
      <c r="K980" s="1462">
        <v>43037</v>
      </c>
      <c r="L980" s="1463"/>
      <c r="M980" s="1464">
        <v>0</v>
      </c>
      <c r="N980" s="1465">
        <v>1.3791095107665328</v>
      </c>
      <c r="O980" s="1465">
        <v>1.4156929538706629</v>
      </c>
    </row>
    <row r="981" spans="11:15">
      <c r="K981" s="1462">
        <v>43038</v>
      </c>
      <c r="L981" s="1463" t="s">
        <v>2127</v>
      </c>
      <c r="M981" s="1464">
        <v>2.8333000000000001E-2</v>
      </c>
      <c r="N981" s="1465">
        <v>1.3795002538642183</v>
      </c>
      <c r="O981" s="1465">
        <v>1.4164366315362606</v>
      </c>
    </row>
    <row r="982" spans="11:15">
      <c r="K982" s="1462">
        <v>43039</v>
      </c>
      <c r="L982" s="1463" t="s">
        <v>2127</v>
      </c>
      <c r="M982" s="1464">
        <v>2.8333000000000001E-2</v>
      </c>
      <c r="N982" s="1465">
        <v>1.3798911076711458</v>
      </c>
      <c r="O982" s="1465">
        <v>1.4171806998631729</v>
      </c>
    </row>
    <row r="983" spans="11:15">
      <c r="K983" s="1462">
        <v>43040</v>
      </c>
      <c r="L983" s="1463" t="s">
        <v>2127</v>
      </c>
      <c r="M983" s="1464">
        <v>2.8333000000000001E-2</v>
      </c>
      <c r="N983" s="1465">
        <v>1.3802820722186822</v>
      </c>
      <c r="O983" s="1465">
        <v>1.417925159056618</v>
      </c>
    </row>
    <row r="984" spans="11:15">
      <c r="K984" s="1462">
        <v>43041</v>
      </c>
      <c r="L984" s="1463"/>
      <c r="M984" s="1464">
        <v>0</v>
      </c>
      <c r="N984" s="1465">
        <v>1.3802820722186822</v>
      </c>
      <c r="O984" s="1465">
        <v>1.417925159056618</v>
      </c>
    </row>
    <row r="985" spans="11:15">
      <c r="K985" s="1462">
        <v>43042</v>
      </c>
      <c r="L985" s="1463" t="s">
        <v>2127</v>
      </c>
      <c r="M985" s="1464">
        <v>2.8333000000000001E-2</v>
      </c>
      <c r="N985" s="1465">
        <v>1.3806731475382039</v>
      </c>
      <c r="O985" s="1465">
        <v>1.418670009321922</v>
      </c>
    </row>
    <row r="986" spans="11:15">
      <c r="K986" s="1462">
        <v>43043</v>
      </c>
      <c r="L986" s="1463"/>
      <c r="M986" s="1464">
        <v>0</v>
      </c>
      <c r="N986" s="1465">
        <v>1.3806731475382039</v>
      </c>
      <c r="O986" s="1465">
        <v>1.418670009321922</v>
      </c>
    </row>
    <row r="987" spans="11:15">
      <c r="K987" s="1462">
        <v>43044</v>
      </c>
      <c r="L987" s="1463"/>
      <c r="M987" s="1464">
        <v>0</v>
      </c>
      <c r="N987" s="1465">
        <v>1.3806731475382039</v>
      </c>
      <c r="O987" s="1465">
        <v>1.418670009321922</v>
      </c>
    </row>
    <row r="988" spans="11:15">
      <c r="K988" s="1462">
        <v>43045</v>
      </c>
      <c r="L988" s="1463" t="s">
        <v>2127</v>
      </c>
      <c r="M988" s="1464">
        <v>2.8333000000000001E-2</v>
      </c>
      <c r="N988" s="1465">
        <v>1.3810643336610959</v>
      </c>
      <c r="O988" s="1465">
        <v>1.4194152508645188</v>
      </c>
    </row>
    <row r="989" spans="11:15">
      <c r="K989" s="1462">
        <v>43046</v>
      </c>
      <c r="L989" s="1463" t="s">
        <v>2127</v>
      </c>
      <c r="M989" s="1464">
        <v>2.8333000000000001E-2</v>
      </c>
      <c r="N989" s="1465">
        <v>1.3814556306187522</v>
      </c>
      <c r="O989" s="1465">
        <v>1.4201608838899504</v>
      </c>
    </row>
    <row r="990" spans="11:15">
      <c r="K990" s="1462">
        <v>43047</v>
      </c>
      <c r="L990" s="1463" t="s">
        <v>2127</v>
      </c>
      <c r="M990" s="1464">
        <v>2.8333000000000001E-2</v>
      </c>
      <c r="N990" s="1465">
        <v>1.3818470384425754</v>
      </c>
      <c r="O990" s="1465">
        <v>1.4209069086038666</v>
      </c>
    </row>
    <row r="991" spans="11:15">
      <c r="K991" s="1462">
        <v>43048</v>
      </c>
      <c r="L991" s="1463" t="s">
        <v>2127</v>
      </c>
      <c r="M991" s="1464">
        <v>2.8333000000000001E-2</v>
      </c>
      <c r="N991" s="1465">
        <v>1.3822385571639773</v>
      </c>
      <c r="O991" s="1465">
        <v>1.4216533252120254</v>
      </c>
    </row>
    <row r="992" spans="11:15">
      <c r="K992" s="1462">
        <v>43049</v>
      </c>
      <c r="L992" s="1463" t="s">
        <v>2127</v>
      </c>
      <c r="M992" s="1464">
        <v>2.8333000000000001E-2</v>
      </c>
      <c r="N992" s="1465">
        <v>1.3826301868143787</v>
      </c>
      <c r="O992" s="1465">
        <v>1.4224001339202925</v>
      </c>
    </row>
    <row r="993" spans="11:15">
      <c r="K993" s="1462">
        <v>43050</v>
      </c>
      <c r="L993" s="1463"/>
      <c r="M993" s="1464">
        <v>0</v>
      </c>
      <c r="N993" s="1465">
        <v>1.3826301868143787</v>
      </c>
      <c r="O993" s="1465">
        <v>1.4224001339202925</v>
      </c>
    </row>
    <row r="994" spans="11:15">
      <c r="K994" s="1462">
        <v>43051</v>
      </c>
      <c r="L994" s="1463"/>
      <c r="M994" s="1464">
        <v>0</v>
      </c>
      <c r="N994" s="1465">
        <v>1.3826301868143787</v>
      </c>
      <c r="O994" s="1465">
        <v>1.4224001339202925</v>
      </c>
    </row>
    <row r="995" spans="11:15">
      <c r="K995" s="1462">
        <v>43052</v>
      </c>
      <c r="L995" s="1463" t="s">
        <v>2127</v>
      </c>
      <c r="M995" s="1464">
        <v>2.8333000000000001E-2</v>
      </c>
      <c r="N995" s="1465">
        <v>1.3830219274252089</v>
      </c>
      <c r="O995" s="1465">
        <v>1.4231473349346422</v>
      </c>
    </row>
    <row r="996" spans="11:15">
      <c r="K996" s="1462">
        <v>43053</v>
      </c>
      <c r="L996" s="1463" t="s">
        <v>2127</v>
      </c>
      <c r="M996" s="1464">
        <v>2.8333000000000001E-2</v>
      </c>
      <c r="N996" s="1465">
        <v>1.3834137790279064</v>
      </c>
      <c r="O996" s="1465">
        <v>1.4238949284611566</v>
      </c>
    </row>
    <row r="997" spans="11:15">
      <c r="K997" s="1462">
        <v>43054</v>
      </c>
      <c r="L997" s="1463"/>
      <c r="M997" s="1464">
        <v>0</v>
      </c>
      <c r="N997" s="1465">
        <v>1.3834137790279064</v>
      </c>
      <c r="O997" s="1465">
        <v>1.4238949284611566</v>
      </c>
    </row>
    <row r="998" spans="11:15">
      <c r="K998" s="1462">
        <v>43055</v>
      </c>
      <c r="L998" s="1463" t="s">
        <v>2127</v>
      </c>
      <c r="M998" s="1464">
        <v>2.8333000000000001E-2</v>
      </c>
      <c r="N998" s="1465">
        <v>1.3838057416539185</v>
      </c>
      <c r="O998" s="1465">
        <v>1.4246429147060264</v>
      </c>
    </row>
    <row r="999" spans="11:15">
      <c r="K999" s="1462">
        <v>43056</v>
      </c>
      <c r="L999" s="1463" t="s">
        <v>2127</v>
      </c>
      <c r="M999" s="1464">
        <v>2.8333000000000001E-2</v>
      </c>
      <c r="N999" s="1465">
        <v>1.3841978153347012</v>
      </c>
      <c r="O999" s="1465">
        <v>1.4253912938755506</v>
      </c>
    </row>
    <row r="1000" spans="11:15">
      <c r="K1000" s="1462">
        <v>43057</v>
      </c>
      <c r="L1000" s="1463"/>
      <c r="M1000" s="1464">
        <v>0</v>
      </c>
      <c r="N1000" s="1465">
        <v>1.3841978153347012</v>
      </c>
      <c r="O1000" s="1465">
        <v>1.4253912938755506</v>
      </c>
    </row>
    <row r="1001" spans="11:15">
      <c r="K1001" s="1462">
        <v>43058</v>
      </c>
      <c r="L1001" s="1463"/>
      <c r="M1001" s="1464">
        <v>0</v>
      </c>
      <c r="N1001" s="1465">
        <v>1.3841978153347012</v>
      </c>
      <c r="O1001" s="1465">
        <v>1.4253912938755506</v>
      </c>
    </row>
    <row r="1002" spans="11:15">
      <c r="K1002" s="1462">
        <v>43059</v>
      </c>
      <c r="L1002" s="1463" t="s">
        <v>2127</v>
      </c>
      <c r="M1002" s="1464">
        <v>2.8333000000000001E-2</v>
      </c>
      <c r="N1002" s="1465">
        <v>1.38459000010172</v>
      </c>
      <c r="O1002" s="1465">
        <v>1.4261400661761363</v>
      </c>
    </row>
    <row r="1003" spans="11:15">
      <c r="K1003" s="1462">
        <v>43060</v>
      </c>
      <c r="L1003" s="1463" t="s">
        <v>2127</v>
      </c>
      <c r="M1003" s="1464">
        <v>2.8333000000000001E-2</v>
      </c>
      <c r="N1003" s="1465">
        <v>1.3849822959864488</v>
      </c>
      <c r="O1003" s="1465">
        <v>1.4268892318142994</v>
      </c>
    </row>
    <row r="1004" spans="11:15">
      <c r="K1004" s="1462">
        <v>43061</v>
      </c>
      <c r="L1004" s="1463" t="s">
        <v>2127</v>
      </c>
      <c r="M1004" s="1464">
        <v>2.8333000000000001E-2</v>
      </c>
      <c r="N1004" s="1465">
        <v>1.3853747030203707</v>
      </c>
      <c r="O1004" s="1465">
        <v>1.4276387909966637</v>
      </c>
    </row>
    <row r="1005" spans="11:15">
      <c r="K1005" s="1462">
        <v>43062</v>
      </c>
      <c r="L1005" s="1463" t="s">
        <v>2127</v>
      </c>
      <c r="M1005" s="1464">
        <v>2.8333000000000001E-2</v>
      </c>
      <c r="N1005" s="1465">
        <v>1.3857672212349774</v>
      </c>
      <c r="O1005" s="1465">
        <v>1.4283887439299621</v>
      </c>
    </row>
    <row r="1006" spans="11:15">
      <c r="K1006" s="1462">
        <v>43063</v>
      </c>
      <c r="L1006" s="1463" t="s">
        <v>2127</v>
      </c>
      <c r="M1006" s="1464">
        <v>2.8333000000000001E-2</v>
      </c>
      <c r="N1006" s="1465">
        <v>1.3861598506617701</v>
      </c>
      <c r="O1006" s="1465">
        <v>1.429139090821036</v>
      </c>
    </row>
    <row r="1007" spans="11:15">
      <c r="K1007" s="1462">
        <v>43064</v>
      </c>
      <c r="L1007" s="1463"/>
      <c r="M1007" s="1464">
        <v>0</v>
      </c>
      <c r="N1007" s="1465">
        <v>1.3861598506617701</v>
      </c>
      <c r="O1007" s="1465">
        <v>1.429139090821036</v>
      </c>
    </row>
    <row r="1008" spans="11:15">
      <c r="K1008" s="1462">
        <v>43065</v>
      </c>
      <c r="L1008" s="1463"/>
      <c r="M1008" s="1464">
        <v>0</v>
      </c>
      <c r="N1008" s="1465">
        <v>1.3861598506617701</v>
      </c>
      <c r="O1008" s="1465">
        <v>1.429139090821036</v>
      </c>
    </row>
    <row r="1009" spans="11:15">
      <c r="K1009" s="1462">
        <v>43066</v>
      </c>
      <c r="L1009" s="1463" t="s">
        <v>2127</v>
      </c>
      <c r="M1009" s="1464">
        <v>2.8333000000000001E-2</v>
      </c>
      <c r="N1009" s="1465">
        <v>1.3865525913322581</v>
      </c>
      <c r="O1009" s="1465">
        <v>1.4298898318768352</v>
      </c>
    </row>
    <row r="1010" spans="11:15">
      <c r="K1010" s="1462">
        <v>43067</v>
      </c>
      <c r="L1010" s="1463" t="s">
        <v>2127</v>
      </c>
      <c r="M1010" s="1464">
        <v>2.8333000000000001E-2</v>
      </c>
      <c r="N1010" s="1465">
        <v>1.3869454432779602</v>
      </c>
      <c r="O1010" s="1465">
        <v>1.4306409673044185</v>
      </c>
    </row>
    <row r="1011" spans="11:15">
      <c r="K1011" s="1462">
        <v>43068</v>
      </c>
      <c r="L1011" s="1463" t="s">
        <v>2127</v>
      </c>
      <c r="M1011" s="1464">
        <v>2.8333000000000001E-2</v>
      </c>
      <c r="N1011" s="1465">
        <v>1.3873384065304042</v>
      </c>
      <c r="O1011" s="1465">
        <v>1.4313924973109531</v>
      </c>
    </row>
    <row r="1012" spans="11:15">
      <c r="K1012" s="1462">
        <v>43069</v>
      </c>
      <c r="L1012" s="1463" t="s">
        <v>2127</v>
      </c>
      <c r="M1012" s="1464">
        <v>2.8333000000000001E-2</v>
      </c>
      <c r="N1012" s="1465">
        <v>1.3877314811211265</v>
      </c>
      <c r="O1012" s="1465">
        <v>1.4321444221037154</v>
      </c>
    </row>
    <row r="1013" spans="11:15">
      <c r="K1013" s="1462">
        <v>43070</v>
      </c>
      <c r="L1013" s="1463" t="s">
        <v>2127</v>
      </c>
      <c r="M1013" s="1464">
        <v>2.8333000000000001E-2</v>
      </c>
      <c r="N1013" s="1465">
        <v>1.3881246670816727</v>
      </c>
      <c r="O1013" s="1465">
        <v>1.4328967418900906</v>
      </c>
    </row>
    <row r="1014" spans="11:15">
      <c r="K1014" s="1462">
        <v>43071</v>
      </c>
      <c r="L1014" s="1463"/>
      <c r="M1014" s="1464">
        <v>0</v>
      </c>
      <c r="N1014" s="1465">
        <v>1.3881246670816727</v>
      </c>
      <c r="O1014" s="1465">
        <v>1.4328967418900906</v>
      </c>
    </row>
    <row r="1015" spans="11:15">
      <c r="K1015" s="1462">
        <v>43072</v>
      </c>
      <c r="L1015" s="1463"/>
      <c r="M1015" s="1464">
        <v>0</v>
      </c>
      <c r="N1015" s="1465">
        <v>1.3881246670816727</v>
      </c>
      <c r="O1015" s="1465">
        <v>1.4328967418900906</v>
      </c>
    </row>
    <row r="1016" spans="11:15">
      <c r="K1016" s="1462">
        <v>43073</v>
      </c>
      <c r="L1016" s="1463" t="s">
        <v>2127</v>
      </c>
      <c r="M1016" s="1464">
        <v>2.8333000000000001E-2</v>
      </c>
      <c r="N1016" s="1465">
        <v>1.388517964443597</v>
      </c>
      <c r="O1016" s="1465">
        <v>1.4336494568775728</v>
      </c>
    </row>
    <row r="1017" spans="11:15">
      <c r="K1017" s="1462">
        <v>43074</v>
      </c>
      <c r="L1017" s="1463" t="s">
        <v>2127</v>
      </c>
      <c r="M1017" s="1464">
        <v>2.8333000000000001E-2</v>
      </c>
      <c r="N1017" s="1465">
        <v>1.3889113732384628</v>
      </c>
      <c r="O1017" s="1465">
        <v>1.4344025672737652</v>
      </c>
    </row>
    <row r="1018" spans="11:15">
      <c r="K1018" s="1462">
        <v>43075</v>
      </c>
      <c r="L1018" s="1463" t="s">
        <v>2127</v>
      </c>
      <c r="M1018" s="1464">
        <v>2.8333000000000001E-2</v>
      </c>
      <c r="N1018" s="1465">
        <v>1.3893048934978425</v>
      </c>
      <c r="O1018" s="1465">
        <v>1.4351560732863797</v>
      </c>
    </row>
    <row r="1019" spans="11:15">
      <c r="K1019" s="1462">
        <v>43076</v>
      </c>
      <c r="L1019" s="1463" t="s">
        <v>2127</v>
      </c>
      <c r="M1019" s="1464">
        <v>2.6481000000000001E-2</v>
      </c>
      <c r="N1019" s="1465">
        <v>1.3896727953266896</v>
      </c>
      <c r="O1019" s="1465">
        <v>1.4359099751232378</v>
      </c>
    </row>
    <row r="1020" spans="11:15">
      <c r="K1020" s="1462">
        <v>43077</v>
      </c>
      <c r="L1020" s="1463" t="s">
        <v>2127</v>
      </c>
      <c r="M1020" s="1464">
        <v>2.6481000000000001E-2</v>
      </c>
      <c r="N1020" s="1465">
        <v>1.39004079457962</v>
      </c>
      <c r="O1020" s="1465">
        <v>1.4366642729922698</v>
      </c>
    </row>
    <row r="1021" spans="11:15">
      <c r="K1021" s="1462">
        <v>43078</v>
      </c>
      <c r="L1021" s="1463"/>
      <c r="M1021" s="1464">
        <v>0</v>
      </c>
      <c r="N1021" s="1465">
        <v>1.39004079457962</v>
      </c>
      <c r="O1021" s="1465">
        <v>1.4366642729922698</v>
      </c>
    </row>
    <row r="1022" spans="11:15">
      <c r="K1022" s="1462">
        <v>43079</v>
      </c>
      <c r="L1022" s="1463"/>
      <c r="M1022" s="1464">
        <v>0</v>
      </c>
      <c r="N1022" s="1465">
        <v>1.39004079457962</v>
      </c>
      <c r="O1022" s="1465">
        <v>1.4366642729922698</v>
      </c>
    </row>
    <row r="1023" spans="11:15">
      <c r="K1023" s="1462">
        <v>43080</v>
      </c>
      <c r="L1023" s="1463" t="s">
        <v>2127</v>
      </c>
      <c r="M1023" s="1464">
        <v>2.6481000000000001E-2</v>
      </c>
      <c r="N1023" s="1465">
        <v>1.3904088912824326</v>
      </c>
      <c r="O1023" s="1465">
        <v>1.4374189671015154</v>
      </c>
    </row>
    <row r="1024" spans="11:15">
      <c r="K1024" s="1462">
        <v>43081</v>
      </c>
      <c r="L1024" s="1463" t="s">
        <v>2127</v>
      </c>
      <c r="M1024" s="1464">
        <v>2.6481000000000001E-2</v>
      </c>
      <c r="N1024" s="1465">
        <v>1.3907770854609331</v>
      </c>
      <c r="O1024" s="1465">
        <v>1.4381740576591235</v>
      </c>
    </row>
    <row r="1025" spans="11:15">
      <c r="K1025" s="1462">
        <v>43082</v>
      </c>
      <c r="L1025" s="1463" t="s">
        <v>2127</v>
      </c>
      <c r="M1025" s="1464">
        <v>2.6481000000000001E-2</v>
      </c>
      <c r="N1025" s="1465">
        <v>1.3911453771409341</v>
      </c>
      <c r="O1025" s="1465">
        <v>1.4389295448733526</v>
      </c>
    </row>
    <row r="1026" spans="11:15">
      <c r="K1026" s="1462">
        <v>43083</v>
      </c>
      <c r="L1026" s="1463" t="s">
        <v>2127</v>
      </c>
      <c r="M1026" s="1464">
        <v>2.6481000000000001E-2</v>
      </c>
      <c r="N1026" s="1465">
        <v>1.3915137663482549</v>
      </c>
      <c r="O1026" s="1465">
        <v>1.43968542895257</v>
      </c>
    </row>
    <row r="1027" spans="11:15">
      <c r="K1027" s="1462">
        <v>43084</v>
      </c>
      <c r="L1027" s="1463" t="s">
        <v>2127</v>
      </c>
      <c r="M1027" s="1464">
        <v>2.6481000000000001E-2</v>
      </c>
      <c r="N1027" s="1465">
        <v>1.3918822531087216</v>
      </c>
      <c r="O1027" s="1465">
        <v>1.4404417101052531</v>
      </c>
    </row>
    <row r="1028" spans="11:15">
      <c r="K1028" s="1462">
        <v>43085</v>
      </c>
      <c r="L1028" s="1463"/>
      <c r="M1028" s="1464">
        <v>0</v>
      </c>
      <c r="N1028" s="1465">
        <v>1.3918822531087216</v>
      </c>
      <c r="O1028" s="1465">
        <v>1.4404417101052531</v>
      </c>
    </row>
    <row r="1029" spans="11:15">
      <c r="K1029" s="1462">
        <v>43086</v>
      </c>
      <c r="L1029" s="1463"/>
      <c r="M1029" s="1464">
        <v>0</v>
      </c>
      <c r="N1029" s="1465">
        <v>1.3918822531087216</v>
      </c>
      <c r="O1029" s="1465">
        <v>1.4404417101052531</v>
      </c>
    </row>
    <row r="1030" spans="11:15">
      <c r="K1030" s="1462">
        <v>43087</v>
      </c>
      <c r="L1030" s="1463" t="s">
        <v>2127</v>
      </c>
      <c r="M1030" s="1464">
        <v>2.6481000000000001E-2</v>
      </c>
      <c r="N1030" s="1465">
        <v>1.3922508374481672</v>
      </c>
      <c r="O1030" s="1465">
        <v>1.4411983885399886</v>
      </c>
    </row>
    <row r="1031" spans="11:15">
      <c r="K1031" s="1462">
        <v>43088</v>
      </c>
      <c r="L1031" s="1463" t="s">
        <v>2127</v>
      </c>
      <c r="M1031" s="1464">
        <v>2.6481000000000001E-2</v>
      </c>
      <c r="N1031" s="1465">
        <v>1.392619519392432</v>
      </c>
      <c r="O1031" s="1465">
        <v>1.4419554644654726</v>
      </c>
    </row>
    <row r="1032" spans="11:15">
      <c r="K1032" s="1462">
        <v>43089</v>
      </c>
      <c r="L1032" s="1463" t="s">
        <v>2127</v>
      </c>
      <c r="M1032" s="1464">
        <v>2.6481000000000001E-2</v>
      </c>
      <c r="N1032" s="1465">
        <v>1.3929882989673623</v>
      </c>
      <c r="O1032" s="1465">
        <v>1.442712938090511</v>
      </c>
    </row>
    <row r="1033" spans="11:15">
      <c r="K1033" s="1462">
        <v>43090</v>
      </c>
      <c r="L1033" s="1463" t="s">
        <v>2127</v>
      </c>
      <c r="M1033" s="1464">
        <v>2.6481000000000001E-2</v>
      </c>
      <c r="N1033" s="1465">
        <v>1.3933571761988119</v>
      </c>
      <c r="O1033" s="1465">
        <v>1.4434708096240194</v>
      </c>
    </row>
    <row r="1034" spans="11:15">
      <c r="K1034" s="1462">
        <v>43091</v>
      </c>
      <c r="L1034" s="1463" t="s">
        <v>2127</v>
      </c>
      <c r="M1034" s="1464">
        <v>2.6481000000000001E-2</v>
      </c>
      <c r="N1034" s="1465">
        <v>1.3937261511126411</v>
      </c>
      <c r="O1034" s="1465">
        <v>1.444229079275023</v>
      </c>
    </row>
    <row r="1035" spans="11:15">
      <c r="K1035" s="1462">
        <v>43092</v>
      </c>
      <c r="L1035" s="1463"/>
      <c r="M1035" s="1464">
        <v>0</v>
      </c>
      <c r="N1035" s="1465">
        <v>1.3937261511126411</v>
      </c>
      <c r="O1035" s="1465">
        <v>1.444229079275023</v>
      </c>
    </row>
    <row r="1036" spans="11:15">
      <c r="K1036" s="1462">
        <v>43093</v>
      </c>
      <c r="L1036" s="1463"/>
      <c r="M1036" s="1464">
        <v>0</v>
      </c>
      <c r="N1036" s="1465">
        <v>1.3937261511126411</v>
      </c>
      <c r="O1036" s="1465">
        <v>1.444229079275023</v>
      </c>
    </row>
    <row r="1037" spans="11:15">
      <c r="K1037" s="1462">
        <v>43094</v>
      </c>
      <c r="L1037" s="1463"/>
      <c r="M1037" s="1464">
        <v>0</v>
      </c>
      <c r="N1037" s="1465">
        <v>1.3937261511126411</v>
      </c>
      <c r="O1037" s="1465">
        <v>1.444229079275023</v>
      </c>
    </row>
    <row r="1038" spans="11:15">
      <c r="K1038" s="1462">
        <v>43095</v>
      </c>
      <c r="L1038" s="1463" t="s">
        <v>2127</v>
      </c>
      <c r="M1038" s="1464">
        <v>2.6481000000000001E-2</v>
      </c>
      <c r="N1038" s="1465">
        <v>1.3940952237347173</v>
      </c>
      <c r="O1038" s="1465">
        <v>1.4449877472526569</v>
      </c>
    </row>
    <row r="1039" spans="11:15">
      <c r="K1039" s="1462">
        <v>43096</v>
      </c>
      <c r="L1039" s="1463" t="s">
        <v>2127</v>
      </c>
      <c r="M1039" s="1464">
        <v>2.6481000000000001E-2</v>
      </c>
      <c r="N1039" s="1465">
        <v>1.3944643940909145</v>
      </c>
      <c r="O1039" s="1465">
        <v>1.4457468137661662</v>
      </c>
    </row>
    <row r="1040" spans="11:15">
      <c r="K1040" s="1462">
        <v>43097</v>
      </c>
      <c r="L1040" s="1463" t="s">
        <v>2127</v>
      </c>
      <c r="M1040" s="1464">
        <v>2.6481000000000001E-2</v>
      </c>
      <c r="N1040" s="1465">
        <v>1.3948336622071138</v>
      </c>
      <c r="O1040" s="1465">
        <v>1.4465062790249057</v>
      </c>
    </row>
    <row r="1041" spans="11:15">
      <c r="K1041" s="1462">
        <v>43098</v>
      </c>
      <c r="L1041" s="1463" t="s">
        <v>2127</v>
      </c>
      <c r="M1041" s="1464">
        <v>2.6481000000000001E-2</v>
      </c>
      <c r="N1041" s="1465">
        <v>1.3952030281092029</v>
      </c>
      <c r="O1041" s="1465">
        <v>1.4472661432383402</v>
      </c>
    </row>
    <row r="1042" spans="11:15">
      <c r="K1042" s="1462">
        <v>43099</v>
      </c>
      <c r="L1042" s="1463"/>
      <c r="M1042" s="1464">
        <v>0</v>
      </c>
      <c r="N1042" s="1465">
        <v>1.3952030281092029</v>
      </c>
      <c r="O1042" s="1465">
        <v>1.4472661432383402</v>
      </c>
    </row>
    <row r="1043" spans="11:15">
      <c r="K1043" s="1462">
        <v>43100</v>
      </c>
      <c r="L1043" s="1463"/>
      <c r="M1043" s="1464">
        <v>0</v>
      </c>
      <c r="N1043" s="1465">
        <v>1.3952030281092029</v>
      </c>
      <c r="O1043" s="1465">
        <v>1.4472661432383402</v>
      </c>
    </row>
    <row r="1044" spans="11:15">
      <c r="K1044" s="1462">
        <v>43101</v>
      </c>
      <c r="L1044" s="1463"/>
      <c r="M1044" s="1464">
        <v>0</v>
      </c>
      <c r="N1044" s="1465">
        <v>1.3952030281092029</v>
      </c>
      <c r="O1044" s="1465">
        <v>1.4472661432383402</v>
      </c>
    </row>
    <row r="1045" spans="11:15">
      <c r="K1045" s="1462">
        <v>43102</v>
      </c>
      <c r="L1045" s="1463" t="s">
        <v>2127</v>
      </c>
      <c r="M1045" s="1464">
        <v>2.6481000000000001E-2</v>
      </c>
      <c r="N1045" s="1465">
        <v>1.3955724918230765</v>
      </c>
      <c r="O1045" s="1465"/>
    </row>
    <row r="1046" spans="11:15">
      <c r="K1046" s="1462">
        <v>43103</v>
      </c>
      <c r="L1046" s="1463" t="s">
        <v>2127</v>
      </c>
      <c r="M1046" s="1464">
        <v>2.6481000000000001E-2</v>
      </c>
      <c r="N1046" s="1465">
        <v>1.3959420533746363</v>
      </c>
      <c r="O1046" s="1465"/>
    </row>
    <row r="1047" spans="11:15">
      <c r="K1047" s="1462">
        <v>43104</v>
      </c>
      <c r="L1047" s="1463" t="s">
        <v>2127</v>
      </c>
      <c r="M1047" s="1464">
        <v>2.6481000000000001E-2</v>
      </c>
      <c r="N1047" s="1465">
        <v>1.3963117127897904</v>
      </c>
      <c r="O1047" s="1465"/>
    </row>
    <row r="1048" spans="11:15">
      <c r="K1048" s="1462">
        <v>43105</v>
      </c>
      <c r="L1048" s="1463" t="s">
        <v>2127</v>
      </c>
      <c r="M1048" s="1464">
        <v>2.6481000000000001E-2</v>
      </c>
      <c r="N1048" s="1465">
        <v>1.3966814700944543</v>
      </c>
      <c r="O1048" s="1465"/>
    </row>
    <row r="1049" spans="11:15">
      <c r="K1049" s="1462">
        <v>43106</v>
      </c>
      <c r="L1049" s="1463"/>
      <c r="M1049" s="1464">
        <v>0</v>
      </c>
      <c r="N1049" s="1465">
        <v>1.3966814700944543</v>
      </c>
      <c r="O1049" s="1465"/>
    </row>
    <row r="1050" spans="11:15">
      <c r="K1050" s="1462">
        <v>43107</v>
      </c>
      <c r="L1050" s="1463"/>
      <c r="M1050" s="1464">
        <v>0</v>
      </c>
      <c r="N1050" s="1465">
        <v>1.3966814700944543</v>
      </c>
      <c r="O1050" s="1465"/>
    </row>
    <row r="1051" spans="11:15">
      <c r="K1051" s="1462">
        <v>43108</v>
      </c>
      <c r="L1051" s="1463" t="s">
        <v>2127</v>
      </c>
      <c r="M1051" s="1464">
        <v>2.6481000000000001E-2</v>
      </c>
      <c r="N1051" s="1465">
        <v>1.39705132531455</v>
      </c>
      <c r="O1051" s="1465"/>
    </row>
    <row r="1052" spans="11:15">
      <c r="K1052" s="1462">
        <v>43109</v>
      </c>
      <c r="L1052" s="1463" t="s">
        <v>2127</v>
      </c>
      <c r="M1052" s="1464">
        <v>2.6481000000000001E-2</v>
      </c>
      <c r="N1052" s="1465">
        <v>1.3974212784760065</v>
      </c>
      <c r="O1052" s="1465"/>
    </row>
    <row r="1053" spans="11:15">
      <c r="K1053" s="1462">
        <v>43110</v>
      </c>
      <c r="L1053" s="1463" t="s">
        <v>2127</v>
      </c>
      <c r="M1053" s="1464">
        <v>2.6481000000000001E-2</v>
      </c>
      <c r="N1053" s="1465">
        <v>1.3977913296047597</v>
      </c>
      <c r="O1053" s="1465"/>
    </row>
    <row r="1054" spans="11:15">
      <c r="K1054" s="1462">
        <v>43111</v>
      </c>
      <c r="L1054" s="1463" t="s">
        <v>2127</v>
      </c>
      <c r="M1054" s="1464">
        <v>2.6481000000000001E-2</v>
      </c>
      <c r="N1054" s="1465">
        <v>1.3981614787267524</v>
      </c>
      <c r="O1054" s="1465"/>
    </row>
    <row r="1055" spans="11:15">
      <c r="K1055" s="1462">
        <v>43112</v>
      </c>
      <c r="L1055" s="1463" t="s">
        <v>2127</v>
      </c>
      <c r="M1055" s="1464">
        <v>2.6481000000000001E-2</v>
      </c>
      <c r="N1055" s="1465">
        <v>1.3985317258679342</v>
      </c>
      <c r="O1055" s="1465"/>
    </row>
    <row r="1056" spans="11:15">
      <c r="K1056" s="1462">
        <v>43113</v>
      </c>
      <c r="L1056" s="1463"/>
      <c r="M1056" s="1464">
        <v>0</v>
      </c>
      <c r="N1056" s="1465">
        <v>1.3985317258679342</v>
      </c>
      <c r="O1056" s="1465"/>
    </row>
    <row r="1057" spans="11:15">
      <c r="K1057" s="1462">
        <v>43114</v>
      </c>
      <c r="L1057" s="1463"/>
      <c r="M1057" s="1464">
        <v>0</v>
      </c>
      <c r="N1057" s="1465">
        <v>1.3985317258679342</v>
      </c>
      <c r="O1057" s="1465"/>
    </row>
    <row r="1058" spans="11:15">
      <c r="K1058" s="1462">
        <v>43115</v>
      </c>
      <c r="L1058" s="1463" t="s">
        <v>2127</v>
      </c>
      <c r="M1058" s="1464">
        <v>2.6481000000000001E-2</v>
      </c>
      <c r="N1058" s="1465">
        <v>1.3989020710542612</v>
      </c>
      <c r="O1058" s="1465"/>
    </row>
    <row r="1059" spans="11:15">
      <c r="K1059" s="1462">
        <v>43116</v>
      </c>
      <c r="L1059" s="1463" t="s">
        <v>2127</v>
      </c>
      <c r="M1059" s="1464">
        <v>2.6481000000000001E-2</v>
      </c>
      <c r="N1059" s="1465">
        <v>1.3992725143116971</v>
      </c>
      <c r="O1059" s="1465"/>
    </row>
    <row r="1060" spans="11:15">
      <c r="K1060" s="1462">
        <v>43117</v>
      </c>
      <c r="L1060" s="1463" t="s">
        <v>2127</v>
      </c>
      <c r="M1060" s="1464">
        <v>2.6481000000000001E-2</v>
      </c>
      <c r="N1060" s="1465">
        <v>1.3996430556662121</v>
      </c>
      <c r="O1060" s="1465"/>
    </row>
    <row r="1061" spans="11:15">
      <c r="K1061" s="1462">
        <v>43118</v>
      </c>
      <c r="L1061" s="1463" t="s">
        <v>2127</v>
      </c>
      <c r="M1061" s="1464">
        <v>2.6481000000000001E-2</v>
      </c>
      <c r="N1061" s="1465">
        <v>1.4000136951437829</v>
      </c>
      <c r="O1061" s="1465"/>
    </row>
    <row r="1062" spans="11:15">
      <c r="K1062" s="1462">
        <v>43119</v>
      </c>
      <c r="L1062" s="1463" t="s">
        <v>2127</v>
      </c>
      <c r="M1062" s="1464">
        <v>2.6481000000000001E-2</v>
      </c>
      <c r="N1062" s="1465">
        <v>1.400384432770394</v>
      </c>
      <c r="O1062" s="1465"/>
    </row>
    <row r="1063" spans="11:15">
      <c r="K1063" s="1462">
        <v>43120</v>
      </c>
      <c r="L1063" s="1463"/>
      <c r="M1063" s="1464">
        <v>0</v>
      </c>
      <c r="N1063" s="1465">
        <v>1.400384432770394</v>
      </c>
      <c r="O1063" s="1465"/>
    </row>
    <row r="1064" spans="11:15">
      <c r="K1064" s="1462">
        <v>43121</v>
      </c>
      <c r="L1064" s="1463"/>
      <c r="M1064" s="1464">
        <v>0</v>
      </c>
      <c r="N1064" s="1465">
        <v>1.400384432770394</v>
      </c>
      <c r="O1064" s="1465"/>
    </row>
    <row r="1065" spans="11:15">
      <c r="K1065" s="1462">
        <v>43122</v>
      </c>
      <c r="L1065" s="1463" t="s">
        <v>2127</v>
      </c>
      <c r="M1065" s="1464">
        <v>2.6481000000000001E-2</v>
      </c>
      <c r="N1065" s="1465">
        <v>1.4007552685720359</v>
      </c>
      <c r="O1065" s="1465"/>
    </row>
    <row r="1066" spans="11:15">
      <c r="K1066" s="1462">
        <v>43123</v>
      </c>
      <c r="L1066" s="1463" t="s">
        <v>2127</v>
      </c>
      <c r="M1066" s="1464">
        <v>2.6481000000000001E-2</v>
      </c>
      <c r="N1066" s="1465">
        <v>1.4011262025747064</v>
      </c>
      <c r="O1066" s="1465"/>
    </row>
    <row r="1067" spans="11:15">
      <c r="K1067" s="1462">
        <v>43124</v>
      </c>
      <c r="L1067" s="1463" t="s">
        <v>2127</v>
      </c>
      <c r="M1067" s="1464">
        <v>2.6481000000000001E-2</v>
      </c>
      <c r="N1067" s="1465">
        <v>1.4014972348044104</v>
      </c>
      <c r="O1067" s="1465"/>
    </row>
    <row r="1068" spans="11:15">
      <c r="K1068" s="1462">
        <v>43125</v>
      </c>
      <c r="L1068" s="1463" t="s">
        <v>2127</v>
      </c>
      <c r="M1068" s="1464">
        <v>2.6481000000000001E-2</v>
      </c>
      <c r="N1068" s="1465">
        <v>1.4018683652871589</v>
      </c>
      <c r="O1068" s="1465"/>
    </row>
    <row r="1069" spans="11:15">
      <c r="K1069" s="1462">
        <v>43126</v>
      </c>
      <c r="L1069" s="1463" t="s">
        <v>2127</v>
      </c>
      <c r="M1069" s="1464">
        <v>2.6481000000000001E-2</v>
      </c>
      <c r="N1069" s="1465">
        <v>1.4022395940489705</v>
      </c>
      <c r="O1069" s="1465"/>
    </row>
    <row r="1070" spans="11:15">
      <c r="K1070" s="1462">
        <v>43127</v>
      </c>
      <c r="L1070" s="1463"/>
      <c r="M1070" s="1464">
        <v>0</v>
      </c>
      <c r="N1070" s="1465">
        <v>1.4022395940489705</v>
      </c>
      <c r="O1070" s="1465"/>
    </row>
    <row r="1071" spans="11:15">
      <c r="K1071" s="1462">
        <v>43128</v>
      </c>
      <c r="L1071" s="1463"/>
      <c r="M1071" s="1464">
        <v>0</v>
      </c>
      <c r="N1071" s="1465">
        <v>1.4022395940489705</v>
      </c>
      <c r="O1071" s="1465"/>
    </row>
    <row r="1072" spans="11:15">
      <c r="K1072" s="1462">
        <v>43129</v>
      </c>
      <c r="L1072" s="1463" t="s">
        <v>2127</v>
      </c>
      <c r="M1072" s="1464">
        <v>2.6481000000000001E-2</v>
      </c>
      <c r="N1072" s="1465">
        <v>1.4026109211158706</v>
      </c>
      <c r="O1072" s="1465"/>
    </row>
    <row r="1073" spans="11:15">
      <c r="K1073" s="1462">
        <v>43130</v>
      </c>
      <c r="L1073" s="1463" t="s">
        <v>2127</v>
      </c>
      <c r="M1073" s="1464">
        <v>2.6481000000000001E-2</v>
      </c>
      <c r="N1073" s="1465">
        <v>1.4029823465138913</v>
      </c>
      <c r="O1073" s="1465"/>
    </row>
    <row r="1074" spans="11:15">
      <c r="K1074" s="1462">
        <v>43131</v>
      </c>
      <c r="L1074" s="1463" t="s">
        <v>2127</v>
      </c>
      <c r="M1074" s="1464">
        <v>2.6481000000000001E-2</v>
      </c>
      <c r="N1074" s="1465">
        <v>1.4033538702690718</v>
      </c>
      <c r="O1074" s="1465"/>
    </row>
    <row r="1075" spans="11:15">
      <c r="K1075" s="1462">
        <v>43132</v>
      </c>
      <c r="L1075" s="1463" t="s">
        <v>2127</v>
      </c>
      <c r="M1075" s="1464">
        <v>2.6481000000000001E-2</v>
      </c>
      <c r="N1075" s="1465">
        <v>1.4037254924074578</v>
      </c>
      <c r="O1075" s="1465"/>
    </row>
    <row r="1076" spans="11:15">
      <c r="K1076" s="1462">
        <v>43133</v>
      </c>
      <c r="L1076" s="1463" t="s">
        <v>2127</v>
      </c>
      <c r="M1076" s="1464">
        <v>2.6481000000000001E-2</v>
      </c>
      <c r="N1076" s="1465">
        <v>1.4040972129551021</v>
      </c>
      <c r="O1076" s="1465"/>
    </row>
    <row r="1077" spans="11:15">
      <c r="K1077" s="1462">
        <v>43134</v>
      </c>
      <c r="L1077" s="1463"/>
      <c r="M1077" s="1464">
        <v>0</v>
      </c>
      <c r="N1077" s="1465">
        <v>1.4040972129551021</v>
      </c>
      <c r="O1077" s="1465"/>
    </row>
    <row r="1078" spans="11:15">
      <c r="K1078" s="1462">
        <v>43135</v>
      </c>
      <c r="L1078" s="1463"/>
      <c r="M1078" s="1464">
        <v>0</v>
      </c>
      <c r="N1078" s="1465">
        <v>1.4040972129551021</v>
      </c>
      <c r="O1078" s="1465"/>
    </row>
    <row r="1079" spans="11:15">
      <c r="K1079" s="1462">
        <v>43136</v>
      </c>
      <c r="L1079" s="1463" t="s">
        <v>2127</v>
      </c>
      <c r="M1079" s="1464">
        <v>2.6481000000000001E-2</v>
      </c>
      <c r="N1079" s="1465">
        <v>1.4044690319380648</v>
      </c>
      <c r="O1079" s="1465"/>
    </row>
    <row r="1080" spans="11:15">
      <c r="K1080" s="1462">
        <v>43137</v>
      </c>
      <c r="L1080" s="1463" t="s">
        <v>2127</v>
      </c>
      <c r="M1080" s="1464">
        <v>2.6481000000000001E-2</v>
      </c>
      <c r="N1080" s="1465">
        <v>1.4048409493824123</v>
      </c>
      <c r="O1080" s="1465"/>
    </row>
    <row r="1081" spans="11:15">
      <c r="K1081" s="1462">
        <v>43138</v>
      </c>
      <c r="L1081" s="1463" t="s">
        <v>2127</v>
      </c>
      <c r="M1081" s="1464">
        <v>2.6481000000000001E-2</v>
      </c>
      <c r="N1081" s="1465">
        <v>1.4052129653142182</v>
      </c>
      <c r="O1081" s="1465"/>
    </row>
    <row r="1082" spans="11:15">
      <c r="K1082" s="1462">
        <v>43139</v>
      </c>
      <c r="L1082" s="1463" t="s">
        <v>2127</v>
      </c>
      <c r="M1082" s="1464">
        <v>2.5551999999999998E-2</v>
      </c>
      <c r="N1082" s="1465">
        <v>1.4055720253311155</v>
      </c>
      <c r="O1082" s="1465"/>
    </row>
    <row r="1083" spans="11:15">
      <c r="K1083" s="1462">
        <v>43140</v>
      </c>
      <c r="L1083" s="1463" t="s">
        <v>2127</v>
      </c>
      <c r="M1083" s="1464">
        <v>2.5551999999999998E-2</v>
      </c>
      <c r="N1083" s="1465">
        <v>1.4059311770950282</v>
      </c>
      <c r="O1083" s="1465"/>
    </row>
    <row r="1084" spans="11:15">
      <c r="K1084" s="1462">
        <v>43141</v>
      </c>
      <c r="L1084" s="1463"/>
      <c r="M1084" s="1464">
        <v>0</v>
      </c>
      <c r="N1084" s="1465">
        <v>1.4059311770950282</v>
      </c>
      <c r="O1084" s="1465"/>
    </row>
    <row r="1085" spans="11:15">
      <c r="K1085" s="1462">
        <v>43142</v>
      </c>
      <c r="L1085" s="1463"/>
      <c r="M1085" s="1464">
        <v>0</v>
      </c>
      <c r="N1085" s="1465">
        <v>1.4059311770950282</v>
      </c>
      <c r="O1085" s="1465"/>
    </row>
    <row r="1086" spans="11:15">
      <c r="K1086" s="1462">
        <v>43143</v>
      </c>
      <c r="L1086" s="1463"/>
      <c r="M1086" s="1464">
        <v>0</v>
      </c>
      <c r="N1086" s="1465">
        <v>1.4059311770950282</v>
      </c>
      <c r="O1086" s="1465"/>
    </row>
    <row r="1087" spans="11:15">
      <c r="K1087" s="1462">
        <v>43144</v>
      </c>
      <c r="L1087" s="1463"/>
      <c r="M1087" s="1464">
        <v>0</v>
      </c>
      <c r="N1087" s="1465">
        <v>1.4059311770950282</v>
      </c>
      <c r="O1087" s="1465"/>
    </row>
    <row r="1088" spans="11:15">
      <c r="K1088" s="1462">
        <v>43145</v>
      </c>
      <c r="L1088" s="1463" t="s">
        <v>2127</v>
      </c>
      <c r="M1088" s="1464">
        <v>2.5551999999999998E-2</v>
      </c>
      <c r="N1088" s="1465">
        <v>1.4062904206293996</v>
      </c>
      <c r="O1088" s="1465"/>
    </row>
    <row r="1089" spans="11:15">
      <c r="K1089" s="1462">
        <v>43146</v>
      </c>
      <c r="L1089" s="1463" t="s">
        <v>2127</v>
      </c>
      <c r="M1089" s="1464">
        <v>2.5551999999999998E-2</v>
      </c>
      <c r="N1089" s="1465">
        <v>1.4066497559576789</v>
      </c>
      <c r="O1089" s="1465"/>
    </row>
    <row r="1090" spans="11:15">
      <c r="K1090" s="1462">
        <v>43147</v>
      </c>
      <c r="L1090" s="1463" t="s">
        <v>2127</v>
      </c>
      <c r="M1090" s="1464">
        <v>2.5551999999999998E-2</v>
      </c>
      <c r="N1090" s="1465">
        <v>1.4070091831033213</v>
      </c>
      <c r="O1090" s="1465"/>
    </row>
    <row r="1091" spans="11:15">
      <c r="K1091" s="1462">
        <v>43148</v>
      </c>
      <c r="L1091" s="1463"/>
      <c r="M1091" s="1464">
        <v>0</v>
      </c>
      <c r="N1091" s="1465">
        <v>1.4070091831033213</v>
      </c>
      <c r="O1091" s="1465"/>
    </row>
    <row r="1092" spans="11:15">
      <c r="K1092" s="1462">
        <v>43149</v>
      </c>
      <c r="L1092" s="1463"/>
      <c r="M1092" s="1464">
        <v>0</v>
      </c>
      <c r="N1092" s="1465">
        <v>1.4070091831033213</v>
      </c>
      <c r="O1092" s="1465"/>
    </row>
    <row r="1093" spans="11:15">
      <c r="K1093" s="1462">
        <v>43150</v>
      </c>
      <c r="L1093" s="1463" t="s">
        <v>2127</v>
      </c>
      <c r="M1093" s="1464">
        <v>2.5551999999999998E-2</v>
      </c>
      <c r="N1093" s="1465">
        <v>1.407368702089788</v>
      </c>
      <c r="O1093" s="1465"/>
    </row>
    <row r="1094" spans="11:15">
      <c r="K1094" s="1462">
        <v>43151</v>
      </c>
      <c r="L1094" s="1463" t="s">
        <v>2127</v>
      </c>
      <c r="M1094" s="1464">
        <v>2.5551999999999998E-2</v>
      </c>
      <c r="N1094" s="1465">
        <v>1.407728312940546</v>
      </c>
      <c r="O1094" s="1465"/>
    </row>
    <row r="1095" spans="11:15">
      <c r="K1095" s="1462">
        <v>43152</v>
      </c>
      <c r="L1095" s="1463" t="s">
        <v>2127</v>
      </c>
      <c r="M1095" s="1464">
        <v>2.5551999999999998E-2</v>
      </c>
      <c r="N1095" s="1465">
        <v>1.4080880156790687</v>
      </c>
      <c r="O1095" s="1465"/>
    </row>
    <row r="1096" spans="11:15">
      <c r="K1096" s="1462">
        <v>43153</v>
      </c>
      <c r="L1096" s="1463" t="s">
        <v>2127</v>
      </c>
      <c r="M1096" s="1464">
        <v>2.5551999999999998E-2</v>
      </c>
      <c r="N1096" s="1465">
        <v>1.4084478103288351</v>
      </c>
      <c r="O1096" s="1465"/>
    </row>
    <row r="1097" spans="11:15">
      <c r="K1097" s="1462">
        <v>43154</v>
      </c>
      <c r="L1097" s="1463" t="s">
        <v>2127</v>
      </c>
      <c r="M1097" s="1464">
        <v>2.5551999999999998E-2</v>
      </c>
      <c r="N1097" s="1465">
        <v>1.4088076969133305</v>
      </c>
      <c r="O1097" s="1465"/>
    </row>
    <row r="1098" spans="11:15">
      <c r="K1098" s="1462">
        <v>43155</v>
      </c>
      <c r="L1098" s="1463"/>
      <c r="M1098" s="1464">
        <v>0</v>
      </c>
      <c r="N1098" s="1465">
        <v>1.4088076969133305</v>
      </c>
      <c r="O1098" s="1465"/>
    </row>
    <row r="1099" spans="11:15">
      <c r="K1099" s="1462">
        <v>43156</v>
      </c>
      <c r="L1099" s="1463"/>
      <c r="M1099" s="1464">
        <v>0</v>
      </c>
      <c r="N1099" s="1465">
        <v>1.4088076969133305</v>
      </c>
      <c r="O1099" s="1465"/>
    </row>
    <row r="1100" spans="11:15">
      <c r="K1100" s="1462">
        <v>43157</v>
      </c>
      <c r="L1100" s="1463" t="s">
        <v>2127</v>
      </c>
      <c r="M1100" s="1464">
        <v>2.5551999999999998E-2</v>
      </c>
      <c r="N1100" s="1465">
        <v>1.4091676754560458</v>
      </c>
      <c r="O1100" s="1465"/>
    </row>
    <row r="1101" spans="11:15">
      <c r="K1101" s="1462">
        <v>43158</v>
      </c>
      <c r="L1101" s="1463" t="s">
        <v>2127</v>
      </c>
      <c r="M1101" s="1464">
        <v>2.5551999999999998E-2</v>
      </c>
      <c r="N1101" s="1465">
        <v>1.4095277459804785</v>
      </c>
      <c r="O1101" s="1465"/>
    </row>
    <row r="1102" spans="11:15">
      <c r="K1102" s="1462">
        <v>43159</v>
      </c>
      <c r="L1102" s="1463" t="s">
        <v>2127</v>
      </c>
      <c r="M1102" s="1464">
        <v>2.5551999999999998E-2</v>
      </c>
      <c r="N1102" s="1465">
        <v>1.4098879085101315</v>
      </c>
      <c r="O1102" s="1465"/>
    </row>
    <row r="1103" spans="11:15">
      <c r="K1103" s="1462">
        <v>43160</v>
      </c>
      <c r="L1103" s="1463" t="s">
        <v>2127</v>
      </c>
      <c r="M1103" s="1464">
        <v>2.5551999999999998E-2</v>
      </c>
      <c r="N1103" s="1465">
        <v>1.410248163068514</v>
      </c>
      <c r="O1103" s="1465"/>
    </row>
    <row r="1104" spans="11:15">
      <c r="K1104" s="1462">
        <v>43161</v>
      </c>
      <c r="L1104" s="1463" t="s">
        <v>2127</v>
      </c>
      <c r="M1104" s="1464">
        <v>2.5551999999999998E-2</v>
      </c>
      <c r="N1104" s="1465">
        <v>1.4106085096791414</v>
      </c>
      <c r="O1104" s="1465"/>
    </row>
    <row r="1105" spans="11:15">
      <c r="K1105" s="1462">
        <v>43162</v>
      </c>
      <c r="L1105" s="1463"/>
      <c r="M1105" s="1464">
        <v>0</v>
      </c>
      <c r="N1105" s="1465">
        <v>1.4106085096791414</v>
      </c>
      <c r="O1105" s="1465"/>
    </row>
    <row r="1106" spans="11:15">
      <c r="K1106" s="1462">
        <v>43163</v>
      </c>
      <c r="L1106" s="1463"/>
      <c r="M1106" s="1464">
        <v>0</v>
      </c>
      <c r="N1106" s="1465">
        <v>1.4106085096791414</v>
      </c>
      <c r="O1106" s="1465"/>
    </row>
    <row r="1107" spans="11:15">
      <c r="K1107" s="1462">
        <v>43164</v>
      </c>
      <c r="L1107" s="1463" t="s">
        <v>2127</v>
      </c>
      <c r="M1107" s="1464">
        <v>2.5551999999999998E-2</v>
      </c>
      <c r="N1107" s="1465">
        <v>1.4109689483655348</v>
      </c>
      <c r="O1107" s="1465"/>
    </row>
    <row r="1108" spans="11:15">
      <c r="K1108" s="1462">
        <v>43165</v>
      </c>
      <c r="L1108" s="1463" t="s">
        <v>2127</v>
      </c>
      <c r="M1108" s="1464">
        <v>2.5551999999999998E-2</v>
      </c>
      <c r="N1108" s="1465">
        <v>1.4113294791512212</v>
      </c>
      <c r="O1108" s="1465"/>
    </row>
    <row r="1109" spans="11:15">
      <c r="K1109" s="1462">
        <v>43166</v>
      </c>
      <c r="L1109" s="1463" t="s">
        <v>2127</v>
      </c>
      <c r="M1109" s="1464">
        <v>2.5551999999999998E-2</v>
      </c>
      <c r="N1109" s="1465">
        <v>1.4116901020597341</v>
      </c>
      <c r="O1109" s="1465"/>
    </row>
    <row r="1110" spans="11:15">
      <c r="K1110" s="1462">
        <v>43167</v>
      </c>
      <c r="L1110" s="1463" t="s">
        <v>2127</v>
      </c>
      <c r="M1110" s="1464">
        <v>2.5551999999999998E-2</v>
      </c>
      <c r="N1110" s="1465">
        <v>1.4120508171146124</v>
      </c>
      <c r="O1110" s="1465"/>
    </row>
    <row r="1111" spans="11:15">
      <c r="K1111" s="1462">
        <v>43168</v>
      </c>
      <c r="L1111" s="1463" t="s">
        <v>2127</v>
      </c>
      <c r="M1111" s="1464">
        <v>2.5551999999999998E-2</v>
      </c>
      <c r="N1111" s="1465">
        <v>1.4124116243394016</v>
      </c>
      <c r="O1111" s="1465"/>
    </row>
    <row r="1112" spans="11:15">
      <c r="K1112" s="1462">
        <v>43169</v>
      </c>
      <c r="L1112" s="1463"/>
      <c r="M1112" s="1464">
        <v>0</v>
      </c>
      <c r="N1112" s="1465">
        <v>1.4124116243394016</v>
      </c>
      <c r="O1112" s="1465"/>
    </row>
    <row r="1113" spans="11:15">
      <c r="K1113" s="1462">
        <v>43170</v>
      </c>
      <c r="L1113" s="1463"/>
      <c r="M1113" s="1464">
        <v>0</v>
      </c>
      <c r="N1113" s="1465">
        <v>1.4124116243394016</v>
      </c>
      <c r="O1113" s="1465"/>
    </row>
    <row r="1114" spans="11:15">
      <c r="K1114" s="1462">
        <v>43171</v>
      </c>
      <c r="L1114" s="1463" t="s">
        <v>2127</v>
      </c>
      <c r="M1114" s="1464">
        <v>2.5551999999999998E-2</v>
      </c>
      <c r="N1114" s="1465">
        <v>1.4127725237576529</v>
      </c>
      <c r="O1114" s="1465"/>
    </row>
    <row r="1115" spans="11:15">
      <c r="K1115" s="1462">
        <v>43172</v>
      </c>
      <c r="L1115" s="1463" t="s">
        <v>2127</v>
      </c>
      <c r="M1115" s="1464">
        <v>2.5551999999999998E-2</v>
      </c>
      <c r="N1115" s="1465">
        <v>1.4131335153929236</v>
      </c>
      <c r="O1115" s="1465"/>
    </row>
    <row r="1116" spans="11:15">
      <c r="K1116" s="1462">
        <v>43173</v>
      </c>
      <c r="L1116" s="1463" t="s">
        <v>2127</v>
      </c>
      <c r="M1116" s="1464">
        <v>2.5551999999999998E-2</v>
      </c>
      <c r="N1116" s="1465">
        <v>1.4134945992687769</v>
      </c>
      <c r="O1116" s="1465"/>
    </row>
    <row r="1117" spans="11:15">
      <c r="K1117" s="1462">
        <v>43174</v>
      </c>
      <c r="L1117" s="1463" t="s">
        <v>2127</v>
      </c>
      <c r="M1117" s="1464">
        <v>2.5551999999999998E-2</v>
      </c>
      <c r="N1117" s="1465">
        <v>1.4138557754087822</v>
      </c>
      <c r="O1117" s="1465"/>
    </row>
    <row r="1118" spans="11:15">
      <c r="K1118" s="1462">
        <v>43175</v>
      </c>
      <c r="L1118" s="1463" t="s">
        <v>2127</v>
      </c>
      <c r="M1118" s="1464">
        <v>2.5551999999999998E-2</v>
      </c>
      <c r="N1118" s="1465">
        <v>1.4142170438365147</v>
      </c>
      <c r="O1118" s="1465"/>
    </row>
    <row r="1119" spans="11:15">
      <c r="K1119" s="1462">
        <v>43176</v>
      </c>
      <c r="L1119" s="1463"/>
      <c r="M1119" s="1464">
        <v>0</v>
      </c>
      <c r="N1119" s="1465">
        <v>1.4142170438365147</v>
      </c>
      <c r="O1119" s="1465"/>
    </row>
    <row r="1120" spans="11:15">
      <c r="K1120" s="1462">
        <v>43177</v>
      </c>
      <c r="L1120" s="1463"/>
      <c r="M1120" s="1464">
        <v>0</v>
      </c>
      <c r="N1120" s="1465">
        <v>1.4142170438365147</v>
      </c>
      <c r="O1120" s="1465"/>
    </row>
    <row r="1121" spans="11:15">
      <c r="K1121" s="1462">
        <v>43178</v>
      </c>
      <c r="L1121" s="1463" t="s">
        <v>2127</v>
      </c>
      <c r="M1121" s="1464">
        <v>2.5551999999999998E-2</v>
      </c>
      <c r="N1121" s="1465">
        <v>1.4145784045755558</v>
      </c>
      <c r="O1121" s="1465"/>
    </row>
    <row r="1122" spans="11:15">
      <c r="K1122" s="1462">
        <v>43179</v>
      </c>
      <c r="L1122" s="1463" t="s">
        <v>2127</v>
      </c>
      <c r="M1122" s="1464">
        <v>2.5551999999999998E-2</v>
      </c>
      <c r="N1122" s="1465">
        <v>1.4149398576494931</v>
      </c>
      <c r="O1122" s="1465"/>
    </row>
    <row r="1123" spans="11:15">
      <c r="K1123" s="1462">
        <v>43180</v>
      </c>
      <c r="L1123" s="1463" t="s">
        <v>2127</v>
      </c>
      <c r="M1123" s="1464">
        <v>2.5551999999999998E-2</v>
      </c>
      <c r="N1123" s="1465">
        <v>1.4153014030819198</v>
      </c>
      <c r="O1123" s="1465"/>
    </row>
    <row r="1124" spans="11:15">
      <c r="K1124" s="1462">
        <v>43181</v>
      </c>
      <c r="L1124" s="1463" t="s">
        <v>2127</v>
      </c>
      <c r="M1124" s="1464">
        <v>2.462E-2</v>
      </c>
      <c r="N1124" s="1465">
        <v>1.4156498502873587</v>
      </c>
      <c r="O1124" s="1465"/>
    </row>
    <row r="1125" spans="11:15">
      <c r="K1125" s="1462">
        <v>43182</v>
      </c>
      <c r="L1125" s="1463" t="s">
        <v>2127</v>
      </c>
      <c r="M1125" s="1464">
        <v>2.462E-2</v>
      </c>
      <c r="N1125" s="1465">
        <v>1.4159983832804997</v>
      </c>
      <c r="O1125" s="1465"/>
    </row>
    <row r="1126" spans="11:15">
      <c r="K1126" s="1462">
        <v>43183</v>
      </c>
      <c r="L1126" s="1463"/>
      <c r="M1126" s="1464">
        <v>0</v>
      </c>
      <c r="N1126" s="1465">
        <v>1.4159983832804997</v>
      </c>
      <c r="O1126" s="1465"/>
    </row>
    <row r="1127" spans="11:15">
      <c r="K1127" s="1462">
        <v>43184</v>
      </c>
      <c r="L1127" s="1463"/>
      <c r="M1127" s="1464">
        <v>0</v>
      </c>
      <c r="N1127" s="1465">
        <v>1.4159983832804997</v>
      </c>
      <c r="O1127" s="1465"/>
    </row>
    <row r="1128" spans="11:15">
      <c r="K1128" s="1462">
        <v>43185</v>
      </c>
      <c r="L1128" s="1463" t="s">
        <v>2127</v>
      </c>
      <c r="M1128" s="1464">
        <v>2.462E-2</v>
      </c>
      <c r="N1128" s="1465">
        <v>1.4163470020824633</v>
      </c>
      <c r="O1128" s="1465"/>
    </row>
    <row r="1129" spans="11:15">
      <c r="K1129" s="1462">
        <v>43186</v>
      </c>
      <c r="L1129" s="1463" t="s">
        <v>2127</v>
      </c>
      <c r="M1129" s="1464">
        <v>2.462E-2</v>
      </c>
      <c r="N1129" s="1465">
        <v>1.4166957067143762</v>
      </c>
      <c r="O1129" s="1465"/>
    </row>
    <row r="1130" spans="11:15">
      <c r="K1130" s="1462">
        <v>43187</v>
      </c>
      <c r="L1130" s="1463" t="s">
        <v>2127</v>
      </c>
      <c r="M1130" s="1464">
        <v>2.462E-2</v>
      </c>
      <c r="N1130" s="1465">
        <v>1.4170444971973695</v>
      </c>
      <c r="O1130" s="1465"/>
    </row>
    <row r="1131" spans="11:15">
      <c r="K1131" s="1462">
        <v>43188</v>
      </c>
      <c r="L1131" s="1463" t="s">
        <v>2127</v>
      </c>
      <c r="M1131" s="1464">
        <v>2.462E-2</v>
      </c>
      <c r="N1131" s="1465">
        <v>1.4173933735525797</v>
      </c>
      <c r="O1131" s="1465"/>
    </row>
    <row r="1132" spans="11:15">
      <c r="K1132" s="1462">
        <v>43189</v>
      </c>
      <c r="L1132" s="1463"/>
      <c r="M1132" s="1464">
        <v>0</v>
      </c>
      <c r="N1132" s="1465">
        <v>1.4173933735525797</v>
      </c>
      <c r="O1132" s="1465"/>
    </row>
    <row r="1133" spans="11:15">
      <c r="K1133" s="1462">
        <v>43190</v>
      </c>
      <c r="L1133" s="1463"/>
      <c r="M1133" s="1464">
        <v>0</v>
      </c>
      <c r="N1133" s="1465">
        <v>1.4173933735525797</v>
      </c>
      <c r="O1133" s="1465"/>
    </row>
    <row r="1134" spans="11:15">
      <c r="K1134" s="1462">
        <v>43191</v>
      </c>
      <c r="L1134" s="1463"/>
      <c r="M1134" s="1464">
        <v>0</v>
      </c>
      <c r="N1134" s="1465">
        <v>1.4173933735525797</v>
      </c>
      <c r="O1134" s="1465"/>
    </row>
    <row r="1135" spans="11:15">
      <c r="K1135" s="1462">
        <v>43192</v>
      </c>
      <c r="L1135" s="1463" t="s">
        <v>2127</v>
      </c>
      <c r="M1135" s="1464">
        <v>2.462E-2</v>
      </c>
      <c r="N1135" s="1465">
        <v>1.4177423358011485</v>
      </c>
      <c r="O1135" s="1465"/>
    </row>
    <row r="1136" spans="11:15">
      <c r="K1136" s="1462">
        <v>43193</v>
      </c>
      <c r="L1136" s="1463" t="s">
        <v>2127</v>
      </c>
      <c r="M1136" s="1464">
        <v>2.462E-2</v>
      </c>
      <c r="N1136" s="1465">
        <v>1.4180913839642229</v>
      </c>
      <c r="O1136" s="1465"/>
    </row>
    <row r="1137" spans="11:15">
      <c r="K1137" s="1462">
        <v>43194</v>
      </c>
      <c r="L1137" s="1463" t="s">
        <v>2127</v>
      </c>
      <c r="M1137" s="1464">
        <v>2.462E-2</v>
      </c>
      <c r="N1137" s="1465">
        <v>1.4184405180629549</v>
      </c>
      <c r="O1137" s="1465"/>
    </row>
    <row r="1138" spans="11:15">
      <c r="K1138" s="1462">
        <v>43195</v>
      </c>
      <c r="L1138" s="1463" t="s">
        <v>2127</v>
      </c>
      <c r="M1138" s="1464">
        <v>2.462E-2</v>
      </c>
      <c r="N1138" s="1465">
        <v>1.4187897381185022</v>
      </c>
      <c r="O1138" s="1465"/>
    </row>
    <row r="1139" spans="11:15">
      <c r="K1139" s="1462">
        <v>43196</v>
      </c>
      <c r="L1139" s="1463" t="s">
        <v>2127</v>
      </c>
      <c r="M1139" s="1464">
        <v>2.462E-2</v>
      </c>
      <c r="N1139" s="1465">
        <v>1.4191390441520271</v>
      </c>
      <c r="O1139" s="1465"/>
    </row>
    <row r="1140" spans="11:15">
      <c r="K1140" s="1462">
        <v>43197</v>
      </c>
      <c r="L1140" s="1463"/>
      <c r="M1140" s="1464">
        <v>0</v>
      </c>
      <c r="N1140" s="1465">
        <v>1.4191390441520271</v>
      </c>
      <c r="O1140" s="1465"/>
    </row>
    <row r="1141" spans="11:15">
      <c r="K1141" s="1462">
        <v>43198</v>
      </c>
      <c r="L1141" s="1463"/>
      <c r="M1141" s="1464">
        <v>0</v>
      </c>
      <c r="N1141" s="1465">
        <v>1.4191390441520271</v>
      </c>
      <c r="O1141" s="1465"/>
    </row>
    <row r="1142" spans="11:15">
      <c r="K1142" s="1462">
        <v>43199</v>
      </c>
      <c r="L1142" s="1463" t="s">
        <v>2127</v>
      </c>
      <c r="M1142" s="1464">
        <v>2.462E-2</v>
      </c>
      <c r="N1142" s="1465">
        <v>1.4194884361846973</v>
      </c>
      <c r="O1142" s="1465"/>
    </row>
    <row r="1143" spans="11:15">
      <c r="K1143" s="1462">
        <v>43200</v>
      </c>
      <c r="L1143" s="1463" t="s">
        <v>2127</v>
      </c>
      <c r="M1143" s="1464">
        <v>2.462E-2</v>
      </c>
      <c r="N1143" s="1465">
        <v>1.419837914237686</v>
      </c>
      <c r="O1143" s="1465"/>
    </row>
    <row r="1144" spans="11:15">
      <c r="K1144" s="1462">
        <v>43201</v>
      </c>
      <c r="L1144" s="1463" t="s">
        <v>2127</v>
      </c>
      <c r="M1144" s="1464">
        <v>2.462E-2</v>
      </c>
      <c r="N1144" s="1465">
        <v>1.4201874783321715</v>
      </c>
      <c r="O1144" s="1465"/>
    </row>
    <row r="1145" spans="11:15">
      <c r="K1145" s="1462">
        <v>43202</v>
      </c>
      <c r="L1145" s="1463" t="s">
        <v>2127</v>
      </c>
      <c r="M1145" s="1464">
        <v>2.462E-2</v>
      </c>
      <c r="N1145" s="1465">
        <v>1.4205371284893371</v>
      </c>
      <c r="O1145" s="1465"/>
    </row>
    <row r="1146" spans="11:15">
      <c r="K1146" s="1462">
        <v>43203</v>
      </c>
      <c r="L1146" s="1463" t="s">
        <v>2127</v>
      </c>
      <c r="M1146" s="1464">
        <v>2.462E-2</v>
      </c>
      <c r="N1146" s="1465">
        <v>1.4208868647303714</v>
      </c>
      <c r="O1146" s="1465"/>
    </row>
    <row r="1147" spans="11:15">
      <c r="K1147" s="1462">
        <v>43204</v>
      </c>
      <c r="L1147" s="1463"/>
      <c r="M1147" s="1464">
        <v>0</v>
      </c>
      <c r="N1147" s="1465">
        <v>1.4208868647303714</v>
      </c>
      <c r="O1147" s="1465"/>
    </row>
    <row r="1148" spans="11:15">
      <c r="K1148" s="1462">
        <v>43205</v>
      </c>
      <c r="L1148" s="1463"/>
      <c r="M1148" s="1464">
        <v>0</v>
      </c>
      <c r="N1148" s="1465">
        <v>1.4208868647303714</v>
      </c>
      <c r="O1148" s="1465"/>
    </row>
    <row r="1149" spans="11:15">
      <c r="K1149" s="1462">
        <v>43206</v>
      </c>
      <c r="L1149" s="1463" t="s">
        <v>2127</v>
      </c>
      <c r="M1149" s="1464">
        <v>2.462E-2</v>
      </c>
      <c r="N1149" s="1465">
        <v>1.4212366870764681</v>
      </c>
      <c r="O1149" s="1465"/>
    </row>
    <row r="1150" spans="11:15">
      <c r="K1150" s="1462">
        <v>43207</v>
      </c>
      <c r="L1150" s="1463" t="s">
        <v>2127</v>
      </c>
      <c r="M1150" s="1464">
        <v>2.462E-2</v>
      </c>
      <c r="N1150" s="1465">
        <v>1.4215865955488265</v>
      </c>
      <c r="O1150" s="1465"/>
    </row>
    <row r="1151" spans="11:15">
      <c r="K1151" s="1462">
        <v>43208</v>
      </c>
      <c r="L1151" s="1463" t="s">
        <v>2127</v>
      </c>
      <c r="M1151" s="1464">
        <v>2.462E-2</v>
      </c>
      <c r="N1151" s="1465">
        <v>1.4219365901686507</v>
      </c>
      <c r="O1151" s="1465"/>
    </row>
    <row r="1152" spans="11:15">
      <c r="K1152" s="1462">
        <v>43209</v>
      </c>
      <c r="L1152" s="1463" t="s">
        <v>2127</v>
      </c>
      <c r="M1152" s="1464">
        <v>2.462E-2</v>
      </c>
      <c r="N1152" s="1465">
        <v>1.4222866709571504</v>
      </c>
      <c r="O1152" s="1465"/>
    </row>
    <row r="1153" spans="11:15">
      <c r="K1153" s="1462">
        <v>43210</v>
      </c>
      <c r="L1153" s="1463" t="s">
        <v>2127</v>
      </c>
      <c r="M1153" s="1464">
        <v>2.462E-2</v>
      </c>
      <c r="N1153" s="1465">
        <v>1.4226368379355403</v>
      </c>
      <c r="O1153" s="1465"/>
    </row>
    <row r="1154" spans="11:15">
      <c r="K1154" s="1462">
        <v>43211</v>
      </c>
      <c r="L1154" s="1463"/>
      <c r="M1154" s="1464">
        <v>0</v>
      </c>
      <c r="N1154" s="1465">
        <v>1.4226368379355403</v>
      </c>
      <c r="O1154" s="1465"/>
    </row>
    <row r="1155" spans="11:15">
      <c r="K1155" s="1462">
        <v>43212</v>
      </c>
      <c r="L1155" s="1463"/>
      <c r="M1155" s="1464">
        <v>0</v>
      </c>
      <c r="N1155" s="1465">
        <v>1.4226368379355403</v>
      </c>
      <c r="O1155" s="1465"/>
    </row>
    <row r="1156" spans="11:15">
      <c r="K1156" s="1462">
        <v>43213</v>
      </c>
      <c r="L1156" s="1463" t="s">
        <v>2127</v>
      </c>
      <c r="M1156" s="1464">
        <v>2.462E-2</v>
      </c>
      <c r="N1156" s="1465">
        <v>1.4229870911250402</v>
      </c>
      <c r="O1156" s="1465"/>
    </row>
    <row r="1157" spans="11:15">
      <c r="K1157" s="1462">
        <v>43214</v>
      </c>
      <c r="L1157" s="1463" t="s">
        <v>2127</v>
      </c>
      <c r="M1157" s="1464">
        <v>2.462E-2</v>
      </c>
      <c r="N1157" s="1465">
        <v>1.4233374305468753</v>
      </c>
      <c r="O1157" s="1465"/>
    </row>
    <row r="1158" spans="11:15">
      <c r="K1158" s="1462">
        <v>43215</v>
      </c>
      <c r="L1158" s="1463" t="s">
        <v>2127</v>
      </c>
      <c r="M1158" s="1464">
        <v>2.462E-2</v>
      </c>
      <c r="N1158" s="1465">
        <v>1.4236878562222761</v>
      </c>
      <c r="O1158" s="1465"/>
    </row>
    <row r="1159" spans="11:15">
      <c r="K1159" s="1462">
        <v>43216</v>
      </c>
      <c r="L1159" s="1463" t="s">
        <v>2127</v>
      </c>
      <c r="M1159" s="1464">
        <v>2.462E-2</v>
      </c>
      <c r="N1159" s="1465">
        <v>1.4240383681724782</v>
      </c>
      <c r="O1159" s="1465"/>
    </row>
    <row r="1160" spans="11:15">
      <c r="K1160" s="1462">
        <v>43217</v>
      </c>
      <c r="L1160" s="1463" t="s">
        <v>2127</v>
      </c>
      <c r="M1160" s="1464">
        <v>2.462E-2</v>
      </c>
      <c r="N1160" s="1465">
        <v>1.4243889664187224</v>
      </c>
      <c r="O1160" s="1465"/>
    </row>
    <row r="1161" spans="11:15">
      <c r="K1161" s="1462">
        <v>43218</v>
      </c>
      <c r="L1161" s="1463"/>
      <c r="M1161" s="1464">
        <v>0</v>
      </c>
      <c r="N1161" s="1465">
        <v>1.4243889664187224</v>
      </c>
      <c r="O1161" s="1465"/>
    </row>
    <row r="1162" spans="11:15">
      <c r="K1162" s="1462">
        <v>43219</v>
      </c>
      <c r="L1162" s="1463"/>
      <c r="M1162" s="1464">
        <v>0</v>
      </c>
      <c r="N1162" s="1465">
        <v>1.4243889664187224</v>
      </c>
      <c r="O1162" s="1465"/>
    </row>
    <row r="1163" spans="11:15">
      <c r="K1163" s="1462">
        <v>43220</v>
      </c>
      <c r="L1163" s="1463" t="s">
        <v>2127</v>
      </c>
      <c r="M1163" s="1464">
        <v>2.462E-2</v>
      </c>
      <c r="N1163" s="1465">
        <v>1.4247396509822547</v>
      </c>
      <c r="O1163" s="1465"/>
    </row>
    <row r="1164" spans="11:15">
      <c r="K1164" s="1462">
        <v>43221</v>
      </c>
      <c r="L1164" s="1463"/>
      <c r="M1164" s="1464">
        <v>0</v>
      </c>
      <c r="N1164" s="1465">
        <v>1.4247396509822547</v>
      </c>
      <c r="O1164" s="1465"/>
    </row>
    <row r="1165" spans="11:15">
      <c r="K1165" s="1462">
        <v>43222</v>
      </c>
      <c r="L1165" s="1463" t="s">
        <v>2127</v>
      </c>
      <c r="M1165" s="1464">
        <v>2.462E-2</v>
      </c>
      <c r="N1165" s="1465">
        <v>1.4250904218843268</v>
      </c>
      <c r="O1165" s="1465"/>
    </row>
    <row r="1166" spans="11:15">
      <c r="K1166" s="1462">
        <v>43223</v>
      </c>
      <c r="L1166" s="1463" t="s">
        <v>2127</v>
      </c>
      <c r="M1166" s="1464">
        <v>2.462E-2</v>
      </c>
      <c r="N1166" s="1465">
        <v>1.4254412791461948</v>
      </c>
      <c r="O1166" s="1465"/>
    </row>
    <row r="1167" spans="11:15">
      <c r="K1167" s="1462">
        <v>43224</v>
      </c>
      <c r="L1167" s="1463" t="s">
        <v>2127</v>
      </c>
      <c r="M1167" s="1464">
        <v>2.462E-2</v>
      </c>
      <c r="N1167" s="1465">
        <v>1.4257922227891207</v>
      </c>
      <c r="O1167" s="1465"/>
    </row>
    <row r="1168" spans="11:15">
      <c r="K1168" s="1462">
        <v>43225</v>
      </c>
      <c r="L1168" s="1463"/>
      <c r="M1168" s="1464">
        <v>0</v>
      </c>
      <c r="N1168" s="1465">
        <v>1.4257922227891207</v>
      </c>
      <c r="O1168" s="1465"/>
    </row>
    <row r="1169" spans="11:15">
      <c r="K1169" s="1462">
        <v>43226</v>
      </c>
      <c r="L1169" s="1463"/>
      <c r="M1169" s="1464">
        <v>0</v>
      </c>
      <c r="N1169" s="1465">
        <v>1.4257922227891207</v>
      </c>
      <c r="O1169" s="1465"/>
    </row>
    <row r="1170" spans="11:15">
      <c r="K1170" s="1462">
        <v>43227</v>
      </c>
      <c r="L1170" s="1463" t="s">
        <v>2127</v>
      </c>
      <c r="M1170" s="1464">
        <v>2.462E-2</v>
      </c>
      <c r="N1170" s="1465">
        <v>1.4261432528343714</v>
      </c>
      <c r="O1170" s="1465"/>
    </row>
    <row r="1171" spans="11:15">
      <c r="K1171" s="1462">
        <v>43228</v>
      </c>
      <c r="L1171" s="1463" t="s">
        <v>2127</v>
      </c>
      <c r="M1171" s="1464">
        <v>2.462E-2</v>
      </c>
      <c r="N1171" s="1465">
        <v>1.4264943693032193</v>
      </c>
      <c r="O1171" s="1465"/>
    </row>
    <row r="1172" spans="11:15">
      <c r="K1172" s="1462">
        <v>43229</v>
      </c>
      <c r="L1172" s="1463" t="s">
        <v>2127</v>
      </c>
      <c r="M1172" s="1464">
        <v>2.462E-2</v>
      </c>
      <c r="N1172" s="1465">
        <v>1.4268455722169417</v>
      </c>
      <c r="O1172" s="1465"/>
    </row>
    <row r="1173" spans="11:15">
      <c r="K1173" s="1462">
        <v>43230</v>
      </c>
      <c r="L1173" s="1463" t="s">
        <v>2127</v>
      </c>
      <c r="M1173" s="1464">
        <v>2.462E-2</v>
      </c>
      <c r="N1173" s="1465">
        <v>1.4271968615968216</v>
      </c>
      <c r="O1173" s="1465"/>
    </row>
    <row r="1174" spans="11:15">
      <c r="K1174" s="1462">
        <v>43231</v>
      </c>
      <c r="L1174" s="1463" t="s">
        <v>2127</v>
      </c>
      <c r="M1174" s="1464">
        <v>2.462E-2</v>
      </c>
      <c r="N1174" s="1465">
        <v>1.4275482374641468</v>
      </c>
      <c r="O1174" s="1465"/>
    </row>
    <row r="1175" spans="11:15">
      <c r="K1175" s="1462">
        <v>43232</v>
      </c>
      <c r="L1175" s="1463"/>
      <c r="M1175" s="1464">
        <v>0</v>
      </c>
      <c r="N1175" s="1465">
        <v>1.4275482374641468</v>
      </c>
      <c r="O1175" s="1465"/>
    </row>
    <row r="1176" spans="11:15">
      <c r="K1176" s="1462">
        <v>43233</v>
      </c>
      <c r="L1176" s="1463"/>
      <c r="M1176" s="1464">
        <v>0</v>
      </c>
      <c r="N1176" s="1465">
        <v>1.4275482374641468</v>
      </c>
      <c r="O1176" s="1465"/>
    </row>
    <row r="1177" spans="11:15">
      <c r="K1177" s="1462">
        <v>43234</v>
      </c>
      <c r="L1177" s="1463" t="s">
        <v>2127</v>
      </c>
      <c r="M1177" s="1464">
        <v>2.462E-2</v>
      </c>
      <c r="N1177" s="1465">
        <v>1.4278996998402107</v>
      </c>
      <c r="O1177" s="1465"/>
    </row>
    <row r="1178" spans="11:15">
      <c r="K1178" s="1462">
        <v>43235</v>
      </c>
      <c r="L1178" s="1463" t="s">
        <v>2127</v>
      </c>
      <c r="M1178" s="1464">
        <v>2.462E-2</v>
      </c>
      <c r="N1178" s="1465">
        <v>1.4282512487463115</v>
      </c>
      <c r="O1178" s="1465"/>
    </row>
    <row r="1179" spans="11:15">
      <c r="K1179" s="1462">
        <v>43236</v>
      </c>
      <c r="L1179" s="1463" t="s">
        <v>2127</v>
      </c>
      <c r="M1179" s="1464">
        <v>2.462E-2</v>
      </c>
      <c r="N1179" s="1465">
        <v>1.428602884203753</v>
      </c>
      <c r="O1179" s="1465"/>
    </row>
    <row r="1180" spans="11:15">
      <c r="K1180" s="1462">
        <v>43237</v>
      </c>
      <c r="L1180" s="1463" t="s">
        <v>2127</v>
      </c>
      <c r="M1180" s="1464">
        <v>2.462E-2</v>
      </c>
      <c r="N1180" s="1465">
        <v>1.4289546062338441</v>
      </c>
      <c r="O1180" s="1465"/>
    </row>
    <row r="1181" spans="11:15">
      <c r="K1181" s="1462">
        <v>43238</v>
      </c>
      <c r="L1181" s="1463" t="s">
        <v>2127</v>
      </c>
      <c r="M1181" s="1464">
        <v>2.462E-2</v>
      </c>
      <c r="N1181" s="1465">
        <v>1.4293064148578989</v>
      </c>
      <c r="O1181" s="1465"/>
    </row>
    <row r="1182" spans="11:15">
      <c r="K1182" s="1462">
        <v>43239</v>
      </c>
      <c r="L1182" s="1463"/>
      <c r="M1182" s="1464">
        <v>0</v>
      </c>
      <c r="N1182" s="1465">
        <v>1.4293064148578989</v>
      </c>
      <c r="O1182" s="1465"/>
    </row>
    <row r="1183" spans="11:15">
      <c r="K1183" s="1462">
        <v>43240</v>
      </c>
      <c r="L1183" s="1463"/>
      <c r="M1183" s="1464">
        <v>0</v>
      </c>
      <c r="N1183" s="1465">
        <v>1.4293064148578989</v>
      </c>
      <c r="O1183" s="1465"/>
    </row>
    <row r="1184" spans="11:15">
      <c r="K1184" s="1462">
        <v>43241</v>
      </c>
      <c r="L1184" s="1463" t="s">
        <v>2127</v>
      </c>
      <c r="M1184" s="1464">
        <v>2.462E-2</v>
      </c>
      <c r="N1184" s="1465">
        <v>1.4296583100972371</v>
      </c>
      <c r="O1184" s="1465"/>
    </row>
    <row r="1185" spans="11:15">
      <c r="K1185" s="1462">
        <v>43242</v>
      </c>
      <c r="L1185" s="1463" t="s">
        <v>2127</v>
      </c>
      <c r="M1185" s="1464">
        <v>2.462E-2</v>
      </c>
      <c r="N1185" s="1465">
        <v>1.4300102919731832</v>
      </c>
      <c r="O1185" s="1465"/>
    </row>
    <row r="1186" spans="11:15">
      <c r="K1186" s="1462">
        <v>43243</v>
      </c>
      <c r="L1186" s="1463" t="s">
        <v>2127</v>
      </c>
      <c r="M1186" s="1464">
        <v>2.462E-2</v>
      </c>
      <c r="N1186" s="1465">
        <v>1.430362360507067</v>
      </c>
      <c r="O1186" s="1465"/>
    </row>
    <row r="1187" spans="11:15">
      <c r="K1187" s="1462">
        <v>43244</v>
      </c>
      <c r="L1187" s="1463" t="s">
        <v>2127</v>
      </c>
      <c r="M1187" s="1464">
        <v>2.462E-2</v>
      </c>
      <c r="N1187" s="1465">
        <v>1.4307145157202239</v>
      </c>
      <c r="O1187" s="1465"/>
    </row>
    <row r="1188" spans="11:15">
      <c r="K1188" s="1462">
        <v>43245</v>
      </c>
      <c r="L1188" s="1463" t="s">
        <v>2127</v>
      </c>
      <c r="M1188" s="1464">
        <v>2.462E-2</v>
      </c>
      <c r="N1188" s="1465">
        <v>1.4310667576339944</v>
      </c>
      <c r="O1188" s="1465"/>
    </row>
    <row r="1189" spans="11:15">
      <c r="K1189" s="1462">
        <v>43246</v>
      </c>
      <c r="L1189" s="1463"/>
      <c r="M1189" s="1464">
        <v>0</v>
      </c>
      <c r="N1189" s="1465">
        <v>1.4310667576339944</v>
      </c>
      <c r="O1189" s="1465"/>
    </row>
    <row r="1190" spans="11:15">
      <c r="K1190" s="1462">
        <v>43247</v>
      </c>
      <c r="L1190" s="1463"/>
      <c r="M1190" s="1464">
        <v>0</v>
      </c>
      <c r="N1190" s="1465">
        <v>1.4310667576339944</v>
      </c>
      <c r="O1190" s="1465"/>
    </row>
    <row r="1191" spans="11:15">
      <c r="K1191" s="1462">
        <v>43248</v>
      </c>
      <c r="L1191" s="1463" t="s">
        <v>2127</v>
      </c>
      <c r="M1191" s="1464">
        <v>2.462E-2</v>
      </c>
      <c r="N1191" s="1465">
        <v>1.431419086269724</v>
      </c>
      <c r="O1191" s="1465"/>
    </row>
    <row r="1192" spans="11:15">
      <c r="K1192" s="1462">
        <v>43249</v>
      </c>
      <c r="L1192" s="1463" t="s">
        <v>2127</v>
      </c>
      <c r="M1192" s="1464">
        <v>2.462E-2</v>
      </c>
      <c r="N1192" s="1465">
        <v>1.4317715016487638</v>
      </c>
      <c r="O1192" s="1465"/>
    </row>
    <row r="1193" spans="11:15">
      <c r="K1193" s="1462">
        <v>43250</v>
      </c>
      <c r="L1193" s="1463" t="s">
        <v>2127</v>
      </c>
      <c r="M1193" s="1464">
        <v>2.462E-2</v>
      </c>
      <c r="N1193" s="1465">
        <v>1.4321240037924698</v>
      </c>
      <c r="O1193" s="1465"/>
    </row>
    <row r="1194" spans="11:15">
      <c r="K1194" s="1462">
        <v>43251</v>
      </c>
      <c r="L1194" s="1463"/>
      <c r="M1194" s="1464">
        <v>0</v>
      </c>
      <c r="N1194" s="1465">
        <v>1.4321240037924698</v>
      </c>
      <c r="O1194" s="1465"/>
    </row>
    <row r="1195" spans="11:15">
      <c r="K1195" s="1462">
        <v>43252</v>
      </c>
      <c r="L1195" s="1463" t="s">
        <v>2127</v>
      </c>
      <c r="M1195" s="1464">
        <v>2.462E-2</v>
      </c>
      <c r="N1195" s="1465">
        <v>1.4324765927222036</v>
      </c>
      <c r="O1195" s="1465"/>
    </row>
    <row r="1196" spans="11:15">
      <c r="K1196" s="1462">
        <v>43253</v>
      </c>
      <c r="L1196" s="1463"/>
      <c r="M1196" s="1464">
        <v>0</v>
      </c>
      <c r="N1196" s="1465">
        <v>1.4324765927222036</v>
      </c>
      <c r="O1196" s="1465"/>
    </row>
    <row r="1197" spans="11:15">
      <c r="K1197" s="1462">
        <v>43254</v>
      </c>
      <c r="L1197" s="1463"/>
      <c r="M1197" s="1464">
        <v>0</v>
      </c>
      <c r="N1197" s="1465">
        <v>1.4324765927222036</v>
      </c>
      <c r="O1197" s="1465"/>
    </row>
    <row r="1198" spans="11:15">
      <c r="K1198" s="1462">
        <v>43255</v>
      </c>
      <c r="L1198" s="1463" t="s">
        <v>2127</v>
      </c>
      <c r="M1198" s="1464">
        <v>2.462E-2</v>
      </c>
      <c r="N1198" s="1465">
        <v>1.432829268459332</v>
      </c>
      <c r="O1198" s="1465"/>
    </row>
    <row r="1199" spans="11:15">
      <c r="K1199" s="1462">
        <v>43256</v>
      </c>
      <c r="L1199" s="1463" t="s">
        <v>2127</v>
      </c>
      <c r="M1199" s="1464">
        <v>2.462E-2</v>
      </c>
      <c r="N1199" s="1465">
        <v>1.4331820310252268</v>
      </c>
      <c r="O1199" s="1465"/>
    </row>
    <row r="1200" spans="11:15">
      <c r="K1200" s="1462">
        <v>43257</v>
      </c>
      <c r="L1200" s="1463" t="s">
        <v>2127</v>
      </c>
      <c r="M1200" s="1464">
        <v>2.462E-2</v>
      </c>
      <c r="N1200" s="1465">
        <v>1.4335348804412653</v>
      </c>
      <c r="O1200" s="1465"/>
    </row>
    <row r="1201" spans="11:15">
      <c r="K1201" s="1462">
        <v>43258</v>
      </c>
      <c r="L1201" s="1463" t="s">
        <v>2127</v>
      </c>
      <c r="M1201" s="1464">
        <v>2.462E-2</v>
      </c>
      <c r="N1201" s="1465">
        <v>1.43388781672883</v>
      </c>
      <c r="O1201" s="1465"/>
    </row>
    <row r="1202" spans="11:15">
      <c r="K1202" s="1462">
        <v>43259</v>
      </c>
      <c r="L1202" s="1463" t="s">
        <v>2127</v>
      </c>
      <c r="M1202" s="1464">
        <v>2.462E-2</v>
      </c>
      <c r="N1202" s="1465">
        <v>1.4342408399093087</v>
      </c>
      <c r="O1202" s="1465"/>
    </row>
    <row r="1203" spans="11:15">
      <c r="K1203" s="1462">
        <v>43260</v>
      </c>
      <c r="L1203" s="1463"/>
      <c r="M1203" s="1464">
        <v>0</v>
      </c>
      <c r="N1203" s="1465">
        <v>1.4342408399093087</v>
      </c>
      <c r="O1203" s="1465"/>
    </row>
    <row r="1204" spans="11:15">
      <c r="K1204" s="1462">
        <v>43261</v>
      </c>
      <c r="L1204" s="1463"/>
      <c r="M1204" s="1464">
        <v>0</v>
      </c>
      <c r="N1204" s="1465">
        <v>1.4342408399093087</v>
      </c>
      <c r="O1204" s="1465"/>
    </row>
    <row r="1205" spans="11:15">
      <c r="K1205" s="1462">
        <v>43262</v>
      </c>
      <c r="L1205" s="1463" t="s">
        <v>2127</v>
      </c>
      <c r="M1205" s="1464">
        <v>2.462E-2</v>
      </c>
      <c r="N1205" s="1465">
        <v>1.4345939500040945</v>
      </c>
      <c r="O1205" s="1465"/>
    </row>
    <row r="1206" spans="11:15">
      <c r="K1206" s="1462">
        <v>43263</v>
      </c>
      <c r="L1206" s="1463" t="s">
        <v>2127</v>
      </c>
      <c r="M1206" s="1464">
        <v>2.462E-2</v>
      </c>
      <c r="N1206" s="1465">
        <v>1.4349471470345856</v>
      </c>
      <c r="O1206" s="1465"/>
    </row>
    <row r="1207" spans="11:15">
      <c r="K1207" s="1462">
        <v>43264</v>
      </c>
      <c r="L1207" s="1463" t="s">
        <v>2127</v>
      </c>
      <c r="M1207" s="1464">
        <v>2.462E-2</v>
      </c>
      <c r="N1207" s="1465">
        <v>1.4353004310221855</v>
      </c>
      <c r="O1207" s="1465"/>
    </row>
    <row r="1208" spans="11:15">
      <c r="K1208" s="1462">
        <v>43265</v>
      </c>
      <c r="L1208" s="1463" t="s">
        <v>2127</v>
      </c>
      <c r="M1208" s="1464">
        <v>2.462E-2</v>
      </c>
      <c r="N1208" s="1465">
        <v>1.4356538019883034</v>
      </c>
      <c r="O1208" s="1465"/>
    </row>
    <row r="1209" spans="11:15">
      <c r="K1209" s="1462">
        <v>43266</v>
      </c>
      <c r="L1209" s="1463" t="s">
        <v>2127</v>
      </c>
      <c r="M1209" s="1464">
        <v>2.462E-2</v>
      </c>
      <c r="N1209" s="1465">
        <v>1.436007259954353</v>
      </c>
      <c r="O1209" s="1465"/>
    </row>
    <row r="1210" spans="11:15">
      <c r="K1210" s="1462">
        <v>43267</v>
      </c>
      <c r="L1210" s="1463"/>
      <c r="M1210" s="1464">
        <v>0</v>
      </c>
      <c r="N1210" s="1465">
        <v>1.436007259954353</v>
      </c>
      <c r="O1210" s="1465"/>
    </row>
    <row r="1211" spans="11:15">
      <c r="K1211" s="1462">
        <v>43268</v>
      </c>
      <c r="L1211" s="1463"/>
      <c r="M1211" s="1464">
        <v>0</v>
      </c>
      <c r="N1211" s="1465">
        <v>1.436007259954353</v>
      </c>
      <c r="O1211" s="1465"/>
    </row>
    <row r="1212" spans="11:15">
      <c r="K1212" s="1462">
        <v>43269</v>
      </c>
      <c r="L1212" s="1463" t="s">
        <v>2127</v>
      </c>
      <c r="M1212" s="1464">
        <v>2.462E-2</v>
      </c>
      <c r="N1212" s="1465">
        <v>1.4363608049417538</v>
      </c>
      <c r="O1212" s="1465"/>
    </row>
    <row r="1213" spans="11:15">
      <c r="K1213" s="1462">
        <v>43270</v>
      </c>
      <c r="L1213" s="1463" t="s">
        <v>2127</v>
      </c>
      <c r="M1213" s="1464">
        <v>2.462E-2</v>
      </c>
      <c r="N1213" s="1465">
        <v>1.4367144369719305</v>
      </c>
      <c r="O1213" s="1465"/>
    </row>
    <row r="1214" spans="11:15">
      <c r="K1214" s="1462">
        <v>43271</v>
      </c>
      <c r="L1214" s="1463" t="s">
        <v>2127</v>
      </c>
      <c r="M1214" s="1464">
        <v>2.462E-2</v>
      </c>
      <c r="N1214" s="1465">
        <v>1.437068156066313</v>
      </c>
      <c r="O1214" s="1465"/>
    </row>
    <row r="1215" spans="11:15">
      <c r="K1215" s="1462">
        <v>43272</v>
      </c>
      <c r="L1215" s="1463" t="s">
        <v>2127</v>
      </c>
      <c r="M1215" s="1464">
        <v>2.462E-2</v>
      </c>
      <c r="N1215" s="1465">
        <v>1.4374219622463367</v>
      </c>
      <c r="O1215" s="1465"/>
    </row>
    <row r="1216" spans="11:15">
      <c r="K1216" s="1462">
        <v>43273</v>
      </c>
      <c r="L1216" s="1463" t="s">
        <v>2127</v>
      </c>
      <c r="M1216" s="1464">
        <v>2.462E-2</v>
      </c>
      <c r="N1216" s="1465">
        <v>1.4377758555334419</v>
      </c>
      <c r="O1216" s="1465"/>
    </row>
    <row r="1217" spans="11:15">
      <c r="K1217" s="1462">
        <v>43274</v>
      </c>
      <c r="L1217" s="1463"/>
      <c r="M1217" s="1464">
        <v>0</v>
      </c>
      <c r="N1217" s="1465">
        <v>1.4377758555334419</v>
      </c>
      <c r="O1217" s="1465"/>
    </row>
    <row r="1218" spans="11:15">
      <c r="K1218" s="1462">
        <v>43275</v>
      </c>
      <c r="L1218" s="1463"/>
      <c r="M1218" s="1464">
        <v>0</v>
      </c>
      <c r="N1218" s="1465">
        <v>1.4377758555334419</v>
      </c>
      <c r="O1218" s="1465"/>
    </row>
    <row r="1219" spans="11:15">
      <c r="K1219" s="1462">
        <v>43276</v>
      </c>
      <c r="L1219" s="1463" t="s">
        <v>2127</v>
      </c>
      <c r="M1219" s="1464">
        <v>2.462E-2</v>
      </c>
      <c r="N1219" s="1465">
        <v>1.4381298359490744</v>
      </c>
      <c r="O1219" s="1465"/>
    </row>
    <row r="1220" spans="11:15">
      <c r="K1220" s="1462">
        <v>43277</v>
      </c>
      <c r="L1220" s="1463" t="s">
        <v>2127</v>
      </c>
      <c r="M1220" s="1464">
        <v>2.462E-2</v>
      </c>
      <c r="N1220" s="1465">
        <v>1.4384839035146852</v>
      </c>
      <c r="O1220" s="1465"/>
    </row>
    <row r="1221" spans="11:15">
      <c r="K1221" s="1462">
        <v>43278</v>
      </c>
      <c r="L1221" s="1463" t="s">
        <v>2127</v>
      </c>
      <c r="M1221" s="1464">
        <v>2.462E-2</v>
      </c>
      <c r="N1221" s="1465">
        <v>1.4388380582517306</v>
      </c>
      <c r="O1221" s="1465"/>
    </row>
    <row r="1222" spans="11:15">
      <c r="K1222" s="1462">
        <v>43279</v>
      </c>
      <c r="L1222" s="1463" t="s">
        <v>2127</v>
      </c>
      <c r="M1222" s="1464">
        <v>2.462E-2</v>
      </c>
      <c r="N1222" s="1465">
        <v>1.4391923001816722</v>
      </c>
      <c r="O1222" s="1465"/>
    </row>
    <row r="1223" spans="11:15">
      <c r="K1223" s="1462">
        <v>43280</v>
      </c>
      <c r="L1223" s="1463" t="s">
        <v>2127</v>
      </c>
      <c r="M1223" s="1464">
        <v>2.462E-2</v>
      </c>
      <c r="N1223" s="1465">
        <v>1.4395466293259771</v>
      </c>
      <c r="O1223" s="1465"/>
    </row>
    <row r="1224" spans="11:15">
      <c r="K1224" s="1462">
        <v>43281</v>
      </c>
      <c r="L1224" s="1463"/>
      <c r="M1224" s="1464">
        <v>0</v>
      </c>
      <c r="N1224" s="1465">
        <v>1.4395466293259771</v>
      </c>
      <c r="O1224" s="1465"/>
    </row>
    <row r="1225" spans="11:15">
      <c r="K1225" s="1462">
        <v>43282</v>
      </c>
      <c r="L1225" s="1463"/>
      <c r="M1225" s="1464">
        <v>0</v>
      </c>
      <c r="N1225" s="1465">
        <v>1.4395466293259771</v>
      </c>
      <c r="O1225" s="1465"/>
    </row>
    <row r="1226" spans="11:15">
      <c r="K1226" s="1462">
        <v>43283</v>
      </c>
      <c r="L1226" s="1463" t="s">
        <v>2127</v>
      </c>
      <c r="M1226" s="1464">
        <v>2.462E-2</v>
      </c>
      <c r="N1226" s="1465">
        <v>1.4399010457061172</v>
      </c>
      <c r="O1226" s="1465"/>
    </row>
    <row r="1227" spans="11:15">
      <c r="K1227" s="1462">
        <v>43284</v>
      </c>
      <c r="L1227" s="1463" t="s">
        <v>2127</v>
      </c>
      <c r="M1227" s="1464">
        <v>2.462E-2</v>
      </c>
      <c r="N1227" s="1465">
        <v>1.4402555493435703</v>
      </c>
      <c r="O1227" s="1465"/>
    </row>
    <row r="1228" spans="11:15">
      <c r="K1228" s="1462">
        <v>43285</v>
      </c>
      <c r="L1228" s="1463" t="s">
        <v>2127</v>
      </c>
      <c r="M1228" s="1464">
        <v>2.462E-2</v>
      </c>
      <c r="N1228" s="1465">
        <v>1.4406101402598188</v>
      </c>
      <c r="O1228" s="1465"/>
    </row>
    <row r="1229" spans="11:15">
      <c r="K1229" s="1462">
        <v>43286</v>
      </c>
      <c r="L1229" s="1463" t="s">
        <v>2127</v>
      </c>
      <c r="M1229" s="1464">
        <v>2.462E-2</v>
      </c>
      <c r="N1229" s="1465">
        <v>1.4409648184763508</v>
      </c>
      <c r="O1229" s="1465"/>
    </row>
    <row r="1230" spans="11:15">
      <c r="K1230" s="1462">
        <v>43287</v>
      </c>
      <c r="L1230" s="1463" t="s">
        <v>2127</v>
      </c>
      <c r="M1230" s="1464">
        <v>2.462E-2</v>
      </c>
      <c r="N1230" s="1465">
        <v>1.4413195840146598</v>
      </c>
      <c r="O1230" s="1465"/>
    </row>
    <row r="1231" spans="11:15">
      <c r="K1231" s="1462">
        <v>43288</v>
      </c>
      <c r="L1231" s="1463"/>
      <c r="M1231" s="1464">
        <v>0</v>
      </c>
      <c r="N1231" s="1465">
        <v>1.4413195840146598</v>
      </c>
      <c r="O1231" s="1465"/>
    </row>
    <row r="1232" spans="11:15">
      <c r="K1232" s="1462">
        <v>43289</v>
      </c>
      <c r="L1232" s="1463"/>
      <c r="M1232" s="1464">
        <v>0</v>
      </c>
      <c r="N1232" s="1465">
        <v>1.4413195840146598</v>
      </c>
      <c r="O1232" s="1465"/>
    </row>
    <row r="1233" spans="11:15">
      <c r="K1233" s="1462">
        <v>43290</v>
      </c>
      <c r="L1233" s="1463" t="s">
        <v>2127</v>
      </c>
      <c r="M1233" s="1464">
        <v>2.462E-2</v>
      </c>
      <c r="N1233" s="1465">
        <v>1.4416744368962442</v>
      </c>
      <c r="O1233" s="1465"/>
    </row>
    <row r="1234" spans="11:15">
      <c r="K1234" s="1462">
        <v>43291</v>
      </c>
      <c r="L1234" s="1463" t="s">
        <v>2127</v>
      </c>
      <c r="M1234" s="1464">
        <v>2.462E-2</v>
      </c>
      <c r="N1234" s="1465">
        <v>1.4420293771426083</v>
      </c>
      <c r="O1234" s="1465"/>
    </row>
    <row r="1235" spans="11:15">
      <c r="K1235" s="1462">
        <v>43292</v>
      </c>
      <c r="L1235" s="1463" t="s">
        <v>2127</v>
      </c>
      <c r="M1235" s="1464">
        <v>2.462E-2</v>
      </c>
      <c r="N1235" s="1465">
        <v>1.442384404775261</v>
      </c>
      <c r="O1235" s="1465"/>
    </row>
    <row r="1236" spans="11:15">
      <c r="K1236" s="1462">
        <v>43293</v>
      </c>
      <c r="L1236" s="1463" t="s">
        <v>2127</v>
      </c>
      <c r="M1236" s="1464">
        <v>2.462E-2</v>
      </c>
      <c r="N1236" s="1465">
        <v>1.4427395198157167</v>
      </c>
      <c r="O1236" s="1465"/>
    </row>
    <row r="1237" spans="11:15">
      <c r="K1237" s="1462">
        <v>43294</v>
      </c>
      <c r="L1237" s="1463" t="s">
        <v>2127</v>
      </c>
      <c r="M1237" s="1464">
        <v>2.462E-2</v>
      </c>
      <c r="N1237" s="1465">
        <v>1.4430947222854955</v>
      </c>
      <c r="O1237" s="1465"/>
    </row>
    <row r="1238" spans="11:15">
      <c r="K1238" s="1462">
        <v>43295</v>
      </c>
      <c r="L1238" s="1463"/>
      <c r="M1238" s="1464">
        <v>0</v>
      </c>
      <c r="N1238" s="1465">
        <v>1.4430947222854955</v>
      </c>
      <c r="O1238" s="1465"/>
    </row>
    <row r="1239" spans="11:15">
      <c r="K1239" s="1462">
        <v>43296</v>
      </c>
      <c r="L1239" s="1463"/>
      <c r="M1239" s="1464">
        <v>0</v>
      </c>
      <c r="N1239" s="1465">
        <v>1.4430947222854955</v>
      </c>
      <c r="O1239" s="1465"/>
    </row>
    <row r="1240" spans="11:15">
      <c r="K1240" s="1462">
        <v>43297</v>
      </c>
      <c r="L1240" s="1463" t="s">
        <v>2127</v>
      </c>
      <c r="M1240" s="1464">
        <v>2.462E-2</v>
      </c>
      <c r="N1240" s="1465">
        <v>1.4434500122061222</v>
      </c>
      <c r="O1240" s="1465"/>
    </row>
    <row r="1241" spans="11:15">
      <c r="K1241" s="1462">
        <v>43298</v>
      </c>
      <c r="L1241" s="1463" t="s">
        <v>2127</v>
      </c>
      <c r="M1241" s="1464">
        <v>2.462E-2</v>
      </c>
      <c r="N1241" s="1465">
        <v>1.4438053895991274</v>
      </c>
      <c r="O1241" s="1465"/>
    </row>
    <row r="1242" spans="11:15">
      <c r="K1242" s="1462">
        <v>43299</v>
      </c>
      <c r="L1242" s="1463" t="s">
        <v>2127</v>
      </c>
      <c r="M1242" s="1464">
        <v>2.462E-2</v>
      </c>
      <c r="N1242" s="1465">
        <v>1.4441608544860469</v>
      </c>
      <c r="O1242" s="1465"/>
    </row>
    <row r="1243" spans="11:15">
      <c r="K1243" s="1462">
        <v>43300</v>
      </c>
      <c r="L1243" s="1463" t="s">
        <v>2127</v>
      </c>
      <c r="M1243" s="1464">
        <v>2.462E-2</v>
      </c>
      <c r="N1243" s="1465">
        <v>1.4445164068884215</v>
      </c>
      <c r="O1243" s="1465"/>
    </row>
    <row r="1244" spans="11:15">
      <c r="K1244" s="1462">
        <v>43301</v>
      </c>
      <c r="L1244" s="1463" t="s">
        <v>2127</v>
      </c>
      <c r="M1244" s="1464">
        <v>2.462E-2</v>
      </c>
      <c r="N1244" s="1465">
        <v>1.4448720468277976</v>
      </c>
      <c r="O1244" s="1465"/>
    </row>
    <row r="1245" spans="11:15">
      <c r="K1245" s="1462">
        <v>43302</v>
      </c>
      <c r="L1245" s="1463"/>
      <c r="M1245" s="1464">
        <v>0</v>
      </c>
      <c r="N1245" s="1465">
        <v>1.4448720468277976</v>
      </c>
      <c r="O1245" s="1465"/>
    </row>
    <row r="1246" spans="11:15">
      <c r="K1246" s="1462">
        <v>43303</v>
      </c>
      <c r="L1246" s="1463"/>
      <c r="M1246" s="1464">
        <v>0</v>
      </c>
      <c r="N1246" s="1465">
        <v>1.4448720468277976</v>
      </c>
      <c r="O1246" s="1465"/>
    </row>
    <row r="1247" spans="11:15">
      <c r="K1247" s="1462">
        <v>43304</v>
      </c>
      <c r="L1247" s="1463" t="s">
        <v>2127</v>
      </c>
      <c r="M1247" s="1464">
        <v>2.462E-2</v>
      </c>
      <c r="N1247" s="1465">
        <v>1.4452277743257267</v>
      </c>
      <c r="O1247" s="1465"/>
    </row>
    <row r="1248" spans="11:15">
      <c r="K1248" s="1462">
        <v>43305</v>
      </c>
      <c r="L1248" s="1463" t="s">
        <v>2127</v>
      </c>
      <c r="M1248" s="1464">
        <v>2.462E-2</v>
      </c>
      <c r="N1248" s="1465">
        <v>1.4455835894037659</v>
      </c>
      <c r="O1248" s="1465"/>
    </row>
    <row r="1249" spans="11:15">
      <c r="K1249" s="1462">
        <v>43306</v>
      </c>
      <c r="L1249" s="1463" t="s">
        <v>2127</v>
      </c>
      <c r="M1249" s="1464">
        <v>2.462E-2</v>
      </c>
      <c r="N1249" s="1465">
        <v>1.4459394920834772</v>
      </c>
      <c r="O1249" s="1465"/>
    </row>
    <row r="1250" spans="11:15">
      <c r="K1250" s="1462">
        <v>43307</v>
      </c>
      <c r="L1250" s="1463" t="s">
        <v>2127</v>
      </c>
      <c r="M1250" s="1464">
        <v>2.462E-2</v>
      </c>
      <c r="N1250" s="1465">
        <v>1.4462954823864282</v>
      </c>
      <c r="O1250" s="1465"/>
    </row>
    <row r="1251" spans="11:15">
      <c r="K1251" s="1462">
        <v>43308</v>
      </c>
      <c r="L1251" s="1463" t="s">
        <v>2127</v>
      </c>
      <c r="M1251" s="1464">
        <v>2.462E-2</v>
      </c>
      <c r="N1251" s="1465">
        <v>1.4466515603341918</v>
      </c>
      <c r="O1251" s="1465"/>
    </row>
    <row r="1252" spans="11:15">
      <c r="K1252" s="1462">
        <v>43309</v>
      </c>
      <c r="L1252" s="1463"/>
      <c r="M1252" s="1464">
        <v>0</v>
      </c>
      <c r="N1252" s="1465">
        <v>1.4466515603341918</v>
      </c>
      <c r="O1252" s="1465"/>
    </row>
    <row r="1253" spans="11:15">
      <c r="K1253" s="1462">
        <v>43310</v>
      </c>
      <c r="L1253" s="1463"/>
      <c r="M1253" s="1464">
        <v>0</v>
      </c>
      <c r="N1253" s="1465">
        <v>1.4466515603341918</v>
      </c>
      <c r="O1253" s="1465"/>
    </row>
    <row r="1254" spans="11:15">
      <c r="K1254" s="1462">
        <v>43311</v>
      </c>
      <c r="L1254" s="1463" t="s">
        <v>2127</v>
      </c>
      <c r="M1254" s="1464">
        <v>2.462E-2</v>
      </c>
      <c r="N1254" s="1465">
        <v>1.4470077259483463</v>
      </c>
      <c r="O1254" s="1465"/>
    </row>
    <row r="1255" spans="11:15">
      <c r="K1255" s="1462">
        <v>43312</v>
      </c>
      <c r="L1255" s="1463" t="s">
        <v>2127</v>
      </c>
      <c r="M1255" s="1464">
        <v>2.462E-2</v>
      </c>
      <c r="N1255" s="1465">
        <v>1.4473639792504749</v>
      </c>
      <c r="O1255" s="1465"/>
    </row>
    <row r="1256" spans="11:15">
      <c r="K1256" s="1462">
        <v>43313</v>
      </c>
      <c r="L1256" s="1463" t="s">
        <v>2127</v>
      </c>
      <c r="M1256" s="1464">
        <v>2.462E-2</v>
      </c>
      <c r="N1256" s="1465">
        <v>1.4477203202621665</v>
      </c>
      <c r="O1256" s="1465"/>
    </row>
    <row r="1257" spans="11:15">
      <c r="K1257" s="1462">
        <v>43314</v>
      </c>
      <c r="L1257" s="1463" t="s">
        <v>2127</v>
      </c>
      <c r="M1257" s="1464">
        <v>2.462E-2</v>
      </c>
      <c r="N1257" s="1465">
        <v>1.448076749005015</v>
      </c>
      <c r="O1257" s="1465"/>
    </row>
    <row r="1258" spans="11:15">
      <c r="K1258" s="1462">
        <v>43315</v>
      </c>
      <c r="L1258" s="1463" t="s">
        <v>2127</v>
      </c>
      <c r="M1258" s="1464">
        <v>2.462E-2</v>
      </c>
      <c r="N1258" s="1465">
        <v>1.4484332655006202</v>
      </c>
      <c r="O1258" s="1465"/>
    </row>
    <row r="1259" spans="11:15">
      <c r="K1259" s="1462">
        <v>43316</v>
      </c>
      <c r="L1259" s="1463"/>
      <c r="M1259" s="1464">
        <v>0</v>
      </c>
      <c r="N1259" s="1465">
        <v>1.4484332655006202</v>
      </c>
      <c r="O1259" s="1465"/>
    </row>
    <row r="1260" spans="11:15">
      <c r="K1260" s="1462">
        <v>43317</v>
      </c>
      <c r="L1260" s="1463"/>
      <c r="M1260" s="1464">
        <v>0</v>
      </c>
      <c r="N1260" s="1465">
        <v>1.4484332655006202</v>
      </c>
      <c r="O1260" s="1465"/>
    </row>
    <row r="1261" spans="11:15">
      <c r="K1261" s="1462">
        <v>43318</v>
      </c>
      <c r="L1261" s="1463" t="s">
        <v>2127</v>
      </c>
      <c r="M1261" s="1464">
        <v>2.462E-2</v>
      </c>
      <c r="N1261" s="1465">
        <v>1.4487898697705865</v>
      </c>
      <c r="O1261" s="1465"/>
    </row>
    <row r="1262" spans="11:15">
      <c r="K1262" s="1462">
        <v>43319</v>
      </c>
      <c r="L1262" s="1463" t="s">
        <v>2127</v>
      </c>
      <c r="M1262" s="1464">
        <v>2.462E-2</v>
      </c>
      <c r="N1262" s="1465">
        <v>1.4491465618365242</v>
      </c>
      <c r="O1262" s="1465"/>
    </row>
    <row r="1263" spans="11:15">
      <c r="K1263" s="1462">
        <v>43320</v>
      </c>
      <c r="L1263" s="1463" t="s">
        <v>2127</v>
      </c>
      <c r="M1263" s="1464">
        <v>2.462E-2</v>
      </c>
      <c r="N1263" s="1465">
        <v>1.4495033417200485</v>
      </c>
      <c r="O1263" s="1465"/>
    </row>
    <row r="1264" spans="11:15">
      <c r="K1264" s="1462">
        <v>43321</v>
      </c>
      <c r="L1264" s="1463" t="s">
        <v>2127</v>
      </c>
      <c r="M1264" s="1464">
        <v>2.462E-2</v>
      </c>
      <c r="N1264" s="1465">
        <v>1.4498602094427802</v>
      </c>
      <c r="O1264" s="1465"/>
    </row>
    <row r="1265" spans="11:15">
      <c r="K1265" s="1462">
        <v>43322</v>
      </c>
      <c r="L1265" s="1463" t="s">
        <v>2127</v>
      </c>
      <c r="M1265" s="1464">
        <v>2.462E-2</v>
      </c>
      <c r="N1265" s="1465">
        <v>1.4502171650263451</v>
      </c>
      <c r="O1265" s="1465"/>
    </row>
    <row r="1266" spans="11:15">
      <c r="K1266" s="1462">
        <v>43323</v>
      </c>
      <c r="L1266" s="1463"/>
      <c r="M1266" s="1464">
        <v>0</v>
      </c>
      <c r="N1266" s="1465">
        <v>1.4502171650263451</v>
      </c>
      <c r="O1266" s="1465"/>
    </row>
    <row r="1267" spans="11:15">
      <c r="K1267" s="1462">
        <v>43324</v>
      </c>
      <c r="L1267" s="1463"/>
      <c r="M1267" s="1464">
        <v>0</v>
      </c>
      <c r="N1267" s="1465">
        <v>1.4502171650263451</v>
      </c>
      <c r="O1267" s="1465"/>
    </row>
    <row r="1268" spans="11:15">
      <c r="K1268" s="1462">
        <v>43325</v>
      </c>
      <c r="L1268" s="1463" t="s">
        <v>2127</v>
      </c>
      <c r="M1268" s="1464">
        <v>2.462E-2</v>
      </c>
      <c r="N1268" s="1465">
        <v>1.4505742084923747</v>
      </c>
      <c r="O1268" s="1465"/>
    </row>
    <row r="1269" spans="11:15">
      <c r="K1269" s="1462">
        <v>43326</v>
      </c>
      <c r="L1269" s="1463" t="s">
        <v>2127</v>
      </c>
      <c r="M1269" s="1464">
        <v>2.462E-2</v>
      </c>
      <c r="N1269" s="1465">
        <v>1.4509313398625057</v>
      </c>
      <c r="O1269" s="1465"/>
    </row>
    <row r="1270" spans="11:15">
      <c r="K1270" s="1462">
        <v>43327</v>
      </c>
      <c r="L1270" s="1463" t="s">
        <v>2127</v>
      </c>
      <c r="M1270" s="1464">
        <v>2.462E-2</v>
      </c>
      <c r="N1270" s="1465">
        <v>1.45128855915838</v>
      </c>
      <c r="O1270" s="1465"/>
    </row>
    <row r="1271" spans="11:15">
      <c r="K1271" s="1462">
        <v>43328</v>
      </c>
      <c r="L1271" s="1463" t="s">
        <v>2127</v>
      </c>
      <c r="M1271" s="1464">
        <v>2.462E-2</v>
      </c>
      <c r="N1271" s="1465">
        <v>1.4516458664016449</v>
      </c>
      <c r="O1271" s="1465"/>
    </row>
    <row r="1272" spans="11:15">
      <c r="K1272" s="1462">
        <v>43329</v>
      </c>
      <c r="L1272" s="1463" t="s">
        <v>2127</v>
      </c>
      <c r="M1272" s="1464">
        <v>2.462E-2</v>
      </c>
      <c r="N1272" s="1465">
        <v>1.4520032616139531</v>
      </c>
      <c r="O1272" s="1465"/>
    </row>
    <row r="1273" spans="11:15">
      <c r="K1273" s="1462">
        <v>43330</v>
      </c>
      <c r="L1273" s="1463"/>
      <c r="M1273" s="1464">
        <v>0</v>
      </c>
      <c r="N1273" s="1465">
        <v>1.4520032616139531</v>
      </c>
      <c r="O1273" s="1465"/>
    </row>
    <row r="1274" spans="11:15">
      <c r="K1274" s="1462">
        <v>43331</v>
      </c>
      <c r="L1274" s="1463"/>
      <c r="M1274" s="1464">
        <v>0</v>
      </c>
      <c r="N1274" s="1465">
        <v>1.4520032616139531</v>
      </c>
      <c r="O1274" s="1465"/>
    </row>
    <row r="1275" spans="11:15">
      <c r="K1275" s="1462">
        <v>43332</v>
      </c>
      <c r="L1275" s="1463" t="s">
        <v>2127</v>
      </c>
      <c r="M1275" s="1464">
        <v>2.462E-2</v>
      </c>
      <c r="N1275" s="1465">
        <v>1.4523607448169626</v>
      </c>
      <c r="O1275" s="1465"/>
    </row>
    <row r="1276" spans="11:15">
      <c r="K1276" s="1462">
        <v>43333</v>
      </c>
      <c r="L1276" s="1463" t="s">
        <v>2127</v>
      </c>
      <c r="M1276" s="1464">
        <v>2.462E-2</v>
      </c>
      <c r="N1276" s="1465">
        <v>1.4527183160323367</v>
      </c>
      <c r="O1276" s="1465"/>
    </row>
    <row r="1277" spans="11:15">
      <c r="K1277" s="1462">
        <v>43334</v>
      </c>
      <c r="L1277" s="1463" t="s">
        <v>2127</v>
      </c>
      <c r="M1277" s="1464">
        <v>2.462E-2</v>
      </c>
      <c r="N1277" s="1465">
        <v>1.4530759752817439</v>
      </c>
      <c r="O1277" s="1465"/>
    </row>
    <row r="1278" spans="11:15">
      <c r="K1278" s="1462">
        <v>43335</v>
      </c>
      <c r="L1278" s="1463" t="s">
        <v>2127</v>
      </c>
      <c r="M1278" s="1464">
        <v>2.462E-2</v>
      </c>
      <c r="N1278" s="1465">
        <v>1.4534337225868583</v>
      </c>
      <c r="O1278" s="1465"/>
    </row>
    <row r="1279" spans="11:15">
      <c r="K1279" s="1462">
        <v>43336</v>
      </c>
      <c r="L1279" s="1463" t="s">
        <v>2127</v>
      </c>
      <c r="M1279" s="1464">
        <v>2.462E-2</v>
      </c>
      <c r="N1279" s="1465">
        <v>1.4537915579693594</v>
      </c>
      <c r="O1279" s="1465"/>
    </row>
    <row r="1280" spans="11:15">
      <c r="K1280" s="1462">
        <v>43337</v>
      </c>
      <c r="L1280" s="1463"/>
      <c r="M1280" s="1464">
        <v>0</v>
      </c>
      <c r="N1280" s="1465">
        <v>1.4537915579693594</v>
      </c>
      <c r="O1280" s="1465"/>
    </row>
    <row r="1281" spans="11:15">
      <c r="K1281" s="1462">
        <v>43338</v>
      </c>
      <c r="L1281" s="1463"/>
      <c r="M1281" s="1464">
        <v>0</v>
      </c>
      <c r="N1281" s="1465">
        <v>1.4537915579693594</v>
      </c>
      <c r="O1281" s="1465"/>
    </row>
    <row r="1282" spans="11:15">
      <c r="K1282" s="1462">
        <v>43339</v>
      </c>
      <c r="L1282" s="1463" t="s">
        <v>2127</v>
      </c>
      <c r="M1282" s="1464">
        <v>2.462E-2</v>
      </c>
      <c r="N1282" s="1465">
        <v>1.4541494814509317</v>
      </c>
      <c r="O1282" s="1465"/>
    </row>
    <row r="1283" spans="11:15">
      <c r="K1283" s="1462">
        <v>43340</v>
      </c>
      <c r="L1283" s="1463" t="s">
        <v>2127</v>
      </c>
      <c r="M1283" s="1464">
        <v>2.462E-2</v>
      </c>
      <c r="N1283" s="1465">
        <v>1.4545074930532651</v>
      </c>
      <c r="O1283" s="1465"/>
    </row>
    <row r="1284" spans="11:15">
      <c r="K1284" s="1462">
        <v>43341</v>
      </c>
      <c r="L1284" s="1463" t="s">
        <v>2127</v>
      </c>
      <c r="M1284" s="1464">
        <v>2.462E-2</v>
      </c>
      <c r="N1284" s="1465">
        <v>1.4548655927980549</v>
      </c>
      <c r="O1284" s="1465"/>
    </row>
    <row r="1285" spans="11:15">
      <c r="K1285" s="1462">
        <v>43342</v>
      </c>
      <c r="L1285" s="1463" t="s">
        <v>2127</v>
      </c>
      <c r="M1285" s="1464">
        <v>2.462E-2</v>
      </c>
      <c r="N1285" s="1465">
        <v>1.4552237807070019</v>
      </c>
      <c r="O1285" s="1465"/>
    </row>
    <row r="1286" spans="11:15">
      <c r="K1286" s="1462">
        <v>43343</v>
      </c>
      <c r="L1286" s="1463" t="s">
        <v>2127</v>
      </c>
      <c r="M1286" s="1464">
        <v>2.462E-2</v>
      </c>
      <c r="N1286" s="1465">
        <v>1.4555820568018121</v>
      </c>
      <c r="O1286" s="1465"/>
    </row>
    <row r="1287" spans="11:15">
      <c r="K1287" s="1462">
        <v>43344</v>
      </c>
      <c r="L1287" s="1463"/>
      <c r="M1287" s="1464">
        <v>0</v>
      </c>
      <c r="N1287" s="1465">
        <v>1.4555820568018121</v>
      </c>
      <c r="O1287" s="1465"/>
    </row>
    <row r="1288" spans="11:15">
      <c r="K1288" s="1462">
        <v>43345</v>
      </c>
      <c r="L1288" s="1463"/>
      <c r="M1288" s="1464">
        <v>0</v>
      </c>
      <c r="N1288" s="1465">
        <v>1.4555820568018121</v>
      </c>
      <c r="O1288" s="1465"/>
    </row>
    <row r="1289" spans="11:15">
      <c r="K1289" s="1462">
        <v>43346</v>
      </c>
      <c r="L1289" s="1463" t="s">
        <v>2127</v>
      </c>
      <c r="M1289" s="1464">
        <v>2.462E-2</v>
      </c>
      <c r="N1289" s="1465">
        <v>1.4559404211041969</v>
      </c>
      <c r="O1289" s="1465"/>
    </row>
    <row r="1290" spans="11:15">
      <c r="K1290" s="1462">
        <v>43347</v>
      </c>
      <c r="L1290" s="1463" t="s">
        <v>2127</v>
      </c>
      <c r="M1290" s="1464">
        <v>2.462E-2</v>
      </c>
      <c r="N1290" s="1465">
        <v>1.4562988736358728</v>
      </c>
      <c r="O1290" s="1465"/>
    </row>
    <row r="1291" spans="11:15">
      <c r="K1291" s="1462">
        <v>43348</v>
      </c>
      <c r="L1291" s="1463" t="s">
        <v>2127</v>
      </c>
      <c r="M1291" s="1464">
        <v>2.462E-2</v>
      </c>
      <c r="N1291" s="1465">
        <v>1.4566574144185622</v>
      </c>
      <c r="O1291" s="1465"/>
    </row>
    <row r="1292" spans="11:15">
      <c r="K1292" s="1462">
        <v>43349</v>
      </c>
      <c r="L1292" s="1463" t="s">
        <v>2127</v>
      </c>
      <c r="M1292" s="1464">
        <v>2.462E-2</v>
      </c>
      <c r="N1292" s="1465">
        <v>1.4570160434739923</v>
      </c>
      <c r="O1292" s="1465"/>
    </row>
    <row r="1293" spans="11:15">
      <c r="K1293" s="1462">
        <v>43350</v>
      </c>
      <c r="L1293" s="1463"/>
      <c r="M1293" s="1464">
        <v>0</v>
      </c>
      <c r="N1293" s="1465">
        <v>1.4570160434739923</v>
      </c>
      <c r="O1293" s="1465"/>
    </row>
    <row r="1294" spans="11:15">
      <c r="K1294" s="1462">
        <v>43351</v>
      </c>
      <c r="L1294" s="1463"/>
      <c r="M1294" s="1464">
        <v>0</v>
      </c>
      <c r="N1294" s="1465">
        <v>1.4570160434739923</v>
      </c>
      <c r="O1294" s="1465"/>
    </row>
    <row r="1295" spans="11:15">
      <c r="K1295" s="1462">
        <v>43352</v>
      </c>
      <c r="L1295" s="1463"/>
      <c r="M1295" s="1464">
        <v>0</v>
      </c>
      <c r="N1295" s="1465">
        <v>1.4570160434739923</v>
      </c>
      <c r="O1295" s="1465"/>
    </row>
    <row r="1296" spans="11:15">
      <c r="K1296" s="1462">
        <v>43353</v>
      </c>
      <c r="L1296" s="1463" t="s">
        <v>2127</v>
      </c>
      <c r="M1296" s="1464">
        <v>2.462E-2</v>
      </c>
      <c r="N1296" s="1465">
        <v>1.4573747608238956</v>
      </c>
      <c r="O1296" s="1465"/>
    </row>
    <row r="1297" spans="11:15">
      <c r="K1297" s="1462">
        <v>43354</v>
      </c>
      <c r="L1297" s="1463" t="s">
        <v>2127</v>
      </c>
      <c r="M1297" s="1464">
        <v>2.462E-2</v>
      </c>
      <c r="N1297" s="1465">
        <v>1.4577335664900106</v>
      </c>
      <c r="O1297" s="1465"/>
    </row>
    <row r="1298" spans="11:15">
      <c r="K1298" s="1462">
        <v>43355</v>
      </c>
      <c r="L1298" s="1463" t="s">
        <v>2127</v>
      </c>
      <c r="M1298" s="1464">
        <v>2.462E-2</v>
      </c>
      <c r="N1298" s="1465">
        <v>1.4580924604940806</v>
      </c>
      <c r="O1298" s="1465"/>
    </row>
    <row r="1299" spans="11:15">
      <c r="K1299" s="1462">
        <v>43356</v>
      </c>
      <c r="L1299" s="1463" t="s">
        <v>2127</v>
      </c>
      <c r="M1299" s="1464">
        <v>2.462E-2</v>
      </c>
      <c r="N1299" s="1465">
        <v>1.4584514428578543</v>
      </c>
      <c r="O1299" s="1465"/>
    </row>
    <row r="1300" spans="11:15">
      <c r="K1300" s="1462">
        <v>43357</v>
      </c>
      <c r="L1300" s="1463" t="s">
        <v>2127</v>
      </c>
      <c r="M1300" s="1464">
        <v>2.462E-2</v>
      </c>
      <c r="N1300" s="1465">
        <v>1.458810513603086</v>
      </c>
      <c r="O1300" s="1465"/>
    </row>
    <row r="1301" spans="11:15">
      <c r="K1301" s="1462">
        <v>43358</v>
      </c>
      <c r="L1301" s="1463"/>
      <c r="M1301" s="1464">
        <v>0</v>
      </c>
      <c r="N1301" s="1465">
        <v>1.458810513603086</v>
      </c>
      <c r="O1301" s="1465"/>
    </row>
    <row r="1302" spans="11:15">
      <c r="K1302" s="1462">
        <v>43359</v>
      </c>
      <c r="L1302" s="1463"/>
      <c r="M1302" s="1464">
        <v>0</v>
      </c>
      <c r="N1302" s="1465">
        <v>1.458810513603086</v>
      </c>
      <c r="O1302" s="1465"/>
    </row>
    <row r="1303" spans="11:15">
      <c r="K1303" s="1462">
        <v>43360</v>
      </c>
      <c r="L1303" s="1463" t="s">
        <v>2127</v>
      </c>
      <c r="M1303" s="1464">
        <v>2.462E-2</v>
      </c>
      <c r="N1303" s="1465">
        <v>1.4591696727515353</v>
      </c>
      <c r="O1303" s="1465"/>
    </row>
    <row r="1304" spans="11:15">
      <c r="K1304" s="1462">
        <v>43361</v>
      </c>
      <c r="L1304" s="1463" t="s">
        <v>2127</v>
      </c>
      <c r="M1304" s="1464">
        <v>2.462E-2</v>
      </c>
      <c r="N1304" s="1465">
        <v>1.4595289203249668</v>
      </c>
      <c r="O1304" s="1465"/>
    </row>
    <row r="1305" spans="11:15">
      <c r="K1305" s="1462">
        <v>43362</v>
      </c>
      <c r="L1305" s="1463" t="s">
        <v>2127</v>
      </c>
      <c r="M1305" s="1464">
        <v>2.462E-2</v>
      </c>
      <c r="N1305" s="1465">
        <v>1.459888256345151</v>
      </c>
      <c r="O1305" s="1465"/>
    </row>
    <row r="1306" spans="11:15">
      <c r="K1306" s="1462">
        <v>43363</v>
      </c>
      <c r="L1306" s="1463" t="s">
        <v>2127</v>
      </c>
      <c r="M1306" s="1464">
        <v>2.462E-2</v>
      </c>
      <c r="N1306" s="1465">
        <v>1.4602476808338634</v>
      </c>
      <c r="O1306" s="1465"/>
    </row>
    <row r="1307" spans="11:15">
      <c r="K1307" s="1462">
        <v>43364</v>
      </c>
      <c r="L1307" s="1463" t="s">
        <v>2127</v>
      </c>
      <c r="M1307" s="1464">
        <v>2.462E-2</v>
      </c>
      <c r="N1307" s="1465">
        <v>1.4606071938128848</v>
      </c>
      <c r="O1307" s="1465"/>
    </row>
    <row r="1308" spans="11:15">
      <c r="K1308" s="1462">
        <v>43365</v>
      </c>
      <c r="L1308" s="1463"/>
      <c r="M1308" s="1464">
        <v>0</v>
      </c>
      <c r="N1308" s="1465">
        <v>1.4606071938128848</v>
      </c>
      <c r="O1308" s="1465"/>
    </row>
    <row r="1309" spans="11:15">
      <c r="K1309" s="1462">
        <v>43366</v>
      </c>
      <c r="L1309" s="1463"/>
      <c r="M1309" s="1464">
        <v>0</v>
      </c>
      <c r="N1309" s="1465">
        <v>1.4606071938128848</v>
      </c>
      <c r="O1309" s="1465"/>
    </row>
    <row r="1310" spans="11:15">
      <c r="K1310" s="1462">
        <v>43367</v>
      </c>
      <c r="L1310" s="1463" t="s">
        <v>2127</v>
      </c>
      <c r="M1310" s="1464">
        <v>2.462E-2</v>
      </c>
      <c r="N1310" s="1465">
        <v>1.4609667953040018</v>
      </c>
      <c r="O1310" s="1465"/>
    </row>
    <row r="1311" spans="11:15">
      <c r="K1311" s="1462">
        <v>43368</v>
      </c>
      <c r="L1311" s="1463" t="s">
        <v>2127</v>
      </c>
      <c r="M1311" s="1464">
        <v>2.462E-2</v>
      </c>
      <c r="N1311" s="1465">
        <v>1.4613264853290058</v>
      </c>
      <c r="O1311" s="1465"/>
    </row>
    <row r="1312" spans="11:15">
      <c r="K1312" s="1462">
        <v>43369</v>
      </c>
      <c r="L1312" s="1463" t="s">
        <v>2127</v>
      </c>
      <c r="M1312" s="1464">
        <v>2.462E-2</v>
      </c>
      <c r="N1312" s="1465">
        <v>1.4616862639096939</v>
      </c>
      <c r="O1312" s="1465"/>
    </row>
    <row r="1313" spans="11:15">
      <c r="K1313" s="1462">
        <v>43370</v>
      </c>
      <c r="L1313" s="1463" t="s">
        <v>2127</v>
      </c>
      <c r="M1313" s="1464">
        <v>2.462E-2</v>
      </c>
      <c r="N1313" s="1465">
        <v>1.4620461310678685</v>
      </c>
      <c r="O1313" s="1465"/>
    </row>
    <row r="1314" spans="11:15">
      <c r="K1314" s="1462">
        <v>43371</v>
      </c>
      <c r="L1314" s="1463" t="s">
        <v>2127</v>
      </c>
      <c r="M1314" s="1464">
        <v>2.462E-2</v>
      </c>
      <c r="N1314" s="1465">
        <v>1.4624060868253375</v>
      </c>
      <c r="O1314" s="1465"/>
    </row>
    <row r="1315" spans="11:15">
      <c r="K1315" s="1462">
        <v>43372</v>
      </c>
      <c r="L1315" s="1463"/>
      <c r="M1315" s="1464">
        <v>0</v>
      </c>
      <c r="N1315" s="1465">
        <v>1.4624060868253375</v>
      </c>
      <c r="O1315" s="1465"/>
    </row>
    <row r="1316" spans="11:15">
      <c r="K1316" s="1462">
        <v>43373</v>
      </c>
      <c r="L1316" s="1463"/>
      <c r="M1316" s="1464">
        <v>0</v>
      </c>
      <c r="N1316" s="1465">
        <v>1.4624060868253375</v>
      </c>
      <c r="O1316" s="1465"/>
    </row>
    <row r="1317" spans="11:15">
      <c r="K1317" s="1462">
        <v>43374</v>
      </c>
      <c r="L1317" s="1463" t="s">
        <v>2127</v>
      </c>
      <c r="M1317" s="1464">
        <v>2.462E-2</v>
      </c>
      <c r="N1317" s="1465">
        <v>1.462766131203914</v>
      </c>
      <c r="O1317" s="1465"/>
    </row>
    <row r="1318" spans="11:15">
      <c r="K1318" s="1462">
        <v>43375</v>
      </c>
      <c r="L1318" s="1463" t="s">
        <v>2127</v>
      </c>
      <c r="M1318" s="1464">
        <v>2.462E-2</v>
      </c>
      <c r="N1318" s="1465">
        <v>1.4631262642254166</v>
      </c>
      <c r="O1318" s="1465"/>
    </row>
    <row r="1319" spans="11:15">
      <c r="K1319" s="1462">
        <v>43376</v>
      </c>
      <c r="L1319" s="1463" t="s">
        <v>2127</v>
      </c>
      <c r="M1319" s="1464">
        <v>2.462E-2</v>
      </c>
      <c r="N1319" s="1465">
        <v>1.463486485911669</v>
      </c>
      <c r="O1319" s="1465"/>
    </row>
    <row r="1320" spans="11:15">
      <c r="K1320" s="1462">
        <v>43377</v>
      </c>
      <c r="L1320" s="1463" t="s">
        <v>2127</v>
      </c>
      <c r="M1320" s="1464">
        <v>2.462E-2</v>
      </c>
      <c r="N1320" s="1465">
        <v>1.4638467962845005</v>
      </c>
      <c r="O1320" s="1465"/>
    </row>
    <row r="1321" spans="11:15">
      <c r="K1321" s="1462">
        <v>43378</v>
      </c>
      <c r="L1321" s="1463" t="s">
        <v>2127</v>
      </c>
      <c r="M1321" s="1464">
        <v>2.462E-2</v>
      </c>
      <c r="N1321" s="1465">
        <v>1.4642071953657458</v>
      </c>
      <c r="O1321" s="1465"/>
    </row>
    <row r="1322" spans="11:15">
      <c r="K1322" s="1462">
        <v>43379</v>
      </c>
      <c r="L1322" s="1463"/>
      <c r="M1322" s="1464">
        <v>0</v>
      </c>
      <c r="N1322" s="1465">
        <v>1.4642071953657458</v>
      </c>
      <c r="O1322" s="1465"/>
    </row>
    <row r="1323" spans="11:15">
      <c r="K1323" s="1462">
        <v>43380</v>
      </c>
      <c r="L1323" s="1463"/>
      <c r="M1323" s="1464">
        <v>0</v>
      </c>
      <c r="N1323" s="1465">
        <v>1.4642071953657458</v>
      </c>
      <c r="O1323" s="1465"/>
    </row>
    <row r="1324" spans="11:15">
      <c r="K1324" s="1462">
        <v>43381</v>
      </c>
      <c r="L1324" s="1463" t="s">
        <v>2127</v>
      </c>
      <c r="M1324" s="1464">
        <v>2.462E-2</v>
      </c>
      <c r="N1324" s="1465">
        <v>1.4645676831772449</v>
      </c>
      <c r="O1324" s="1465"/>
    </row>
    <row r="1325" spans="11:15">
      <c r="K1325" s="1462">
        <v>43382</v>
      </c>
      <c r="L1325" s="1463" t="s">
        <v>2127</v>
      </c>
      <c r="M1325" s="1464">
        <v>2.462E-2</v>
      </c>
      <c r="N1325" s="1465">
        <v>1.4649282597408433</v>
      </c>
      <c r="O1325" s="1465"/>
    </row>
    <row r="1326" spans="11:15">
      <c r="K1326" s="1462">
        <v>43383</v>
      </c>
      <c r="L1326" s="1463" t="s">
        <v>2127</v>
      </c>
      <c r="M1326" s="1464">
        <v>2.462E-2</v>
      </c>
      <c r="N1326" s="1465">
        <v>1.4652889250783916</v>
      </c>
      <c r="O1326" s="1465"/>
    </row>
    <row r="1327" spans="11:15">
      <c r="K1327" s="1462">
        <v>43384</v>
      </c>
      <c r="L1327" s="1463" t="s">
        <v>2127</v>
      </c>
      <c r="M1327" s="1464">
        <v>2.462E-2</v>
      </c>
      <c r="N1327" s="1465">
        <v>1.4656496792117459</v>
      </c>
      <c r="O1327" s="1465"/>
    </row>
    <row r="1328" spans="11:15">
      <c r="K1328" s="1462">
        <v>43385</v>
      </c>
      <c r="L1328" s="1463"/>
      <c r="M1328" s="1464">
        <v>0</v>
      </c>
      <c r="N1328" s="1465">
        <v>1.4656496792117459</v>
      </c>
      <c r="O1328" s="1465"/>
    </row>
    <row r="1329" spans="11:15">
      <c r="K1329" s="1462">
        <v>43386</v>
      </c>
      <c r="L1329" s="1463"/>
      <c r="M1329" s="1464">
        <v>0</v>
      </c>
      <c r="N1329" s="1465">
        <v>1.4656496792117459</v>
      </c>
      <c r="O1329" s="1465"/>
    </row>
    <row r="1330" spans="11:15">
      <c r="K1330" s="1462">
        <v>43387</v>
      </c>
      <c r="L1330" s="1463"/>
      <c r="M1330" s="1464">
        <v>0</v>
      </c>
      <c r="N1330" s="1465">
        <v>1.4656496792117459</v>
      </c>
      <c r="O1330" s="1465"/>
    </row>
    <row r="1331" spans="11:15">
      <c r="K1331" s="1462">
        <v>43388</v>
      </c>
      <c r="L1331" s="1463" t="s">
        <v>2127</v>
      </c>
      <c r="M1331" s="1464">
        <v>2.462E-2</v>
      </c>
      <c r="N1331" s="1465">
        <v>1.4660105221627679</v>
      </c>
      <c r="O1331" s="1465"/>
    </row>
    <row r="1332" spans="11:15">
      <c r="K1332" s="1462">
        <v>43389</v>
      </c>
      <c r="L1332" s="1463" t="s">
        <v>2127</v>
      </c>
      <c r="M1332" s="1464">
        <v>2.462E-2</v>
      </c>
      <c r="N1332" s="1465">
        <v>1.4663714539533246</v>
      </c>
      <c r="O1332" s="1465"/>
    </row>
    <row r="1333" spans="11:15">
      <c r="K1333" s="1462">
        <v>43390</v>
      </c>
      <c r="L1333" s="1463" t="s">
        <v>2127</v>
      </c>
      <c r="M1333" s="1464">
        <v>2.462E-2</v>
      </c>
      <c r="N1333" s="1465">
        <v>1.4667324746052881</v>
      </c>
      <c r="O1333" s="1465"/>
    </row>
    <row r="1334" spans="11:15">
      <c r="K1334" s="1462">
        <v>43391</v>
      </c>
      <c r="L1334" s="1463" t="s">
        <v>2127</v>
      </c>
      <c r="M1334" s="1464">
        <v>2.462E-2</v>
      </c>
      <c r="N1334" s="1465">
        <v>1.4670935841405361</v>
      </c>
      <c r="O1334" s="1465"/>
    </row>
    <row r="1335" spans="11:15">
      <c r="K1335" s="1462">
        <v>43392</v>
      </c>
      <c r="L1335" s="1463" t="s">
        <v>2127</v>
      </c>
      <c r="M1335" s="1464">
        <v>2.462E-2</v>
      </c>
      <c r="N1335" s="1465">
        <v>1.4674547825809516</v>
      </c>
      <c r="O1335" s="1465"/>
    </row>
    <row r="1336" spans="11:15">
      <c r="K1336" s="1462">
        <v>43393</v>
      </c>
      <c r="L1336" s="1463"/>
      <c r="M1336" s="1464">
        <v>0</v>
      </c>
      <c r="N1336" s="1465">
        <v>1.4674547825809516</v>
      </c>
      <c r="O1336" s="1465"/>
    </row>
    <row r="1337" spans="11:15">
      <c r="K1337" s="1462">
        <v>43394</v>
      </c>
      <c r="L1337" s="1463"/>
      <c r="M1337" s="1464">
        <v>0</v>
      </c>
      <c r="N1337" s="1465">
        <v>1.4674547825809516</v>
      </c>
      <c r="O1337" s="1465"/>
    </row>
    <row r="1338" spans="11:15">
      <c r="K1338" s="1462">
        <v>43395</v>
      </c>
      <c r="L1338" s="1463" t="s">
        <v>2127</v>
      </c>
      <c r="M1338" s="1464">
        <v>2.462E-2</v>
      </c>
      <c r="N1338" s="1465">
        <v>1.4678160699484233</v>
      </c>
      <c r="O1338" s="1465"/>
    </row>
    <row r="1339" spans="11:15">
      <c r="K1339" s="1462">
        <v>43396</v>
      </c>
      <c r="L1339" s="1463" t="s">
        <v>2127</v>
      </c>
      <c r="M1339" s="1464">
        <v>2.462E-2</v>
      </c>
      <c r="N1339" s="1465">
        <v>1.4681774462648447</v>
      </c>
      <c r="O1339" s="1465"/>
    </row>
    <row r="1340" spans="11:15">
      <c r="K1340" s="1462">
        <v>43397</v>
      </c>
      <c r="L1340" s="1463" t="s">
        <v>2127</v>
      </c>
      <c r="M1340" s="1464">
        <v>2.462E-2</v>
      </c>
      <c r="N1340" s="1465">
        <v>1.4685389115521152</v>
      </c>
      <c r="O1340" s="1465"/>
    </row>
    <row r="1341" spans="11:15">
      <c r="K1341" s="1462">
        <v>43398</v>
      </c>
      <c r="L1341" s="1463" t="s">
        <v>2127</v>
      </c>
      <c r="M1341" s="1464">
        <v>2.462E-2</v>
      </c>
      <c r="N1341" s="1465">
        <v>1.4689004658321394</v>
      </c>
      <c r="O1341" s="1465"/>
    </row>
    <row r="1342" spans="11:15">
      <c r="K1342" s="1462">
        <v>43399</v>
      </c>
      <c r="L1342" s="1463" t="s">
        <v>2127</v>
      </c>
      <c r="M1342" s="1464">
        <v>2.462E-2</v>
      </c>
      <c r="N1342" s="1465">
        <v>1.4692621091268274</v>
      </c>
      <c r="O1342" s="1465"/>
    </row>
    <row r="1343" spans="11:15">
      <c r="K1343" s="1462">
        <v>43400</v>
      </c>
      <c r="L1343" s="1463"/>
      <c r="M1343" s="1464">
        <v>0</v>
      </c>
      <c r="N1343" s="1465">
        <v>1.4692621091268274</v>
      </c>
      <c r="O1343" s="1465"/>
    </row>
    <row r="1344" spans="11:15">
      <c r="K1344" s="1462">
        <v>43401</v>
      </c>
      <c r="L1344" s="1463"/>
      <c r="M1344" s="1464">
        <v>0</v>
      </c>
      <c r="N1344" s="1465">
        <v>1.4692621091268274</v>
      </c>
      <c r="O1344" s="1465"/>
    </row>
    <row r="1345" spans="11:15">
      <c r="K1345" s="1462">
        <v>43402</v>
      </c>
      <c r="L1345" s="1463" t="s">
        <v>2127</v>
      </c>
      <c r="M1345" s="1464">
        <v>2.462E-2</v>
      </c>
      <c r="N1345" s="1465">
        <v>1.4696238414580947</v>
      </c>
      <c r="O1345" s="1465"/>
    </row>
    <row r="1346" spans="11:15">
      <c r="K1346" s="1462">
        <v>43403</v>
      </c>
      <c r="L1346" s="1463" t="s">
        <v>2127</v>
      </c>
      <c r="M1346" s="1464">
        <v>2.462E-2</v>
      </c>
      <c r="N1346" s="1465">
        <v>1.4699856628478618</v>
      </c>
      <c r="O1346" s="1465"/>
    </row>
    <row r="1347" spans="11:15">
      <c r="K1347" s="1462">
        <v>43404</v>
      </c>
      <c r="L1347" s="1463" t="s">
        <v>2127</v>
      </c>
      <c r="M1347" s="1464">
        <v>2.462E-2</v>
      </c>
      <c r="N1347" s="1465">
        <v>1.4703475733180551</v>
      </c>
      <c r="O1347" s="1465"/>
    </row>
    <row r="1348" spans="11:15">
      <c r="K1348" s="1462">
        <v>43405</v>
      </c>
      <c r="L1348" s="1463" t="s">
        <v>2127</v>
      </c>
      <c r="M1348" s="1464">
        <v>2.462E-2</v>
      </c>
      <c r="N1348" s="1465">
        <v>1.4707095728906061</v>
      </c>
      <c r="O1348" s="1465"/>
    </row>
    <row r="1349" spans="11:15">
      <c r="K1349" s="1462">
        <v>43406</v>
      </c>
      <c r="L1349" s="1463"/>
      <c r="M1349" s="1464">
        <v>0</v>
      </c>
      <c r="N1349" s="1465">
        <v>1.4707095728906061</v>
      </c>
      <c r="O1349" s="1465"/>
    </row>
    <row r="1350" spans="11:15">
      <c r="K1350" s="1462">
        <v>43407</v>
      </c>
      <c r="L1350" s="1463"/>
      <c r="M1350" s="1464">
        <v>0</v>
      </c>
      <c r="N1350" s="1465">
        <v>1.4707095728906061</v>
      </c>
      <c r="O1350" s="1465"/>
    </row>
    <row r="1351" spans="11:15">
      <c r="K1351" s="1462">
        <v>43408</v>
      </c>
      <c r="L1351" s="1463"/>
      <c r="M1351" s="1464">
        <v>0</v>
      </c>
      <c r="N1351" s="1465">
        <v>1.4707095728906061</v>
      </c>
      <c r="O1351" s="1465"/>
    </row>
    <row r="1352" spans="11:15">
      <c r="K1352" s="1462">
        <v>43409</v>
      </c>
      <c r="L1352" s="1463" t="s">
        <v>2127</v>
      </c>
      <c r="M1352" s="1464">
        <v>2.462E-2</v>
      </c>
      <c r="N1352" s="1465">
        <v>1.471071661587452</v>
      </c>
      <c r="O1352" s="1465"/>
    </row>
    <row r="1353" spans="11:15">
      <c r="K1353" s="1462">
        <v>43410</v>
      </c>
      <c r="L1353" s="1463" t="s">
        <v>2127</v>
      </c>
      <c r="M1353" s="1464">
        <v>2.462E-2</v>
      </c>
      <c r="N1353" s="1465">
        <v>1.4714338394305349</v>
      </c>
      <c r="O1353" s="1465"/>
    </row>
    <row r="1354" spans="11:15">
      <c r="K1354" s="1462">
        <v>43411</v>
      </c>
      <c r="L1354" s="1463" t="s">
        <v>2127</v>
      </c>
      <c r="M1354" s="1464">
        <v>2.462E-2</v>
      </c>
      <c r="N1354" s="1465">
        <v>1.4717961064418028</v>
      </c>
      <c r="O1354" s="1465"/>
    </row>
    <row r="1355" spans="11:15">
      <c r="K1355" s="1462">
        <v>43412</v>
      </c>
      <c r="L1355" s="1463" t="s">
        <v>2127</v>
      </c>
      <c r="M1355" s="1464">
        <v>2.462E-2</v>
      </c>
      <c r="N1355" s="1465">
        <v>1.4721584626432089</v>
      </c>
      <c r="O1355" s="1465"/>
    </row>
    <row r="1356" spans="11:15">
      <c r="K1356" s="1462">
        <v>43413</v>
      </c>
      <c r="L1356" s="1463" t="s">
        <v>2127</v>
      </c>
      <c r="M1356" s="1464">
        <v>2.462E-2</v>
      </c>
      <c r="N1356" s="1465">
        <v>1.4725209080567119</v>
      </c>
      <c r="O1356" s="1465"/>
    </row>
    <row r="1357" spans="11:15">
      <c r="K1357" s="1462">
        <v>43414</v>
      </c>
      <c r="L1357" s="1463"/>
      <c r="M1357" s="1464">
        <v>0</v>
      </c>
      <c r="N1357" s="1465">
        <v>1.4725209080567119</v>
      </c>
      <c r="O1357" s="1465"/>
    </row>
    <row r="1358" spans="11:15">
      <c r="K1358" s="1462">
        <v>43415</v>
      </c>
      <c r="L1358" s="1463"/>
      <c r="M1358" s="1464">
        <v>0</v>
      </c>
      <c r="N1358" s="1465">
        <v>1.4725209080567119</v>
      </c>
      <c r="O1358" s="1465"/>
    </row>
    <row r="1359" spans="11:15">
      <c r="K1359" s="1462">
        <v>43416</v>
      </c>
      <c r="L1359" s="1463" t="s">
        <v>2127</v>
      </c>
      <c r="M1359" s="1464">
        <v>2.462E-2</v>
      </c>
      <c r="N1359" s="1465">
        <v>1.4728834427042756</v>
      </c>
      <c r="O1359" s="1465"/>
    </row>
    <row r="1360" spans="11:15">
      <c r="K1360" s="1462">
        <v>43417</v>
      </c>
      <c r="L1360" s="1463" t="s">
        <v>2127</v>
      </c>
      <c r="M1360" s="1464">
        <v>2.462E-2</v>
      </c>
      <c r="N1360" s="1465">
        <v>1.4732460666078695</v>
      </c>
      <c r="O1360" s="1465"/>
    </row>
    <row r="1361" spans="11:15">
      <c r="K1361" s="1462">
        <v>43418</v>
      </c>
      <c r="L1361" s="1463" t="s">
        <v>2127</v>
      </c>
      <c r="M1361" s="1464">
        <v>2.462E-2</v>
      </c>
      <c r="N1361" s="1465">
        <v>1.4736087797894686</v>
      </c>
      <c r="O1361" s="1465"/>
    </row>
    <row r="1362" spans="11:15">
      <c r="K1362" s="1462">
        <v>43419</v>
      </c>
      <c r="L1362" s="1463"/>
      <c r="M1362" s="1464">
        <v>0</v>
      </c>
      <c r="N1362" s="1465">
        <v>1.4736087797894686</v>
      </c>
      <c r="O1362" s="1465"/>
    </row>
    <row r="1363" spans="11:15">
      <c r="K1363" s="1462">
        <v>43420</v>
      </c>
      <c r="L1363" s="1463" t="s">
        <v>2127</v>
      </c>
      <c r="M1363" s="1464">
        <v>2.462E-2</v>
      </c>
      <c r="N1363" s="1465">
        <v>1.4739715822710528</v>
      </c>
      <c r="O1363" s="1465"/>
    </row>
    <row r="1364" spans="11:15">
      <c r="K1364" s="1462">
        <v>43421</v>
      </c>
      <c r="L1364" s="1463"/>
      <c r="M1364" s="1464">
        <v>0</v>
      </c>
      <c r="N1364" s="1465">
        <v>1.4739715822710528</v>
      </c>
      <c r="O1364" s="1465"/>
    </row>
    <row r="1365" spans="11:15">
      <c r="K1365" s="1462">
        <v>43422</v>
      </c>
      <c r="L1365" s="1463"/>
      <c r="M1365" s="1464">
        <v>0</v>
      </c>
      <c r="N1365" s="1465">
        <v>1.4739715822710528</v>
      </c>
      <c r="O1365" s="1465"/>
    </row>
    <row r="1366" spans="11:15">
      <c r="K1366" s="1462">
        <v>43423</v>
      </c>
      <c r="L1366" s="1463" t="s">
        <v>2127</v>
      </c>
      <c r="M1366" s="1464">
        <v>2.462E-2</v>
      </c>
      <c r="N1366" s="1465">
        <v>1.474334474074608</v>
      </c>
      <c r="O1366" s="1465"/>
    </row>
    <row r="1367" spans="11:15">
      <c r="K1367" s="1462">
        <v>43424</v>
      </c>
      <c r="L1367" s="1463" t="s">
        <v>2127</v>
      </c>
      <c r="M1367" s="1464">
        <v>2.462E-2</v>
      </c>
      <c r="N1367" s="1465">
        <v>1.4746974552221253</v>
      </c>
      <c r="O1367" s="1465"/>
    </row>
    <row r="1368" spans="11:15">
      <c r="K1368" s="1462">
        <v>43425</v>
      </c>
      <c r="L1368" s="1463" t="s">
        <v>2127</v>
      </c>
      <c r="M1368" s="1464">
        <v>2.462E-2</v>
      </c>
      <c r="N1368" s="1465">
        <v>1.4750605257356011</v>
      </c>
      <c r="O1368" s="1465"/>
    </row>
    <row r="1369" spans="11:15">
      <c r="K1369" s="1462">
        <v>43426</v>
      </c>
      <c r="L1369" s="1463" t="s">
        <v>2127</v>
      </c>
      <c r="M1369" s="1464">
        <v>2.462E-2</v>
      </c>
      <c r="N1369" s="1465">
        <v>1.4754236856370373</v>
      </c>
      <c r="O1369" s="1465"/>
    </row>
    <row r="1370" spans="11:15">
      <c r="K1370" s="1462">
        <v>43427</v>
      </c>
      <c r="L1370" s="1463" t="s">
        <v>2127</v>
      </c>
      <c r="M1370" s="1464">
        <v>2.462E-2</v>
      </c>
      <c r="N1370" s="1465">
        <v>1.4757869349484412</v>
      </c>
      <c r="O1370" s="1465"/>
    </row>
    <row r="1371" spans="11:15">
      <c r="K1371" s="1462">
        <v>43428</v>
      </c>
      <c r="L1371" s="1463"/>
      <c r="M1371" s="1464">
        <v>0</v>
      </c>
      <c r="N1371" s="1465">
        <v>1.4757869349484412</v>
      </c>
      <c r="O1371" s="1465"/>
    </row>
    <row r="1372" spans="11:15">
      <c r="K1372" s="1462">
        <v>43429</v>
      </c>
      <c r="L1372" s="1463"/>
      <c r="M1372" s="1464">
        <v>0</v>
      </c>
      <c r="N1372" s="1465">
        <v>1.4757869349484412</v>
      </c>
      <c r="O1372" s="1465"/>
    </row>
    <row r="1373" spans="11:15">
      <c r="K1373" s="1462">
        <v>43430</v>
      </c>
      <c r="L1373" s="1463" t="s">
        <v>2127</v>
      </c>
      <c r="M1373" s="1464">
        <v>2.462E-2</v>
      </c>
      <c r="N1373" s="1465">
        <v>1.4761502736918255</v>
      </c>
      <c r="O1373" s="1465"/>
    </row>
    <row r="1374" spans="11:15">
      <c r="K1374" s="1462">
        <v>43431</v>
      </c>
      <c r="L1374" s="1463" t="s">
        <v>2127</v>
      </c>
      <c r="M1374" s="1464">
        <v>2.462E-2</v>
      </c>
      <c r="N1374" s="1465">
        <v>1.4765137018892085</v>
      </c>
      <c r="O1374" s="1465"/>
    </row>
    <row r="1375" spans="11:15">
      <c r="K1375" s="1462">
        <v>43432</v>
      </c>
      <c r="L1375" s="1463" t="s">
        <v>2127</v>
      </c>
      <c r="M1375" s="1464">
        <v>2.462E-2</v>
      </c>
      <c r="N1375" s="1465">
        <v>1.4768772195626136</v>
      </c>
      <c r="O1375" s="1465"/>
    </row>
    <row r="1376" spans="11:15">
      <c r="K1376" s="1462">
        <v>43433</v>
      </c>
      <c r="L1376" s="1463" t="s">
        <v>2127</v>
      </c>
      <c r="M1376" s="1464">
        <v>2.462E-2</v>
      </c>
      <c r="N1376" s="1465">
        <v>1.47724082673407</v>
      </c>
      <c r="O1376" s="1465"/>
    </row>
    <row r="1377" spans="11:15">
      <c r="K1377" s="1462">
        <v>43434</v>
      </c>
      <c r="L1377" s="1463" t="s">
        <v>2127</v>
      </c>
      <c r="M1377" s="1464">
        <v>2.462E-2</v>
      </c>
      <c r="N1377" s="1465">
        <v>1.4776045234256121</v>
      </c>
      <c r="O1377" s="1465"/>
    </row>
    <row r="1378" spans="11:15">
      <c r="K1378" s="1462">
        <v>43435</v>
      </c>
      <c r="L1378" s="1463"/>
      <c r="M1378" s="1464">
        <v>0</v>
      </c>
      <c r="N1378" s="1465">
        <v>1.4776045234256121</v>
      </c>
      <c r="O1378" s="1465"/>
    </row>
    <row r="1379" spans="11:15">
      <c r="K1379" s="1462">
        <v>43436</v>
      </c>
      <c r="L1379" s="1463"/>
      <c r="M1379" s="1464">
        <v>0</v>
      </c>
      <c r="N1379" s="1465">
        <v>1.4776045234256121</v>
      </c>
      <c r="O1379" s="1465"/>
    </row>
    <row r="1380" spans="11:15">
      <c r="K1380" s="1462">
        <v>43437</v>
      </c>
      <c r="L1380" s="1463" t="s">
        <v>2127</v>
      </c>
      <c r="M1380" s="1464">
        <v>2.462E-2</v>
      </c>
      <c r="N1380" s="1465">
        <v>1.4779683096592797</v>
      </c>
      <c r="O1380" s="1465"/>
    </row>
    <row r="1381" spans="11:15">
      <c r="K1381" s="1462">
        <v>43438</v>
      </c>
      <c r="L1381" s="1463" t="s">
        <v>2127</v>
      </c>
      <c r="M1381" s="1464">
        <v>2.462E-2</v>
      </c>
      <c r="N1381" s="1465">
        <v>1.4783321854571179</v>
      </c>
      <c r="O1381" s="1465"/>
    </row>
    <row r="1382" spans="11:15">
      <c r="K1382" s="1462">
        <v>43439</v>
      </c>
      <c r="L1382" s="1463" t="s">
        <v>2127</v>
      </c>
      <c r="M1382" s="1464">
        <v>2.462E-2</v>
      </c>
      <c r="N1382" s="1465">
        <v>1.4786961508411776</v>
      </c>
      <c r="O1382" s="1465"/>
    </row>
    <row r="1383" spans="11:15">
      <c r="K1383" s="1462">
        <v>43440</v>
      </c>
      <c r="L1383" s="1463" t="s">
        <v>2127</v>
      </c>
      <c r="M1383" s="1464">
        <v>2.462E-2</v>
      </c>
      <c r="N1383" s="1465">
        <v>1.4790602058335147</v>
      </c>
      <c r="O1383" s="1465"/>
    </row>
    <row r="1384" spans="11:15">
      <c r="K1384" s="1462">
        <v>43441</v>
      </c>
      <c r="L1384" s="1463" t="s">
        <v>2127</v>
      </c>
      <c r="M1384" s="1464">
        <v>2.462E-2</v>
      </c>
      <c r="N1384" s="1465">
        <v>1.479424350456191</v>
      </c>
      <c r="O1384" s="1465"/>
    </row>
    <row r="1385" spans="11:15">
      <c r="K1385" s="1462">
        <v>43442</v>
      </c>
      <c r="L1385" s="1463"/>
      <c r="M1385" s="1464">
        <v>0</v>
      </c>
      <c r="N1385" s="1465">
        <v>1.479424350456191</v>
      </c>
      <c r="O1385" s="1465"/>
    </row>
    <row r="1386" spans="11:15">
      <c r="K1386" s="1462">
        <v>43443</v>
      </c>
      <c r="L1386" s="1463"/>
      <c r="M1386" s="1464">
        <v>0</v>
      </c>
      <c r="N1386" s="1465">
        <v>1.479424350456191</v>
      </c>
      <c r="O1386" s="1465"/>
    </row>
    <row r="1387" spans="11:15">
      <c r="K1387" s="1462">
        <v>43444</v>
      </c>
      <c r="L1387" s="1463" t="s">
        <v>2127</v>
      </c>
      <c r="M1387" s="1464">
        <v>2.462E-2</v>
      </c>
      <c r="N1387" s="1465">
        <v>1.4797885847312735</v>
      </c>
      <c r="O1387" s="1465"/>
    </row>
    <row r="1388" spans="11:15">
      <c r="K1388" s="1462">
        <v>43445</v>
      </c>
      <c r="L1388" s="1463" t="s">
        <v>2127</v>
      </c>
      <c r="M1388" s="1464">
        <v>2.462E-2</v>
      </c>
      <c r="N1388" s="1465">
        <v>1.4801529086808345</v>
      </c>
      <c r="O1388" s="1465"/>
    </row>
    <row r="1389" spans="11:15">
      <c r="K1389" s="1462">
        <v>43446</v>
      </c>
      <c r="L1389" s="1463" t="s">
        <v>2127</v>
      </c>
      <c r="M1389" s="1464">
        <v>2.462E-2</v>
      </c>
      <c r="N1389" s="1465">
        <v>1.4805173223269519</v>
      </c>
      <c r="O1389" s="1465"/>
    </row>
    <row r="1390" spans="11:15">
      <c r="K1390" s="1462">
        <v>43447</v>
      </c>
      <c r="L1390" s="1463" t="s">
        <v>2127</v>
      </c>
      <c r="M1390" s="1464">
        <v>2.462E-2</v>
      </c>
      <c r="N1390" s="1465">
        <v>1.4808818256917089</v>
      </c>
      <c r="O1390" s="1465"/>
    </row>
    <row r="1391" spans="11:15">
      <c r="K1391" s="1462">
        <v>43448</v>
      </c>
      <c r="L1391" s="1463" t="s">
        <v>2127</v>
      </c>
      <c r="M1391" s="1464">
        <v>2.462E-2</v>
      </c>
      <c r="N1391" s="1465">
        <v>1.4812464187971943</v>
      </c>
      <c r="O1391" s="1465"/>
    </row>
    <row r="1392" spans="11:15">
      <c r="K1392" s="1462">
        <v>43449</v>
      </c>
      <c r="L1392" s="1463"/>
      <c r="M1392" s="1464">
        <v>0</v>
      </c>
      <c r="N1392" s="1465">
        <v>1.4812464187971943</v>
      </c>
      <c r="O1392" s="1465"/>
    </row>
    <row r="1393" spans="11:15">
      <c r="K1393" s="1462">
        <v>43450</v>
      </c>
      <c r="L1393" s="1463"/>
      <c r="M1393" s="1464">
        <v>0</v>
      </c>
      <c r="N1393" s="1465">
        <v>1.4812464187971943</v>
      </c>
      <c r="O1393" s="1465"/>
    </row>
    <row r="1394" spans="11:15">
      <c r="K1394" s="1462">
        <v>43451</v>
      </c>
      <c r="L1394" s="1463" t="s">
        <v>2127</v>
      </c>
      <c r="M1394" s="1464">
        <v>2.462E-2</v>
      </c>
      <c r="N1394" s="1465">
        <v>1.4816111016655023</v>
      </c>
      <c r="O1394" s="1465"/>
    </row>
    <row r="1395" spans="11:15">
      <c r="K1395" s="1462">
        <v>43452</v>
      </c>
      <c r="L1395" s="1463" t="s">
        <v>2127</v>
      </c>
      <c r="M1395" s="1464">
        <v>2.462E-2</v>
      </c>
      <c r="N1395" s="1465">
        <v>1.4819758743187323</v>
      </c>
      <c r="O1395" s="1465"/>
    </row>
    <row r="1396" spans="11:15">
      <c r="K1396" s="1462">
        <v>43453</v>
      </c>
      <c r="L1396" s="1463" t="s">
        <v>2127</v>
      </c>
      <c r="M1396" s="1464">
        <v>2.462E-2</v>
      </c>
      <c r="N1396" s="1465">
        <v>1.4823407367789898</v>
      </c>
      <c r="O1396" s="1465"/>
    </row>
    <row r="1397" spans="11:15">
      <c r="K1397" s="1462">
        <v>43454</v>
      </c>
      <c r="L1397" s="1463" t="s">
        <v>2127</v>
      </c>
      <c r="M1397" s="1464">
        <v>2.462E-2</v>
      </c>
      <c r="N1397" s="1465">
        <v>1.482705689068385</v>
      </c>
      <c r="O1397" s="1465"/>
    </row>
    <row r="1398" spans="11:15">
      <c r="K1398" s="1462">
        <v>43455</v>
      </c>
      <c r="L1398" s="1463" t="s">
        <v>2127</v>
      </c>
      <c r="M1398" s="1464">
        <v>2.462E-2</v>
      </c>
      <c r="N1398" s="1465">
        <v>1.4830707312090337</v>
      </c>
      <c r="O1398" s="1465"/>
    </row>
    <row r="1399" spans="11:15">
      <c r="K1399" s="1462">
        <v>43456</v>
      </c>
      <c r="L1399" s="1463"/>
      <c r="M1399" s="1464">
        <v>0</v>
      </c>
      <c r="N1399" s="1465">
        <v>1.4830707312090337</v>
      </c>
      <c r="O1399" s="1465"/>
    </row>
    <row r="1400" spans="11:15">
      <c r="K1400" s="1462">
        <v>43457</v>
      </c>
      <c r="L1400" s="1463"/>
      <c r="M1400" s="1464">
        <v>0</v>
      </c>
      <c r="N1400" s="1465">
        <v>1.4830707312090337</v>
      </c>
      <c r="O1400" s="1465"/>
    </row>
    <row r="1401" spans="11:15">
      <c r="K1401" s="1462">
        <v>43458</v>
      </c>
      <c r="L1401" s="1463" t="s">
        <v>2127</v>
      </c>
      <c r="M1401" s="1464">
        <v>2.462E-2</v>
      </c>
      <c r="N1401" s="1465">
        <v>1.4834358632230575</v>
      </c>
      <c r="O1401" s="1465"/>
    </row>
    <row r="1402" spans="11:15">
      <c r="K1402" s="1462">
        <v>43459</v>
      </c>
      <c r="L1402" s="1463"/>
      <c r="M1402" s="1464">
        <v>0</v>
      </c>
      <c r="N1402" s="1465">
        <v>1.4834358632230575</v>
      </c>
      <c r="O1402" s="1465"/>
    </row>
    <row r="1403" spans="11:15">
      <c r="K1403" s="1462">
        <v>43460</v>
      </c>
      <c r="L1403" s="1463" t="s">
        <v>2127</v>
      </c>
      <c r="M1403" s="1464">
        <v>2.462E-2</v>
      </c>
      <c r="N1403" s="1465">
        <v>1.4838010851325831</v>
      </c>
      <c r="O1403" s="1465"/>
    </row>
    <row r="1404" spans="11:15">
      <c r="K1404" s="1462">
        <v>43461</v>
      </c>
      <c r="L1404" s="1463" t="s">
        <v>2127</v>
      </c>
      <c r="M1404" s="1464">
        <v>2.462E-2</v>
      </c>
      <c r="N1404" s="1465">
        <v>1.484166396959743</v>
      </c>
      <c r="O1404" s="1465"/>
    </row>
    <row r="1405" spans="11:15">
      <c r="K1405" s="1462">
        <v>43462</v>
      </c>
      <c r="L1405" s="1463" t="s">
        <v>2127</v>
      </c>
      <c r="M1405" s="1464">
        <v>2.462E-2</v>
      </c>
      <c r="N1405" s="1465">
        <v>1.4845317987266746</v>
      </c>
      <c r="O1405" s="1465"/>
    </row>
    <row r="1406" spans="11:15">
      <c r="K1406" s="1462">
        <v>43463</v>
      </c>
      <c r="L1406" s="1463"/>
      <c r="M1406" s="1464">
        <v>0</v>
      </c>
      <c r="N1406" s="1465">
        <v>1.4845317987266746</v>
      </c>
      <c r="O1406" s="1465"/>
    </row>
    <row r="1407" spans="11:15">
      <c r="K1407" s="1462">
        <v>43464</v>
      </c>
      <c r="L1407" s="1463"/>
      <c r="M1407" s="1464">
        <v>0</v>
      </c>
      <c r="N1407" s="1465">
        <v>1.4845317987266746</v>
      </c>
      <c r="O1407" s="1465"/>
    </row>
    <row r="1408" spans="11:15">
      <c r="K1408" s="1462">
        <v>43465</v>
      </c>
      <c r="L1408" s="1463" t="s">
        <v>2127</v>
      </c>
      <c r="M1408" s="1464">
        <v>2.462E-2</v>
      </c>
      <c r="N1408" s="1465">
        <v>1.4848972904555213</v>
      </c>
      <c r="O1408" s="1465"/>
    </row>
    <row r="1409" spans="11:15">
      <c r="K1409" s="1462">
        <v>43466</v>
      </c>
      <c r="L1409" s="1463"/>
      <c r="M1409" s="1464">
        <v>0</v>
      </c>
      <c r="N1409" s="1465">
        <v>1.4848972904555213</v>
      </c>
      <c r="O1409" s="1465"/>
    </row>
    <row r="1410" spans="11:15">
      <c r="K1410" s="1462">
        <v>43467</v>
      </c>
      <c r="L1410" s="1463" t="s">
        <v>2127</v>
      </c>
      <c r="M1410" s="1464">
        <v>2.462E-2</v>
      </c>
      <c r="N1410" s="1465">
        <v>1.4852628721684316</v>
      </c>
      <c r="O1410" s="1465"/>
    </row>
    <row r="1411" spans="11:15">
      <c r="K1411" s="1462">
        <v>43468</v>
      </c>
      <c r="L1411" s="1463" t="s">
        <v>2127</v>
      </c>
      <c r="M1411" s="1464">
        <v>2.462E-2</v>
      </c>
      <c r="N1411" s="1465">
        <v>1.4856285438875596</v>
      </c>
      <c r="O1411" s="1465"/>
    </row>
    <row r="1412" spans="11:15">
      <c r="K1412" s="1462">
        <v>43469</v>
      </c>
      <c r="L1412" s="1463" t="s">
        <v>2127</v>
      </c>
      <c r="M1412" s="1464">
        <v>2.462E-2</v>
      </c>
      <c r="N1412" s="1465">
        <v>1.4859943056350648</v>
      </c>
      <c r="O1412" s="1465"/>
    </row>
    <row r="1413" spans="11:15">
      <c r="K1413" s="1462">
        <v>43470</v>
      </c>
      <c r="L1413" s="1463"/>
      <c r="M1413" s="1464">
        <v>0</v>
      </c>
      <c r="N1413" s="1465">
        <v>1.4859943056350648</v>
      </c>
      <c r="O1413" s="1465"/>
    </row>
    <row r="1414" spans="11:15">
      <c r="K1414" s="1462">
        <v>43471</v>
      </c>
      <c r="L1414" s="1463"/>
      <c r="M1414" s="1464">
        <v>0</v>
      </c>
      <c r="N1414" s="1465">
        <v>1.4859943056350648</v>
      </c>
      <c r="O1414" s="1465"/>
    </row>
    <row r="1415" spans="11:15">
      <c r="K1415" s="1462">
        <v>43472</v>
      </c>
      <c r="L1415" s="1463" t="s">
        <v>2127</v>
      </c>
      <c r="M1415" s="1464">
        <v>2.462E-2</v>
      </c>
      <c r="N1415" s="1465">
        <v>1.4863601574331122</v>
      </c>
      <c r="O1415" s="1465"/>
    </row>
    <row r="1416" spans="11:15">
      <c r="K1416" s="1462">
        <v>43473</v>
      </c>
      <c r="L1416" s="1463" t="s">
        <v>2127</v>
      </c>
      <c r="M1416" s="1464">
        <v>2.462E-2</v>
      </c>
      <c r="N1416" s="1465">
        <v>1.4867260993038725</v>
      </c>
      <c r="O1416" s="1465"/>
    </row>
    <row r="1417" spans="11:15">
      <c r="K1417" s="1462">
        <v>43474</v>
      </c>
      <c r="L1417" s="1463" t="s">
        <v>2127</v>
      </c>
      <c r="M1417" s="1464">
        <v>2.462E-2</v>
      </c>
      <c r="N1417" s="1465">
        <v>1.4870921312695211</v>
      </c>
      <c r="O1417" s="1465"/>
    </row>
    <row r="1418" spans="11:15">
      <c r="K1418" s="1462">
        <v>43475</v>
      </c>
      <c r="L1418" s="1463" t="s">
        <v>2127</v>
      </c>
      <c r="M1418" s="1464">
        <v>2.462E-2</v>
      </c>
      <c r="N1418" s="1465">
        <v>1.4874582533522398</v>
      </c>
      <c r="O1418" s="1465"/>
    </row>
    <row r="1419" spans="11:15">
      <c r="K1419" s="1462">
        <v>43476</v>
      </c>
      <c r="L1419" s="1463" t="s">
        <v>2127</v>
      </c>
      <c r="M1419" s="1464">
        <v>2.462E-2</v>
      </c>
      <c r="N1419" s="1465">
        <v>1.4878244655742152</v>
      </c>
      <c r="O1419" s="1465"/>
    </row>
    <row r="1420" spans="11:15">
      <c r="K1420" s="1462">
        <v>43477</v>
      </c>
      <c r="L1420" s="1463"/>
      <c r="M1420" s="1464">
        <v>0</v>
      </c>
      <c r="N1420" s="1465">
        <v>1.4878244655742152</v>
      </c>
      <c r="O1420" s="1465"/>
    </row>
    <row r="1421" spans="11:15">
      <c r="K1421" s="1462">
        <v>43478</v>
      </c>
      <c r="L1421" s="1463"/>
      <c r="M1421" s="1464">
        <v>0</v>
      </c>
      <c r="N1421" s="1465">
        <v>1.4878244655742152</v>
      </c>
      <c r="O1421" s="1465"/>
    </row>
    <row r="1422" spans="11:15">
      <c r="K1422" s="1462">
        <v>43479</v>
      </c>
      <c r="L1422" s="1463" t="s">
        <v>2127</v>
      </c>
      <c r="M1422" s="1464">
        <v>2.462E-2</v>
      </c>
      <c r="N1422" s="1465">
        <v>1.4881907679576396</v>
      </c>
      <c r="O1422" s="1465"/>
    </row>
    <row r="1423" spans="11:15">
      <c r="K1423" s="1462">
        <v>43480</v>
      </c>
      <c r="L1423" s="1463" t="s">
        <v>2127</v>
      </c>
      <c r="M1423" s="1464">
        <v>2.462E-2</v>
      </c>
      <c r="N1423" s="1465">
        <v>1.488557160524711</v>
      </c>
      <c r="O1423" s="1465"/>
    </row>
    <row r="1424" spans="11:15">
      <c r="K1424" s="1462">
        <v>43481</v>
      </c>
      <c r="L1424" s="1463" t="s">
        <v>2127</v>
      </c>
      <c r="M1424" s="1464">
        <v>2.462E-2</v>
      </c>
      <c r="N1424" s="1465">
        <v>1.4889236432976323</v>
      </c>
      <c r="O1424" s="1465"/>
    </row>
    <row r="1425" spans="11:15">
      <c r="K1425" s="1462">
        <v>43482</v>
      </c>
      <c r="L1425" s="1463" t="s">
        <v>2127</v>
      </c>
      <c r="M1425" s="1464">
        <v>2.462E-2</v>
      </c>
      <c r="N1425" s="1465">
        <v>1.4892902162986124</v>
      </c>
      <c r="O1425" s="1465"/>
    </row>
    <row r="1426" spans="11:15">
      <c r="K1426" s="1462">
        <v>43483</v>
      </c>
      <c r="L1426" s="1463" t="s">
        <v>2127</v>
      </c>
      <c r="M1426" s="1464">
        <v>2.462E-2</v>
      </c>
      <c r="N1426" s="1465">
        <v>1.4896568795498653</v>
      </c>
      <c r="O1426" s="1465"/>
    </row>
    <row r="1427" spans="11:15">
      <c r="K1427" s="1462">
        <v>43484</v>
      </c>
      <c r="L1427" s="1463"/>
      <c r="M1427" s="1464">
        <v>0</v>
      </c>
      <c r="N1427" s="1465">
        <v>1.4896568795498653</v>
      </c>
      <c r="O1427" s="1465"/>
    </row>
    <row r="1428" spans="11:15">
      <c r="K1428" s="1462">
        <v>43485</v>
      </c>
      <c r="L1428" s="1463"/>
      <c r="M1428" s="1464">
        <v>0</v>
      </c>
      <c r="N1428" s="1465">
        <v>1.4896568795498653</v>
      </c>
      <c r="O1428" s="1465"/>
    </row>
    <row r="1429" spans="11:15">
      <c r="K1429" s="1462">
        <v>43486</v>
      </c>
      <c r="L1429" s="1463" t="s">
        <v>2127</v>
      </c>
      <c r="M1429" s="1464">
        <v>2.462E-2</v>
      </c>
      <c r="N1429" s="1465">
        <v>1.4900236330736105</v>
      </c>
      <c r="O1429" s="1465"/>
    </row>
    <row r="1430" spans="11:15">
      <c r="K1430" s="1462">
        <v>43487</v>
      </c>
      <c r="L1430" s="1463" t="s">
        <v>2127</v>
      </c>
      <c r="M1430" s="1464">
        <v>2.462E-2</v>
      </c>
      <c r="N1430" s="1465">
        <v>1.4903904768920733</v>
      </c>
      <c r="O1430" s="1465"/>
    </row>
    <row r="1431" spans="11:15">
      <c r="K1431" s="1462">
        <v>43488</v>
      </c>
      <c r="L1431" s="1463" t="s">
        <v>2127</v>
      </c>
      <c r="M1431" s="1464">
        <v>2.462E-2</v>
      </c>
      <c r="N1431" s="1465">
        <v>1.4907574110274842</v>
      </c>
      <c r="O1431" s="1465"/>
    </row>
    <row r="1432" spans="11:15">
      <c r="K1432" s="1462">
        <v>43489</v>
      </c>
      <c r="L1432" s="1463" t="s">
        <v>2127</v>
      </c>
      <c r="M1432" s="1464">
        <v>2.462E-2</v>
      </c>
      <c r="N1432" s="1465">
        <v>1.4911244355020792</v>
      </c>
      <c r="O1432" s="1465"/>
    </row>
    <row r="1433" spans="11:15">
      <c r="K1433" s="1462">
        <v>43490</v>
      </c>
      <c r="L1433" s="1463" t="s">
        <v>2127</v>
      </c>
      <c r="M1433" s="1464">
        <v>2.462E-2</v>
      </c>
      <c r="N1433" s="1465">
        <v>1.4914915503380999</v>
      </c>
      <c r="O1433" s="1465"/>
    </row>
    <row r="1434" spans="11:15">
      <c r="K1434" s="1462">
        <v>43491</v>
      </c>
      <c r="L1434" s="1463"/>
      <c r="M1434" s="1464">
        <v>0</v>
      </c>
      <c r="N1434" s="1465">
        <v>1.4914915503380999</v>
      </c>
      <c r="O1434" s="1465"/>
    </row>
    <row r="1435" spans="11:15">
      <c r="K1435" s="1462">
        <v>43492</v>
      </c>
      <c r="L1435" s="1463"/>
      <c r="M1435" s="1464">
        <v>0</v>
      </c>
      <c r="N1435" s="1465">
        <v>1.4914915503380999</v>
      </c>
      <c r="O1435" s="1465"/>
    </row>
    <row r="1436" spans="11:15">
      <c r="K1436" s="1462">
        <v>43493</v>
      </c>
      <c r="L1436" s="1463" t="s">
        <v>2127</v>
      </c>
      <c r="M1436" s="1464">
        <v>2.462E-2</v>
      </c>
      <c r="N1436" s="1465">
        <v>1.4918587555577933</v>
      </c>
      <c r="O1436" s="1465"/>
    </row>
    <row r="1437" spans="11:15">
      <c r="K1437" s="1462">
        <v>43494</v>
      </c>
      <c r="L1437" s="1463" t="s">
        <v>2127</v>
      </c>
      <c r="M1437" s="1464">
        <v>2.462E-2</v>
      </c>
      <c r="N1437" s="1465">
        <v>1.4922260511834118</v>
      </c>
      <c r="O1437" s="1465"/>
    </row>
    <row r="1438" spans="11:15">
      <c r="K1438" s="1462">
        <v>43495</v>
      </c>
      <c r="L1438" s="1463" t="s">
        <v>2127</v>
      </c>
      <c r="M1438" s="1464">
        <v>2.462E-2</v>
      </c>
      <c r="N1438" s="1465">
        <v>1.4925934372372132</v>
      </c>
      <c r="O1438" s="1465"/>
    </row>
    <row r="1439" spans="11:15">
      <c r="K1439" s="1462">
        <v>43496</v>
      </c>
      <c r="L1439" s="1463" t="s">
        <v>2127</v>
      </c>
      <c r="M1439" s="1464">
        <v>2.462E-2</v>
      </c>
      <c r="N1439" s="1465">
        <v>1.492960913741461</v>
      </c>
      <c r="O1439" s="1465"/>
    </row>
    <row r="1440" spans="11:15">
      <c r="K1440" s="1462">
        <v>43497</v>
      </c>
      <c r="L1440" s="1463" t="s">
        <v>2127</v>
      </c>
      <c r="M1440" s="1464">
        <v>2.462E-2</v>
      </c>
      <c r="N1440" s="1465">
        <v>1.4933284807184244</v>
      </c>
      <c r="O1440" s="1465"/>
    </row>
    <row r="1441" spans="11:15">
      <c r="K1441" s="1462">
        <v>43498</v>
      </c>
      <c r="L1441" s="1463"/>
      <c r="M1441" s="1464">
        <v>0</v>
      </c>
      <c r="N1441" s="1465">
        <v>1.4933284807184244</v>
      </c>
      <c r="O1441" s="1465"/>
    </row>
    <row r="1442" spans="11:15">
      <c r="K1442" s="1462">
        <v>43499</v>
      </c>
      <c r="L1442" s="1463"/>
      <c r="M1442" s="1464">
        <v>0</v>
      </c>
      <c r="N1442" s="1465">
        <v>1.4933284807184244</v>
      </c>
      <c r="O1442" s="1465"/>
    </row>
    <row r="1443" spans="11:15">
      <c r="K1443" s="1462">
        <v>43500</v>
      </c>
      <c r="L1443" s="1463" t="s">
        <v>2127</v>
      </c>
      <c r="M1443" s="1464">
        <v>2.462E-2</v>
      </c>
      <c r="N1443" s="1465">
        <v>1.4936961381903775</v>
      </c>
      <c r="O1443" s="1465"/>
    </row>
    <row r="1444" spans="11:15">
      <c r="K1444" s="1462">
        <v>43501</v>
      </c>
      <c r="L1444" s="1463" t="s">
        <v>2127</v>
      </c>
      <c r="M1444" s="1464">
        <v>2.462E-2</v>
      </c>
      <c r="N1444" s="1465">
        <v>1.4940638861796001</v>
      </c>
      <c r="O1444" s="1465"/>
    </row>
    <row r="1445" spans="11:15">
      <c r="K1445" s="1462">
        <v>43502</v>
      </c>
      <c r="L1445" s="1463" t="s">
        <v>2127</v>
      </c>
      <c r="M1445" s="1464">
        <v>2.462E-2</v>
      </c>
      <c r="N1445" s="1465">
        <v>1.4944317247083776</v>
      </c>
      <c r="O1445" s="1465"/>
    </row>
    <row r="1446" spans="11:15">
      <c r="K1446" s="1462">
        <v>43503</v>
      </c>
      <c r="L1446" s="1463" t="s">
        <v>2127</v>
      </c>
      <c r="M1446" s="1464">
        <v>2.462E-2</v>
      </c>
      <c r="N1446" s="1465">
        <v>1.4947996537990009</v>
      </c>
      <c r="O1446" s="1465"/>
    </row>
    <row r="1447" spans="11:15">
      <c r="K1447" s="1462">
        <v>43504</v>
      </c>
      <c r="L1447" s="1463" t="s">
        <v>2127</v>
      </c>
      <c r="M1447" s="1464">
        <v>2.462E-2</v>
      </c>
      <c r="N1447" s="1465">
        <v>1.4951676734737664</v>
      </c>
      <c r="O1447" s="1465"/>
    </row>
    <row r="1448" spans="11:15">
      <c r="K1448" s="1462">
        <v>43505</v>
      </c>
      <c r="L1448" s="1463"/>
      <c r="M1448" s="1464">
        <v>0</v>
      </c>
      <c r="N1448" s="1465">
        <v>1.4951676734737664</v>
      </c>
      <c r="O1448" s="1465"/>
    </row>
    <row r="1449" spans="11:15">
      <c r="K1449" s="1462">
        <v>43506</v>
      </c>
      <c r="L1449" s="1463"/>
      <c r="M1449" s="1464">
        <v>0</v>
      </c>
      <c r="N1449" s="1465">
        <v>1.4951676734737664</v>
      </c>
      <c r="O1449" s="1465"/>
    </row>
    <row r="1450" spans="11:15">
      <c r="K1450" s="1462">
        <v>43507</v>
      </c>
      <c r="L1450" s="1463" t="s">
        <v>2127</v>
      </c>
      <c r="M1450" s="1464">
        <v>2.462E-2</v>
      </c>
      <c r="N1450" s="1465">
        <v>1.4955357837549759</v>
      </c>
      <c r="O1450" s="1465"/>
    </row>
    <row r="1451" spans="11:15">
      <c r="K1451" s="1462">
        <v>43508</v>
      </c>
      <c r="L1451" s="1463" t="s">
        <v>2127</v>
      </c>
      <c r="M1451" s="1464">
        <v>2.462E-2</v>
      </c>
      <c r="N1451" s="1465">
        <v>1.4959039846649365</v>
      </c>
      <c r="O1451" s="1465"/>
    </row>
    <row r="1452" spans="11:15">
      <c r="K1452" s="1462">
        <v>43509</v>
      </c>
      <c r="L1452" s="1463" t="s">
        <v>2127</v>
      </c>
      <c r="M1452" s="1464">
        <v>2.462E-2</v>
      </c>
      <c r="N1452" s="1465">
        <v>1.496272276225961</v>
      </c>
      <c r="O1452" s="1465"/>
    </row>
    <row r="1453" spans="11:15">
      <c r="K1453" s="1462">
        <v>43510</v>
      </c>
      <c r="L1453" s="1463" t="s">
        <v>2127</v>
      </c>
      <c r="M1453" s="1464">
        <v>2.462E-2</v>
      </c>
      <c r="N1453" s="1465">
        <v>1.496640658460368</v>
      </c>
      <c r="O1453" s="1465"/>
    </row>
    <row r="1454" spans="11:15">
      <c r="K1454" s="1462">
        <v>43511</v>
      </c>
      <c r="L1454" s="1463" t="s">
        <v>2127</v>
      </c>
      <c r="M1454" s="1464">
        <v>2.462E-2</v>
      </c>
      <c r="N1454" s="1465">
        <v>1.497009131390481</v>
      </c>
      <c r="O1454" s="1465"/>
    </row>
    <row r="1455" spans="11:15">
      <c r="K1455" s="1462">
        <v>43512</v>
      </c>
      <c r="L1455" s="1463"/>
      <c r="M1455" s="1464">
        <v>0</v>
      </c>
      <c r="N1455" s="1465">
        <v>1.497009131390481</v>
      </c>
      <c r="O1455" s="1465"/>
    </row>
    <row r="1456" spans="11:15">
      <c r="K1456" s="1462">
        <v>43513</v>
      </c>
      <c r="L1456" s="1463"/>
      <c r="M1456" s="1464">
        <v>0</v>
      </c>
      <c r="N1456" s="1465">
        <v>1.497009131390481</v>
      </c>
      <c r="O1456" s="1465"/>
    </row>
    <row r="1457" spans="11:15">
      <c r="K1457" s="1462">
        <v>43514</v>
      </c>
      <c r="L1457" s="1463" t="s">
        <v>2127</v>
      </c>
      <c r="M1457" s="1464">
        <v>2.462E-2</v>
      </c>
      <c r="N1457" s="1465">
        <v>1.4973776950386295</v>
      </c>
      <c r="O1457" s="1465"/>
    </row>
    <row r="1458" spans="11:15">
      <c r="K1458" s="1462">
        <v>43515</v>
      </c>
      <c r="L1458" s="1463" t="s">
        <v>2127</v>
      </c>
      <c r="M1458" s="1464">
        <v>2.462E-2</v>
      </c>
      <c r="N1458" s="1465">
        <v>1.4977463494271481</v>
      </c>
      <c r="O1458" s="1465"/>
    </row>
    <row r="1459" spans="11:15">
      <c r="K1459" s="1462">
        <v>43516</v>
      </c>
      <c r="L1459" s="1463" t="s">
        <v>2127</v>
      </c>
      <c r="M1459" s="1464">
        <v>2.462E-2</v>
      </c>
      <c r="N1459" s="1465">
        <v>1.4981150945783772</v>
      </c>
      <c r="O1459" s="1465"/>
    </row>
    <row r="1460" spans="11:15">
      <c r="K1460" s="1462">
        <v>43517</v>
      </c>
      <c r="L1460" s="1463" t="s">
        <v>2127</v>
      </c>
      <c r="M1460" s="1464">
        <v>2.462E-2</v>
      </c>
      <c r="N1460" s="1465">
        <v>1.4984839305146624</v>
      </c>
      <c r="O1460" s="1465"/>
    </row>
    <row r="1461" spans="11:15">
      <c r="K1461" s="1462">
        <v>43518</v>
      </c>
      <c r="L1461" s="1463" t="s">
        <v>2127</v>
      </c>
      <c r="M1461" s="1464">
        <v>2.462E-2</v>
      </c>
      <c r="N1461" s="1465">
        <v>1.4988528572583553</v>
      </c>
      <c r="O1461" s="1465"/>
    </row>
    <row r="1462" spans="11:15">
      <c r="K1462" s="1462">
        <v>43519</v>
      </c>
      <c r="L1462" s="1463"/>
      <c r="M1462" s="1464">
        <v>0</v>
      </c>
      <c r="N1462" s="1465">
        <v>1.4988528572583553</v>
      </c>
      <c r="O1462" s="1465"/>
    </row>
    <row r="1463" spans="11:15">
      <c r="K1463" s="1462">
        <v>43520</v>
      </c>
      <c r="L1463" s="1463"/>
      <c r="M1463" s="1464">
        <v>0</v>
      </c>
      <c r="N1463" s="1465">
        <v>1.4988528572583553</v>
      </c>
      <c r="O1463" s="1465"/>
    </row>
    <row r="1464" spans="11:15">
      <c r="K1464" s="1462">
        <v>43521</v>
      </c>
      <c r="L1464" s="1463" t="s">
        <v>2127</v>
      </c>
      <c r="M1464" s="1464">
        <v>2.462E-2</v>
      </c>
      <c r="N1464" s="1465">
        <v>1.4992218748318125</v>
      </c>
      <c r="O1464" s="1465"/>
    </row>
    <row r="1465" spans="11:15">
      <c r="K1465" s="1462">
        <v>43522</v>
      </c>
      <c r="L1465" s="1463" t="s">
        <v>2127</v>
      </c>
      <c r="M1465" s="1464">
        <v>2.462E-2</v>
      </c>
      <c r="N1465" s="1465">
        <v>1.4995909832573961</v>
      </c>
      <c r="O1465" s="1465"/>
    </row>
    <row r="1466" spans="11:15">
      <c r="K1466" s="1462">
        <v>43523</v>
      </c>
      <c r="L1466" s="1463" t="s">
        <v>2127</v>
      </c>
      <c r="M1466" s="1464">
        <v>2.462E-2</v>
      </c>
      <c r="N1466" s="1465">
        <v>1.4999601825574742</v>
      </c>
      <c r="O1466" s="1465"/>
    </row>
    <row r="1467" spans="11:15">
      <c r="K1467" s="1462">
        <v>43524</v>
      </c>
      <c r="L1467" s="1463" t="s">
        <v>2127</v>
      </c>
      <c r="M1467" s="1464">
        <v>2.462E-2</v>
      </c>
      <c r="N1467" s="1465">
        <v>1.5003294727544201</v>
      </c>
      <c r="O1467" s="1465"/>
    </row>
    <row r="1468" spans="11:15">
      <c r="K1468" s="1462">
        <v>43525</v>
      </c>
      <c r="L1468" s="1463" t="s">
        <v>2127</v>
      </c>
      <c r="M1468" s="1464">
        <v>2.462E-2</v>
      </c>
      <c r="N1468" s="1465">
        <v>1.5006988538706123</v>
      </c>
      <c r="O1468" s="1465"/>
    </row>
    <row r="1469" spans="11:15">
      <c r="K1469" s="1462">
        <v>43526</v>
      </c>
      <c r="L1469" s="1463"/>
      <c r="M1469" s="1464">
        <v>0</v>
      </c>
      <c r="N1469" s="1465">
        <v>1.5006988538706123</v>
      </c>
      <c r="O1469" s="1465"/>
    </row>
    <row r="1470" spans="11:15">
      <c r="K1470" s="1462">
        <v>43527</v>
      </c>
      <c r="L1470" s="1463"/>
      <c r="M1470" s="1464">
        <v>0</v>
      </c>
      <c r="N1470" s="1465">
        <v>1.5006988538706123</v>
      </c>
      <c r="O1470" s="1465"/>
    </row>
    <row r="1471" spans="11:15">
      <c r="K1471" s="1462">
        <v>43528</v>
      </c>
      <c r="L1471" s="1463"/>
      <c r="M1471" s="1464">
        <v>0</v>
      </c>
      <c r="N1471" s="1465">
        <v>1.5006988538706123</v>
      </c>
      <c r="O1471" s="1465"/>
    </row>
    <row r="1472" spans="11:15">
      <c r="K1472" s="1462">
        <v>43529</v>
      </c>
      <c r="L1472" s="1463"/>
      <c r="M1472" s="1464">
        <v>0</v>
      </c>
      <c r="N1472" s="1465">
        <v>1.5006988538706123</v>
      </c>
      <c r="O1472" s="1465"/>
    </row>
    <row r="1473" spans="11:15">
      <c r="K1473" s="1462">
        <v>43530</v>
      </c>
      <c r="L1473" s="1463" t="s">
        <v>2127</v>
      </c>
      <c r="M1473" s="1464">
        <v>2.462E-2</v>
      </c>
      <c r="N1473" s="1465">
        <v>1.5010683259284354</v>
      </c>
      <c r="O1473" s="1465"/>
    </row>
    <row r="1474" spans="11:15">
      <c r="K1474" s="1462">
        <v>43531</v>
      </c>
      <c r="L1474" s="1463" t="s">
        <v>2127</v>
      </c>
      <c r="M1474" s="1464">
        <v>2.462E-2</v>
      </c>
      <c r="N1474" s="1465">
        <v>1.5014378889502791</v>
      </c>
      <c r="O1474" s="1465"/>
    </row>
    <row r="1475" spans="11:15">
      <c r="K1475" s="1462">
        <v>43532</v>
      </c>
      <c r="L1475" s="1463" t="s">
        <v>2127</v>
      </c>
      <c r="M1475" s="1464">
        <v>2.462E-2</v>
      </c>
      <c r="N1475" s="1465">
        <v>1.5018075429585387</v>
      </c>
      <c r="O1475" s="1465"/>
    </row>
    <row r="1476" spans="11:15">
      <c r="K1476" s="1462">
        <v>43533</v>
      </c>
      <c r="L1476" s="1463"/>
      <c r="M1476" s="1464">
        <v>0</v>
      </c>
      <c r="N1476" s="1465">
        <v>1.5018075429585387</v>
      </c>
      <c r="O1476" s="1465"/>
    </row>
    <row r="1477" spans="11:15">
      <c r="K1477" s="1462">
        <v>43534</v>
      </c>
      <c r="L1477" s="1463"/>
      <c r="M1477" s="1464">
        <v>0</v>
      </c>
      <c r="N1477" s="1465">
        <v>1.5018075429585387</v>
      </c>
      <c r="O1477" s="1465"/>
    </row>
    <row r="1478" spans="11:15">
      <c r="K1478" s="1462">
        <v>43535</v>
      </c>
      <c r="L1478" s="1463" t="s">
        <v>2127</v>
      </c>
      <c r="M1478" s="1464">
        <v>2.462E-2</v>
      </c>
      <c r="N1478" s="1465">
        <v>1.5021772879756152</v>
      </c>
      <c r="O1478" s="1465"/>
    </row>
    <row r="1479" spans="11:15">
      <c r="K1479" s="1462">
        <v>43536</v>
      </c>
      <c r="L1479" s="1463" t="s">
        <v>2127</v>
      </c>
      <c r="M1479" s="1464">
        <v>2.462E-2</v>
      </c>
      <c r="N1479" s="1465">
        <v>1.502547124023915</v>
      </c>
      <c r="O1479" s="1465"/>
    </row>
    <row r="1480" spans="11:15">
      <c r="K1480" s="1462">
        <v>43537</v>
      </c>
      <c r="L1480" s="1463" t="s">
        <v>2127</v>
      </c>
      <c r="M1480" s="1464">
        <v>2.462E-2</v>
      </c>
      <c r="N1480" s="1465">
        <v>1.5029170511258498</v>
      </c>
      <c r="O1480" s="1465"/>
    </row>
    <row r="1481" spans="11:15">
      <c r="K1481" s="1462">
        <v>43538</v>
      </c>
      <c r="L1481" s="1463" t="s">
        <v>2127</v>
      </c>
      <c r="M1481" s="1464">
        <v>2.462E-2</v>
      </c>
      <c r="N1481" s="1465">
        <v>1.5032870693038372</v>
      </c>
      <c r="O1481" s="1465"/>
    </row>
    <row r="1482" spans="11:15">
      <c r="K1482" s="1462">
        <v>43539</v>
      </c>
      <c r="L1482" s="1463" t="s">
        <v>2127</v>
      </c>
      <c r="M1482" s="1464">
        <v>2.462E-2</v>
      </c>
      <c r="N1482" s="1465">
        <v>1.5036571785802999</v>
      </c>
      <c r="O1482" s="1465"/>
    </row>
    <row r="1483" spans="11:15">
      <c r="K1483" s="1462">
        <v>43540</v>
      </c>
      <c r="L1483" s="1463"/>
      <c r="M1483" s="1464">
        <v>0</v>
      </c>
      <c r="N1483" s="1465">
        <v>1.5036571785802999</v>
      </c>
      <c r="O1483" s="1465"/>
    </row>
    <row r="1484" spans="11:15">
      <c r="K1484" s="1462">
        <v>43541</v>
      </c>
      <c r="L1484" s="1463"/>
      <c r="M1484" s="1464">
        <v>0</v>
      </c>
      <c r="N1484" s="1465">
        <v>1.5036571785802999</v>
      </c>
      <c r="O1484" s="1465"/>
    </row>
    <row r="1485" spans="11:15">
      <c r="K1485" s="1462">
        <v>43542</v>
      </c>
      <c r="L1485" s="1463" t="s">
        <v>2127</v>
      </c>
      <c r="M1485" s="1464">
        <v>2.462E-2</v>
      </c>
      <c r="N1485" s="1465">
        <v>1.5040273789776666</v>
      </c>
      <c r="O1485" s="1465"/>
    </row>
    <row r="1486" spans="11:15">
      <c r="K1486" s="1462">
        <v>43543</v>
      </c>
      <c r="L1486" s="1463" t="s">
        <v>2127</v>
      </c>
      <c r="M1486" s="1464">
        <v>2.462E-2</v>
      </c>
      <c r="N1486" s="1465">
        <v>1.504397670518371</v>
      </c>
      <c r="O1486" s="1465"/>
    </row>
    <row r="1487" spans="11:15">
      <c r="K1487" s="1462">
        <v>43544</v>
      </c>
      <c r="L1487" s="1463" t="s">
        <v>2127</v>
      </c>
      <c r="M1487" s="1464">
        <v>2.462E-2</v>
      </c>
      <c r="N1487" s="1465">
        <v>1.5047680532248529</v>
      </c>
      <c r="O1487" s="1465"/>
    </row>
    <row r="1488" spans="11:15">
      <c r="K1488" s="1462">
        <v>43545</v>
      </c>
      <c r="L1488" s="1463" t="s">
        <v>2127</v>
      </c>
      <c r="M1488" s="1464">
        <v>2.462E-2</v>
      </c>
      <c r="N1488" s="1465">
        <v>1.505138527119557</v>
      </c>
      <c r="O1488" s="1465"/>
    </row>
    <row r="1489" spans="11:15">
      <c r="K1489" s="1462">
        <v>43546</v>
      </c>
      <c r="L1489" s="1463" t="s">
        <v>2127</v>
      </c>
      <c r="M1489" s="1464">
        <v>2.462E-2</v>
      </c>
      <c r="N1489" s="1465">
        <v>1.5055090922249339</v>
      </c>
      <c r="O1489" s="1465"/>
    </row>
    <row r="1490" spans="11:15">
      <c r="K1490" s="1462">
        <v>43547</v>
      </c>
      <c r="L1490" s="1463"/>
      <c r="M1490" s="1464">
        <v>0</v>
      </c>
      <c r="N1490" s="1465">
        <v>1.5055090922249339</v>
      </c>
      <c r="O1490" s="1465"/>
    </row>
    <row r="1491" spans="11:15">
      <c r="K1491" s="1462">
        <v>43548</v>
      </c>
      <c r="L1491" s="1463"/>
      <c r="M1491" s="1464">
        <v>0</v>
      </c>
      <c r="N1491" s="1465">
        <v>1.5055090922249339</v>
      </c>
      <c r="O1491" s="1465"/>
    </row>
    <row r="1492" spans="11:15">
      <c r="K1492" s="1462">
        <v>43549</v>
      </c>
      <c r="L1492" s="1463" t="s">
        <v>2127</v>
      </c>
      <c r="M1492" s="1464">
        <v>2.462E-2</v>
      </c>
      <c r="N1492" s="1465">
        <v>1.5058797485634399</v>
      </c>
      <c r="O1492" s="1465"/>
    </row>
    <row r="1493" spans="11:15">
      <c r="K1493" s="1462">
        <v>43550</v>
      </c>
      <c r="L1493" s="1463" t="s">
        <v>2127</v>
      </c>
      <c r="M1493" s="1464">
        <v>2.462E-2</v>
      </c>
      <c r="N1493" s="1465">
        <v>1.5062504961575363</v>
      </c>
      <c r="O1493" s="1465"/>
    </row>
    <row r="1494" spans="11:15">
      <c r="K1494" s="1462">
        <v>43551</v>
      </c>
      <c r="L1494" s="1463" t="s">
        <v>2127</v>
      </c>
      <c r="M1494" s="1464">
        <v>2.462E-2</v>
      </c>
      <c r="N1494" s="1465">
        <v>1.5066213350296904</v>
      </c>
      <c r="O1494" s="1465"/>
    </row>
    <row r="1495" spans="11:15">
      <c r="K1495" s="1462">
        <v>43552</v>
      </c>
      <c r="L1495" s="1463" t="s">
        <v>2127</v>
      </c>
      <c r="M1495" s="1464">
        <v>2.462E-2</v>
      </c>
      <c r="N1495" s="1465">
        <v>1.5069922652023748</v>
      </c>
      <c r="O1495" s="1465"/>
    </row>
    <row r="1496" spans="11:15">
      <c r="K1496" s="1462">
        <v>43553</v>
      </c>
      <c r="L1496" s="1463" t="s">
        <v>2127</v>
      </c>
      <c r="M1496" s="1464">
        <v>2.462E-2</v>
      </c>
      <c r="N1496" s="1465">
        <v>1.5073632866980677</v>
      </c>
      <c r="O1496" s="1465"/>
    </row>
    <row r="1497" spans="11:15">
      <c r="K1497" s="1462">
        <v>43554</v>
      </c>
      <c r="L1497" s="1463"/>
      <c r="M1497" s="1464">
        <v>0</v>
      </c>
      <c r="N1497" s="1465">
        <v>1.5073632866980677</v>
      </c>
      <c r="O1497" s="1465"/>
    </row>
    <row r="1498" spans="11:15">
      <c r="K1498" s="1462">
        <v>43555</v>
      </c>
      <c r="L1498" s="1463"/>
      <c r="M1498" s="1464">
        <v>0</v>
      </c>
      <c r="N1498" s="1465">
        <v>1.5073632866980677</v>
      </c>
      <c r="O1498" s="1465"/>
    </row>
    <row r="1499" spans="11:15">
      <c r="K1499" s="1462">
        <v>43556</v>
      </c>
      <c r="L1499" s="1463" t="s">
        <v>2127</v>
      </c>
      <c r="M1499" s="1464">
        <v>2.462E-2</v>
      </c>
      <c r="N1499" s="1465">
        <v>1.5077343995392529</v>
      </c>
      <c r="O1499" s="1465"/>
    </row>
    <row r="1500" spans="11:15">
      <c r="K1500" s="1462">
        <v>43557</v>
      </c>
      <c r="L1500" s="1463" t="s">
        <v>2127</v>
      </c>
      <c r="M1500" s="1464">
        <v>2.462E-2</v>
      </c>
      <c r="N1500" s="1465">
        <v>1.5081056037484195</v>
      </c>
      <c r="O1500" s="1465"/>
    </row>
    <row r="1501" spans="11:15">
      <c r="K1501" s="1462">
        <v>43558</v>
      </c>
      <c r="L1501" s="1463" t="s">
        <v>2127</v>
      </c>
      <c r="M1501" s="1464">
        <v>2.462E-2</v>
      </c>
      <c r="N1501" s="1465">
        <v>1.5084768993480624</v>
      </c>
      <c r="O1501" s="1465"/>
    </row>
    <row r="1502" spans="11:15">
      <c r="K1502" s="1462">
        <v>43559</v>
      </c>
      <c r="L1502" s="1463" t="s">
        <v>2127</v>
      </c>
      <c r="M1502" s="1464">
        <v>2.462E-2</v>
      </c>
      <c r="N1502" s="1465">
        <v>1.508848286360682</v>
      </c>
      <c r="O1502" s="1465"/>
    </row>
    <row r="1503" spans="11:15">
      <c r="K1503" s="1462">
        <v>43560</v>
      </c>
      <c r="L1503" s="1463" t="s">
        <v>2127</v>
      </c>
      <c r="M1503" s="1464">
        <v>2.462E-2</v>
      </c>
      <c r="N1503" s="1465">
        <v>1.5092197648087842</v>
      </c>
      <c r="O1503" s="1465"/>
    </row>
    <row r="1504" spans="11:15">
      <c r="K1504" s="1462">
        <v>43561</v>
      </c>
      <c r="L1504" s="1463"/>
      <c r="M1504" s="1464">
        <v>0</v>
      </c>
      <c r="N1504" s="1465">
        <v>1.5092197648087842</v>
      </c>
      <c r="O1504" s="1465"/>
    </row>
    <row r="1505" spans="11:15">
      <c r="K1505" s="1462">
        <v>43562</v>
      </c>
      <c r="L1505" s="1463"/>
      <c r="M1505" s="1464">
        <v>0</v>
      </c>
      <c r="N1505" s="1465">
        <v>1.5092197648087842</v>
      </c>
      <c r="O1505" s="1465"/>
    </row>
    <row r="1506" spans="11:15">
      <c r="K1506" s="1462">
        <v>43563</v>
      </c>
      <c r="L1506" s="1463" t="s">
        <v>2127</v>
      </c>
      <c r="M1506" s="1464">
        <v>2.462E-2</v>
      </c>
      <c r="N1506" s="1465">
        <v>1.5095913347148802</v>
      </c>
      <c r="O1506" s="1465"/>
    </row>
    <row r="1507" spans="11:15">
      <c r="K1507" s="1462">
        <v>43564</v>
      </c>
      <c r="L1507" s="1463" t="s">
        <v>2127</v>
      </c>
      <c r="M1507" s="1464">
        <v>2.462E-2</v>
      </c>
      <c r="N1507" s="1465">
        <v>1.5099629961014871</v>
      </c>
      <c r="O1507" s="1465"/>
    </row>
    <row r="1508" spans="11:15">
      <c r="K1508" s="1462">
        <v>43565</v>
      </c>
      <c r="L1508" s="1463" t="s">
        <v>2127</v>
      </c>
      <c r="M1508" s="1464">
        <v>2.462E-2</v>
      </c>
      <c r="N1508" s="1465">
        <v>1.5103347489911274</v>
      </c>
      <c r="O1508" s="1465"/>
    </row>
    <row r="1509" spans="11:15">
      <c r="K1509" s="1462">
        <v>43566</v>
      </c>
      <c r="L1509" s="1463" t="s">
        <v>2127</v>
      </c>
      <c r="M1509" s="1464">
        <v>2.462E-2</v>
      </c>
      <c r="N1509" s="1465">
        <v>1.5107065934063291</v>
      </c>
      <c r="O1509" s="1465"/>
    </row>
    <row r="1510" spans="11:15">
      <c r="K1510" s="1462">
        <v>43567</v>
      </c>
      <c r="L1510" s="1463" t="s">
        <v>2127</v>
      </c>
      <c r="M1510" s="1464">
        <v>2.462E-2</v>
      </c>
      <c r="N1510" s="1465">
        <v>1.5110785293696258</v>
      </c>
      <c r="O1510" s="1465"/>
    </row>
    <row r="1511" spans="11:15">
      <c r="K1511" s="1462">
        <v>43568</v>
      </c>
      <c r="L1511" s="1463"/>
      <c r="M1511" s="1464">
        <v>0</v>
      </c>
      <c r="N1511" s="1465">
        <v>1.5110785293696258</v>
      </c>
      <c r="O1511" s="1465"/>
    </row>
    <row r="1512" spans="11:15">
      <c r="K1512" s="1462">
        <v>43569</v>
      </c>
      <c r="L1512" s="1463"/>
      <c r="M1512" s="1464">
        <v>0</v>
      </c>
      <c r="N1512" s="1465">
        <v>1.5110785293696258</v>
      </c>
      <c r="O1512" s="1465"/>
    </row>
    <row r="1513" spans="11:15">
      <c r="K1513" s="1462">
        <v>43570</v>
      </c>
      <c r="L1513" s="1463" t="s">
        <v>2127</v>
      </c>
      <c r="M1513" s="1464">
        <v>2.462E-2</v>
      </c>
      <c r="N1513" s="1465">
        <v>1.5114505569035568</v>
      </c>
      <c r="O1513" s="1465"/>
    </row>
    <row r="1514" spans="11:15">
      <c r="K1514" s="1462">
        <v>43571</v>
      </c>
      <c r="L1514" s="1463" t="s">
        <v>2127</v>
      </c>
      <c r="M1514" s="1464">
        <v>2.462E-2</v>
      </c>
      <c r="N1514" s="1465">
        <v>1.5118226760306666</v>
      </c>
      <c r="O1514" s="1465"/>
    </row>
    <row r="1515" spans="11:15">
      <c r="K1515" s="1462">
        <v>43572</v>
      </c>
      <c r="L1515" s="1463" t="s">
        <v>2127</v>
      </c>
      <c r="M1515" s="1464">
        <v>2.462E-2</v>
      </c>
      <c r="N1515" s="1465">
        <v>1.5121948867735053</v>
      </c>
      <c r="O1515" s="1465"/>
    </row>
    <row r="1516" spans="11:15">
      <c r="K1516" s="1462">
        <v>43573</v>
      </c>
      <c r="L1516" s="1463" t="s">
        <v>2127</v>
      </c>
      <c r="M1516" s="1464">
        <v>2.462E-2</v>
      </c>
      <c r="N1516" s="1465">
        <v>1.5125671891546291</v>
      </c>
      <c r="O1516" s="1465"/>
    </row>
    <row r="1517" spans="11:15">
      <c r="K1517" s="1462">
        <v>43574</v>
      </c>
      <c r="L1517" s="1463"/>
      <c r="M1517" s="1464">
        <v>0</v>
      </c>
      <c r="N1517" s="1465">
        <v>1.5125671891546291</v>
      </c>
      <c r="O1517" s="1465"/>
    </row>
    <row r="1518" spans="11:15">
      <c r="K1518" s="1462">
        <v>43575</v>
      </c>
      <c r="L1518" s="1463"/>
      <c r="M1518" s="1464">
        <v>0</v>
      </c>
      <c r="N1518" s="1465">
        <v>1.5125671891546291</v>
      </c>
      <c r="O1518" s="1465"/>
    </row>
    <row r="1519" spans="11:15">
      <c r="K1519" s="1462">
        <v>43576</v>
      </c>
      <c r="L1519" s="1463"/>
      <c r="M1519" s="1464">
        <v>0</v>
      </c>
      <c r="N1519" s="1465">
        <v>1.5125671891546291</v>
      </c>
      <c r="O1519" s="1465"/>
    </row>
    <row r="1520" spans="11:15">
      <c r="K1520" s="1462">
        <v>43577</v>
      </c>
      <c r="L1520" s="1463" t="s">
        <v>2127</v>
      </c>
      <c r="M1520" s="1464">
        <v>2.462E-2</v>
      </c>
      <c r="N1520" s="1465">
        <v>1.512939583196599</v>
      </c>
      <c r="O1520" s="1465"/>
    </row>
    <row r="1521" spans="11:15">
      <c r="K1521" s="1462">
        <v>43578</v>
      </c>
      <c r="L1521" s="1463" t="s">
        <v>2127</v>
      </c>
      <c r="M1521" s="1464">
        <v>2.462E-2</v>
      </c>
      <c r="N1521" s="1465">
        <v>1.5133120689219821</v>
      </c>
      <c r="O1521" s="1465"/>
    </row>
    <row r="1522" spans="11:15">
      <c r="K1522" s="1462">
        <v>43579</v>
      </c>
      <c r="L1522" s="1463" t="s">
        <v>2127</v>
      </c>
      <c r="M1522" s="1464">
        <v>2.462E-2</v>
      </c>
      <c r="N1522" s="1465">
        <v>1.5136846463533509</v>
      </c>
      <c r="O1522" s="1465"/>
    </row>
    <row r="1523" spans="11:15">
      <c r="K1523" s="1462">
        <v>43580</v>
      </c>
      <c r="L1523" s="1463" t="s">
        <v>2127</v>
      </c>
      <c r="M1523" s="1464">
        <v>2.462E-2</v>
      </c>
      <c r="N1523" s="1465">
        <v>1.5140573155132833</v>
      </c>
      <c r="O1523" s="1465"/>
    </row>
    <row r="1524" spans="11:15">
      <c r="K1524" s="1462">
        <v>43581</v>
      </c>
      <c r="L1524" s="1463" t="s">
        <v>2127</v>
      </c>
      <c r="M1524" s="1464">
        <v>2.462E-2</v>
      </c>
      <c r="N1524" s="1465">
        <v>1.5144300764243628</v>
      </c>
      <c r="O1524" s="1465"/>
    </row>
    <row r="1525" spans="11:15">
      <c r="K1525" s="1462">
        <v>43582</v>
      </c>
      <c r="L1525" s="1463"/>
      <c r="M1525" s="1464">
        <v>0</v>
      </c>
      <c r="N1525" s="1465">
        <v>1.5144300764243628</v>
      </c>
      <c r="O1525" s="1465"/>
    </row>
    <row r="1526" spans="11:15">
      <c r="K1526" s="1462">
        <v>43583</v>
      </c>
      <c r="L1526" s="1463"/>
      <c r="M1526" s="1464">
        <v>0</v>
      </c>
      <c r="N1526" s="1465">
        <v>1.5144300764243628</v>
      </c>
      <c r="O1526" s="1465"/>
    </row>
    <row r="1527" spans="11:15">
      <c r="K1527" s="1462">
        <v>43584</v>
      </c>
      <c r="L1527" s="1463" t="s">
        <v>2127</v>
      </c>
      <c r="M1527" s="1464">
        <v>2.462E-2</v>
      </c>
      <c r="N1527" s="1465">
        <v>1.5148029291091787</v>
      </c>
      <c r="O1527" s="1465"/>
    </row>
    <row r="1528" spans="11:15">
      <c r="K1528" s="1462">
        <v>43585</v>
      </c>
      <c r="L1528" s="1463" t="s">
        <v>2127</v>
      </c>
      <c r="M1528" s="1464">
        <v>2.462E-2</v>
      </c>
      <c r="N1528" s="1465">
        <v>1.5151758735903256</v>
      </c>
      <c r="O1528" s="1465"/>
    </row>
    <row r="1529" spans="11:15">
      <c r="K1529" s="1462">
        <v>43586</v>
      </c>
      <c r="L1529" s="1463"/>
      <c r="M1529" s="1464">
        <v>0</v>
      </c>
      <c r="N1529" s="1465">
        <v>1.5151758735903256</v>
      </c>
      <c r="O1529" s="1465"/>
    </row>
    <row r="1530" spans="11:15">
      <c r="K1530" s="1462">
        <v>43587</v>
      </c>
      <c r="L1530" s="1463" t="s">
        <v>2127</v>
      </c>
      <c r="M1530" s="1464">
        <v>2.462E-2</v>
      </c>
      <c r="N1530" s="1465">
        <v>1.5155489098904036</v>
      </c>
      <c r="O1530" s="1465"/>
    </row>
    <row r="1531" spans="11:15">
      <c r="K1531" s="1462">
        <v>43588</v>
      </c>
      <c r="L1531" s="1463" t="s">
        <v>2127</v>
      </c>
      <c r="M1531" s="1464">
        <v>2.462E-2</v>
      </c>
      <c r="N1531" s="1465">
        <v>1.5159220380320186</v>
      </c>
      <c r="O1531" s="1465"/>
    </row>
    <row r="1532" spans="11:15">
      <c r="K1532" s="1462">
        <v>43589</v>
      </c>
      <c r="L1532" s="1463"/>
      <c r="M1532" s="1464">
        <v>0</v>
      </c>
      <c r="N1532" s="1465">
        <v>1.5159220380320186</v>
      </c>
      <c r="O1532" s="1465"/>
    </row>
    <row r="1533" spans="11:15">
      <c r="K1533" s="1462">
        <v>43590</v>
      </c>
      <c r="L1533" s="1463"/>
      <c r="M1533" s="1464">
        <v>0</v>
      </c>
      <c r="N1533" s="1465">
        <v>1.5159220380320186</v>
      </c>
      <c r="O1533" s="1465"/>
    </row>
    <row r="1534" spans="11:15">
      <c r="K1534" s="1462">
        <v>43591</v>
      </c>
      <c r="L1534" s="1463" t="s">
        <v>2127</v>
      </c>
      <c r="M1534" s="1464">
        <v>2.462E-2</v>
      </c>
      <c r="N1534" s="1465">
        <v>1.5162952580377822</v>
      </c>
      <c r="O1534" s="1465"/>
    </row>
    <row r="1535" spans="11:15">
      <c r="K1535" s="1462">
        <v>43592</v>
      </c>
      <c r="L1535" s="1463" t="s">
        <v>2127</v>
      </c>
      <c r="M1535" s="1464">
        <v>2.462E-2</v>
      </c>
      <c r="N1535" s="1465">
        <v>1.5166685699303113</v>
      </c>
      <c r="O1535" s="1465"/>
    </row>
    <row r="1536" spans="11:15">
      <c r="K1536" s="1462">
        <v>43593</v>
      </c>
      <c r="L1536" s="1463" t="s">
        <v>2127</v>
      </c>
      <c r="M1536" s="1464">
        <v>2.462E-2</v>
      </c>
      <c r="N1536" s="1465">
        <v>1.5170419737322283</v>
      </c>
      <c r="O1536" s="1465"/>
    </row>
    <row r="1537" spans="11:15">
      <c r="K1537" s="1462">
        <v>43594</v>
      </c>
      <c r="L1537" s="1463" t="s">
        <v>2127</v>
      </c>
      <c r="M1537" s="1464">
        <v>2.462E-2</v>
      </c>
      <c r="N1537" s="1465">
        <v>1.5174154694661612</v>
      </c>
      <c r="O1537" s="1465"/>
    </row>
    <row r="1538" spans="11:15">
      <c r="K1538" s="1462">
        <v>43595</v>
      </c>
      <c r="L1538" s="1463" t="s">
        <v>2127</v>
      </c>
      <c r="M1538" s="1464">
        <v>2.462E-2</v>
      </c>
      <c r="N1538" s="1465">
        <v>1.5177890571547439</v>
      </c>
      <c r="O1538" s="1465"/>
    </row>
    <row r="1539" spans="11:15">
      <c r="K1539" s="1462">
        <v>43596</v>
      </c>
      <c r="L1539" s="1463"/>
      <c r="M1539" s="1464">
        <v>0</v>
      </c>
      <c r="N1539" s="1465">
        <v>1.5177890571547439</v>
      </c>
      <c r="O1539" s="1465"/>
    </row>
    <row r="1540" spans="11:15">
      <c r="K1540" s="1462">
        <v>43597</v>
      </c>
      <c r="L1540" s="1463"/>
      <c r="M1540" s="1464">
        <v>0</v>
      </c>
      <c r="N1540" s="1465">
        <v>1.5177890571547439</v>
      </c>
      <c r="O1540" s="1465"/>
    </row>
    <row r="1541" spans="11:15">
      <c r="K1541" s="1462">
        <v>43598</v>
      </c>
      <c r="L1541" s="1463" t="s">
        <v>2127</v>
      </c>
      <c r="M1541" s="1464">
        <v>2.462E-2</v>
      </c>
      <c r="N1541" s="1465">
        <v>1.5181627368206154</v>
      </c>
      <c r="O1541" s="1465"/>
    </row>
    <row r="1542" spans="11:15">
      <c r="K1542" s="1462">
        <v>43599</v>
      </c>
      <c r="L1542" s="1463" t="s">
        <v>2127</v>
      </c>
      <c r="M1542" s="1464">
        <v>2.462E-2</v>
      </c>
      <c r="N1542" s="1465">
        <v>1.5185365084864209</v>
      </c>
      <c r="O1542" s="1465"/>
    </row>
    <row r="1543" spans="11:15">
      <c r="K1543" s="1462">
        <v>43600</v>
      </c>
      <c r="L1543" s="1463" t="s">
        <v>2127</v>
      </c>
      <c r="M1543" s="1464">
        <v>2.462E-2</v>
      </c>
      <c r="N1543" s="1465">
        <v>1.5189103721748103</v>
      </c>
      <c r="O1543" s="1465"/>
    </row>
    <row r="1544" spans="11:15">
      <c r="K1544" s="1462">
        <v>43601</v>
      </c>
      <c r="L1544" s="1463" t="s">
        <v>2127</v>
      </c>
      <c r="M1544" s="1464">
        <v>2.462E-2</v>
      </c>
      <c r="N1544" s="1465">
        <v>1.5192843279084398</v>
      </c>
      <c r="O1544" s="1465"/>
    </row>
    <row r="1545" spans="11:15">
      <c r="K1545" s="1462">
        <v>43602</v>
      </c>
      <c r="L1545" s="1463" t="s">
        <v>2127</v>
      </c>
      <c r="M1545" s="1464">
        <v>2.462E-2</v>
      </c>
      <c r="N1545" s="1465">
        <v>1.5196583757099711</v>
      </c>
      <c r="O1545" s="1465"/>
    </row>
    <row r="1546" spans="11:15">
      <c r="K1546" s="1462">
        <v>43603</v>
      </c>
      <c r="L1546" s="1463"/>
      <c r="M1546" s="1464">
        <v>0</v>
      </c>
      <c r="N1546" s="1465">
        <v>1.5196583757099711</v>
      </c>
      <c r="O1546" s="1465"/>
    </row>
    <row r="1547" spans="11:15">
      <c r="K1547" s="1462">
        <v>43604</v>
      </c>
      <c r="L1547" s="1463"/>
      <c r="M1547" s="1464">
        <v>0</v>
      </c>
      <c r="N1547" s="1465">
        <v>1.5196583757099711</v>
      </c>
      <c r="O1547" s="1465"/>
    </row>
    <row r="1548" spans="11:15">
      <c r="K1548" s="1462">
        <v>43605</v>
      </c>
      <c r="L1548" s="1463" t="s">
        <v>2127</v>
      </c>
      <c r="M1548" s="1464">
        <v>2.462E-2</v>
      </c>
      <c r="N1548" s="1465">
        <v>1.5200325156020711</v>
      </c>
      <c r="O1548" s="1465"/>
    </row>
    <row r="1549" spans="11:15">
      <c r="K1549" s="1462">
        <v>43606</v>
      </c>
      <c r="L1549" s="1463" t="s">
        <v>2127</v>
      </c>
      <c r="M1549" s="1464">
        <v>2.462E-2</v>
      </c>
      <c r="N1549" s="1465">
        <v>1.5204067476074123</v>
      </c>
      <c r="O1549" s="1465"/>
    </row>
    <row r="1550" spans="11:15">
      <c r="K1550" s="1462">
        <v>43607</v>
      </c>
      <c r="L1550" s="1463" t="s">
        <v>2127</v>
      </c>
      <c r="M1550" s="1464">
        <v>2.462E-2</v>
      </c>
      <c r="N1550" s="1465">
        <v>1.5207810717486734</v>
      </c>
      <c r="O1550" s="1465"/>
    </row>
    <row r="1551" spans="11:15">
      <c r="K1551" s="1462">
        <v>43608</v>
      </c>
      <c r="L1551" s="1463" t="s">
        <v>2127</v>
      </c>
      <c r="M1551" s="1464">
        <v>2.462E-2</v>
      </c>
      <c r="N1551" s="1465">
        <v>1.5211554880485381</v>
      </c>
      <c r="O1551" s="1465"/>
    </row>
    <row r="1552" spans="11:15">
      <c r="K1552" s="1462">
        <v>43609</v>
      </c>
      <c r="L1552" s="1463" t="s">
        <v>2127</v>
      </c>
      <c r="M1552" s="1464">
        <v>2.462E-2</v>
      </c>
      <c r="N1552" s="1465">
        <v>1.5215299965296958</v>
      </c>
      <c r="O1552" s="1465"/>
    </row>
    <row r="1553" spans="11:15">
      <c r="K1553" s="1462">
        <v>43610</v>
      </c>
      <c r="L1553" s="1463"/>
      <c r="M1553" s="1464">
        <v>0</v>
      </c>
      <c r="N1553" s="1465">
        <v>1.5215299965296958</v>
      </c>
      <c r="O1553" s="1465"/>
    </row>
    <row r="1554" spans="11:15">
      <c r="K1554" s="1462">
        <v>43611</v>
      </c>
      <c r="L1554" s="1463"/>
      <c r="M1554" s="1464">
        <v>0</v>
      </c>
      <c r="N1554" s="1465">
        <v>1.5215299965296958</v>
      </c>
      <c r="O1554" s="1465"/>
    </row>
    <row r="1555" spans="11:15">
      <c r="K1555" s="1462">
        <v>43612</v>
      </c>
      <c r="L1555" s="1463" t="s">
        <v>2127</v>
      </c>
      <c r="M1555" s="1464">
        <v>2.462E-2</v>
      </c>
      <c r="N1555" s="1465">
        <v>1.5219045972148415</v>
      </c>
      <c r="O1555" s="1465"/>
    </row>
    <row r="1556" spans="11:15">
      <c r="K1556" s="1462">
        <v>43613</v>
      </c>
      <c r="L1556" s="1463" t="s">
        <v>2127</v>
      </c>
      <c r="M1556" s="1464">
        <v>2.462E-2</v>
      </c>
      <c r="N1556" s="1465">
        <v>1.522279290126676</v>
      </c>
      <c r="O1556" s="1465"/>
    </row>
    <row r="1557" spans="11:15">
      <c r="K1557" s="1462">
        <v>43614</v>
      </c>
      <c r="L1557" s="1463" t="s">
        <v>2127</v>
      </c>
      <c r="M1557" s="1464">
        <v>2.462E-2</v>
      </c>
      <c r="N1557" s="1465">
        <v>1.5226540752879052</v>
      </c>
      <c r="O1557" s="1465"/>
    </row>
    <row r="1558" spans="11:15">
      <c r="K1558" s="1462">
        <v>43615</v>
      </c>
      <c r="L1558" s="1463" t="s">
        <v>2127</v>
      </c>
      <c r="M1558" s="1464">
        <v>2.462E-2</v>
      </c>
      <c r="N1558" s="1465">
        <v>1.5230289527212413</v>
      </c>
      <c r="O1558" s="1465"/>
    </row>
    <row r="1559" spans="11:15">
      <c r="K1559" s="1462">
        <v>43616</v>
      </c>
      <c r="L1559" s="1463" t="s">
        <v>2127</v>
      </c>
      <c r="M1559" s="1464">
        <v>2.462E-2</v>
      </c>
      <c r="N1559" s="1465">
        <v>1.5234039224494014</v>
      </c>
      <c r="O1559" s="1465"/>
    </row>
    <row r="1560" spans="11:15">
      <c r="K1560" s="1462">
        <v>43617</v>
      </c>
      <c r="L1560" s="1463"/>
      <c r="M1560" s="1464">
        <v>0</v>
      </c>
      <c r="N1560" s="1465">
        <v>1.5234039224494014</v>
      </c>
      <c r="O1560" s="1465"/>
    </row>
    <row r="1561" spans="11:15">
      <c r="K1561" s="1462">
        <v>43618</v>
      </c>
      <c r="L1561" s="1463"/>
      <c r="M1561" s="1464">
        <v>0</v>
      </c>
      <c r="N1561" s="1465">
        <v>1.5234039224494014</v>
      </c>
      <c r="O1561" s="1465"/>
    </row>
    <row r="1562" spans="11:15">
      <c r="K1562" s="1462">
        <v>43619</v>
      </c>
      <c r="L1562" s="1463" t="s">
        <v>2127</v>
      </c>
      <c r="M1562" s="1464">
        <v>2.462E-2</v>
      </c>
      <c r="N1562" s="1465">
        <v>1.5237789844951086</v>
      </c>
      <c r="O1562" s="1465"/>
    </row>
    <row r="1563" spans="11:15">
      <c r="K1563" s="1462">
        <v>43620</v>
      </c>
      <c r="L1563" s="1463" t="s">
        <v>2127</v>
      </c>
      <c r="M1563" s="1464">
        <v>2.462E-2</v>
      </c>
      <c r="N1563" s="1465">
        <v>1.5241541388810915</v>
      </c>
      <c r="O1563" s="1465"/>
    </row>
    <row r="1564" spans="11:15">
      <c r="K1564" s="1462">
        <v>43621</v>
      </c>
      <c r="L1564" s="1463" t="s">
        <v>2127</v>
      </c>
      <c r="M1564" s="1464">
        <v>2.462E-2</v>
      </c>
      <c r="N1564" s="1465">
        <v>1.5245293856300841</v>
      </c>
      <c r="O1564" s="1465"/>
    </row>
    <row r="1565" spans="11:15">
      <c r="K1565" s="1462">
        <v>43622</v>
      </c>
      <c r="L1565" s="1463" t="s">
        <v>2127</v>
      </c>
      <c r="M1565" s="1464">
        <v>2.462E-2</v>
      </c>
      <c r="N1565" s="1465">
        <v>1.5249047247648264</v>
      </c>
      <c r="O1565" s="1465"/>
    </row>
    <row r="1566" spans="11:15">
      <c r="K1566" s="1462">
        <v>43623</v>
      </c>
      <c r="L1566" s="1463" t="s">
        <v>2127</v>
      </c>
      <c r="M1566" s="1464">
        <v>2.462E-2</v>
      </c>
      <c r="N1566" s="1465">
        <v>1.5252801563080636</v>
      </c>
      <c r="O1566" s="1465"/>
    </row>
    <row r="1567" spans="11:15">
      <c r="K1567" s="1462">
        <v>43624</v>
      </c>
      <c r="L1567" s="1463"/>
      <c r="M1567" s="1464">
        <v>0</v>
      </c>
      <c r="N1567" s="1465">
        <v>1.5252801563080636</v>
      </c>
      <c r="O1567" s="1465"/>
    </row>
    <row r="1568" spans="11:15">
      <c r="K1568" s="1462">
        <v>43625</v>
      </c>
      <c r="L1568" s="1463"/>
      <c r="M1568" s="1464">
        <v>0</v>
      </c>
      <c r="N1568" s="1465">
        <v>1.5252801563080636</v>
      </c>
      <c r="O1568" s="1465"/>
    </row>
    <row r="1569" spans="11:15">
      <c r="K1569" s="1462">
        <v>43626</v>
      </c>
      <c r="L1569" s="1463" t="s">
        <v>2127</v>
      </c>
      <c r="M1569" s="1464">
        <v>2.462E-2</v>
      </c>
      <c r="N1569" s="1465">
        <v>1.5256556802825467</v>
      </c>
      <c r="O1569" s="1465"/>
    </row>
    <row r="1570" spans="11:15">
      <c r="K1570" s="1462">
        <v>43627</v>
      </c>
      <c r="L1570" s="1463" t="s">
        <v>2127</v>
      </c>
      <c r="M1570" s="1464">
        <v>2.462E-2</v>
      </c>
      <c r="N1570" s="1465">
        <v>1.5260312967110323</v>
      </c>
      <c r="O1570" s="1465"/>
    </row>
    <row r="1571" spans="11:15">
      <c r="K1571" s="1462">
        <v>43628</v>
      </c>
      <c r="L1571" s="1463" t="s">
        <v>2127</v>
      </c>
      <c r="M1571" s="1464">
        <v>2.462E-2</v>
      </c>
      <c r="N1571" s="1465">
        <v>1.5264070056162826</v>
      </c>
      <c r="O1571" s="1465"/>
    </row>
    <row r="1572" spans="11:15">
      <c r="K1572" s="1462">
        <v>43629</v>
      </c>
      <c r="L1572" s="1463" t="s">
        <v>2127</v>
      </c>
      <c r="M1572" s="1464">
        <v>2.462E-2</v>
      </c>
      <c r="N1572" s="1465">
        <v>1.5267828070210654</v>
      </c>
      <c r="O1572" s="1465"/>
    </row>
    <row r="1573" spans="11:15">
      <c r="K1573" s="1462">
        <v>43630</v>
      </c>
      <c r="L1573" s="1463" t="s">
        <v>2127</v>
      </c>
      <c r="M1573" s="1464">
        <v>2.462E-2</v>
      </c>
      <c r="N1573" s="1465">
        <v>1.5271587009481542</v>
      </c>
      <c r="O1573" s="1465"/>
    </row>
    <row r="1574" spans="11:15">
      <c r="K1574" s="1462">
        <v>43631</v>
      </c>
      <c r="L1574" s="1463"/>
      <c r="M1574" s="1464">
        <v>0</v>
      </c>
      <c r="N1574" s="1465">
        <v>1.5271587009481542</v>
      </c>
      <c r="O1574" s="1465"/>
    </row>
    <row r="1575" spans="11:15">
      <c r="K1575" s="1462">
        <v>43632</v>
      </c>
      <c r="L1575" s="1463"/>
      <c r="M1575" s="1464">
        <v>0</v>
      </c>
      <c r="N1575" s="1465">
        <v>1.5271587009481542</v>
      </c>
      <c r="O1575" s="1465"/>
    </row>
    <row r="1576" spans="11:15">
      <c r="K1576" s="1462">
        <v>43633</v>
      </c>
      <c r="L1576" s="1463" t="s">
        <v>2127</v>
      </c>
      <c r="M1576" s="1464">
        <v>2.462E-2</v>
      </c>
      <c r="N1576" s="1465">
        <v>1.5275346874203277</v>
      </c>
      <c r="O1576" s="1465"/>
    </row>
    <row r="1577" spans="11:15">
      <c r="K1577" s="1462">
        <v>43634</v>
      </c>
      <c r="L1577" s="1463" t="s">
        <v>2127</v>
      </c>
      <c r="M1577" s="1464">
        <v>2.462E-2</v>
      </c>
      <c r="N1577" s="1465">
        <v>1.5279107664603708</v>
      </c>
      <c r="O1577" s="1465"/>
    </row>
    <row r="1578" spans="11:15">
      <c r="K1578" s="1462">
        <v>43635</v>
      </c>
      <c r="L1578" s="1463" t="s">
        <v>2127</v>
      </c>
      <c r="M1578" s="1464">
        <v>2.462E-2</v>
      </c>
      <c r="N1578" s="1465">
        <v>1.5282869380910735</v>
      </c>
      <c r="O1578" s="1465"/>
    </row>
    <row r="1579" spans="11:15">
      <c r="K1579" s="1462">
        <v>43636</v>
      </c>
      <c r="L1579" s="1463"/>
      <c r="M1579" s="1464">
        <v>0</v>
      </c>
      <c r="N1579" s="1465">
        <v>1.5282869380910735</v>
      </c>
      <c r="O1579" s="1465"/>
    </row>
    <row r="1580" spans="11:15">
      <c r="K1580" s="1462">
        <v>43637</v>
      </c>
      <c r="L1580" s="1463" t="s">
        <v>2127</v>
      </c>
      <c r="M1580" s="1464">
        <v>2.462E-2</v>
      </c>
      <c r="N1580" s="1465">
        <v>1.5286632023352316</v>
      </c>
      <c r="O1580" s="1465"/>
    </row>
    <row r="1581" spans="11:15">
      <c r="K1581" s="1462">
        <v>43638</v>
      </c>
      <c r="L1581" s="1463"/>
      <c r="M1581" s="1464">
        <v>0</v>
      </c>
      <c r="N1581" s="1465">
        <v>1.5286632023352316</v>
      </c>
      <c r="O1581" s="1465"/>
    </row>
    <row r="1582" spans="11:15">
      <c r="K1582" s="1462">
        <v>43639</v>
      </c>
      <c r="L1582" s="1463"/>
      <c r="M1582" s="1464">
        <v>0</v>
      </c>
      <c r="N1582" s="1465">
        <v>1.5286632023352316</v>
      </c>
      <c r="O1582" s="1465"/>
    </row>
    <row r="1583" spans="11:15">
      <c r="K1583" s="1462">
        <v>43640</v>
      </c>
      <c r="L1583" s="1463" t="s">
        <v>2127</v>
      </c>
      <c r="M1583" s="1464">
        <v>2.462E-2</v>
      </c>
      <c r="N1583" s="1465">
        <v>1.5290395592156467</v>
      </c>
      <c r="O1583" s="1465"/>
    </row>
    <row r="1584" spans="11:15">
      <c r="K1584" s="1462">
        <v>43641</v>
      </c>
      <c r="L1584" s="1463" t="s">
        <v>2127</v>
      </c>
      <c r="M1584" s="1464">
        <v>2.462E-2</v>
      </c>
      <c r="N1584" s="1465">
        <v>1.5294160087551258</v>
      </c>
      <c r="O1584" s="1465"/>
    </row>
    <row r="1585" spans="11:15">
      <c r="K1585" s="1462">
        <v>43642</v>
      </c>
      <c r="L1585" s="1463" t="s">
        <v>2127</v>
      </c>
      <c r="M1585" s="1464">
        <v>2.462E-2</v>
      </c>
      <c r="N1585" s="1465">
        <v>1.5297925509764816</v>
      </c>
      <c r="O1585" s="1465"/>
    </row>
    <row r="1586" spans="11:15">
      <c r="K1586" s="1462">
        <v>43643</v>
      </c>
      <c r="L1586" s="1463" t="s">
        <v>2127</v>
      </c>
      <c r="M1586" s="1464">
        <v>2.462E-2</v>
      </c>
      <c r="N1586" s="1465">
        <v>1.5301691859025321</v>
      </c>
      <c r="O1586" s="1465"/>
    </row>
    <row r="1587" spans="11:15">
      <c r="K1587" s="1462">
        <v>43644</v>
      </c>
      <c r="L1587" s="1463" t="s">
        <v>2127</v>
      </c>
      <c r="M1587" s="1464">
        <v>2.462E-2</v>
      </c>
      <c r="N1587" s="1465">
        <v>1.5305459135561015</v>
      </c>
      <c r="O1587" s="1465"/>
    </row>
    <row r="1588" spans="11:15">
      <c r="K1588" s="1462">
        <v>43645</v>
      </c>
      <c r="L1588" s="1463"/>
      <c r="M1588" s="1464">
        <v>0</v>
      </c>
      <c r="N1588" s="1465">
        <v>1.5305459135561015</v>
      </c>
      <c r="O1588" s="1465"/>
    </row>
    <row r="1589" spans="11:15">
      <c r="K1589" s="1462">
        <v>43646</v>
      </c>
      <c r="L1589" s="1463"/>
      <c r="M1589" s="1464">
        <v>0</v>
      </c>
      <c r="N1589" s="1465">
        <v>1.5305459135561015</v>
      </c>
      <c r="O1589" s="1465"/>
    </row>
    <row r="1590" spans="11:15">
      <c r="K1590" s="1462">
        <v>43647</v>
      </c>
      <c r="L1590" s="1463" t="s">
        <v>2127</v>
      </c>
      <c r="M1590" s="1464">
        <v>2.462E-2</v>
      </c>
      <c r="N1590" s="1465">
        <v>1.5309227339600191</v>
      </c>
      <c r="O1590" s="1465"/>
    </row>
    <row r="1591" spans="11:15">
      <c r="K1591" s="1462">
        <v>43648</v>
      </c>
      <c r="L1591" s="1463" t="s">
        <v>2127</v>
      </c>
      <c r="M1591" s="1464">
        <v>2.462E-2</v>
      </c>
      <c r="N1591" s="1465">
        <v>1.5312996471371201</v>
      </c>
      <c r="O1591" s="1465"/>
    </row>
    <row r="1592" spans="11:15">
      <c r="K1592" s="1462">
        <v>43649</v>
      </c>
      <c r="L1592" s="1463" t="s">
        <v>2127</v>
      </c>
      <c r="M1592" s="1464">
        <v>2.462E-2</v>
      </c>
      <c r="N1592" s="1465">
        <v>1.5316766531102455</v>
      </c>
      <c r="O1592" s="1465"/>
    </row>
    <row r="1593" spans="11:15">
      <c r="K1593" s="1462">
        <v>43650</v>
      </c>
      <c r="L1593" s="1463" t="s">
        <v>2127</v>
      </c>
      <c r="M1593" s="1464">
        <v>2.462E-2</v>
      </c>
      <c r="N1593" s="1465">
        <v>1.5320537519022412</v>
      </c>
      <c r="O1593" s="1465"/>
    </row>
    <row r="1594" spans="11:15">
      <c r="K1594" s="1462">
        <v>43651</v>
      </c>
      <c r="L1594" s="1463" t="s">
        <v>2127</v>
      </c>
      <c r="M1594" s="1464">
        <v>2.462E-2</v>
      </c>
      <c r="N1594" s="1465">
        <v>1.5324309435359598</v>
      </c>
      <c r="O1594" s="1465"/>
    </row>
    <row r="1595" spans="11:15">
      <c r="K1595" s="1462">
        <v>43652</v>
      </c>
      <c r="L1595" s="1463"/>
      <c r="M1595" s="1464">
        <v>0</v>
      </c>
      <c r="N1595" s="1465">
        <v>1.5324309435359598</v>
      </c>
      <c r="O1595" s="1465"/>
    </row>
    <row r="1596" spans="11:15">
      <c r="K1596" s="1462">
        <v>43653</v>
      </c>
      <c r="L1596" s="1463"/>
      <c r="M1596" s="1464">
        <v>0</v>
      </c>
      <c r="N1596" s="1465">
        <v>1.5324309435359598</v>
      </c>
      <c r="O1596" s="1465"/>
    </row>
    <row r="1597" spans="11:15">
      <c r="K1597" s="1462">
        <v>43654</v>
      </c>
      <c r="L1597" s="1463" t="s">
        <v>2127</v>
      </c>
      <c r="M1597" s="1464">
        <v>2.462E-2</v>
      </c>
      <c r="N1597" s="1465">
        <v>1.5328082280342585</v>
      </c>
      <c r="O1597" s="1465"/>
    </row>
    <row r="1598" spans="11:15">
      <c r="K1598" s="1462">
        <v>43655</v>
      </c>
      <c r="L1598" s="1463" t="s">
        <v>2127</v>
      </c>
      <c r="M1598" s="1464">
        <v>2.462E-2</v>
      </c>
      <c r="N1598" s="1465">
        <v>1.5331856054200006</v>
      </c>
      <c r="O1598" s="1465"/>
    </row>
    <row r="1599" spans="11:15">
      <c r="K1599" s="1462">
        <v>43656</v>
      </c>
      <c r="L1599" s="1463" t="s">
        <v>2127</v>
      </c>
      <c r="M1599" s="1464">
        <v>2.462E-2</v>
      </c>
      <c r="N1599" s="1465">
        <v>1.5335630757160552</v>
      </c>
      <c r="O1599" s="1465"/>
    </row>
    <row r="1600" spans="11:15">
      <c r="K1600" s="1462">
        <v>43657</v>
      </c>
      <c r="L1600" s="1463" t="s">
        <v>2127</v>
      </c>
      <c r="M1600" s="1464">
        <v>2.462E-2</v>
      </c>
      <c r="N1600" s="1465">
        <v>1.5339406389452965</v>
      </c>
      <c r="O1600" s="1465"/>
    </row>
    <row r="1601" spans="11:15">
      <c r="K1601" s="1462">
        <v>43658</v>
      </c>
      <c r="L1601" s="1463" t="s">
        <v>2127</v>
      </c>
      <c r="M1601" s="1464">
        <v>2.462E-2</v>
      </c>
      <c r="N1601" s="1465">
        <v>1.5343182951306049</v>
      </c>
      <c r="O1601" s="1465"/>
    </row>
    <row r="1602" spans="11:15">
      <c r="K1602" s="1462">
        <v>43659</v>
      </c>
      <c r="L1602" s="1463"/>
      <c r="M1602" s="1464">
        <v>0</v>
      </c>
      <c r="N1602" s="1465">
        <v>1.5343182951306049</v>
      </c>
      <c r="O1602" s="1465"/>
    </row>
    <row r="1603" spans="11:15">
      <c r="K1603" s="1462">
        <v>43660</v>
      </c>
      <c r="L1603" s="1463"/>
      <c r="M1603" s="1464">
        <v>0</v>
      </c>
      <c r="N1603" s="1465">
        <v>1.5343182951306049</v>
      </c>
      <c r="O1603" s="1465"/>
    </row>
    <row r="1604" spans="11:15">
      <c r="K1604" s="1462">
        <v>43661</v>
      </c>
      <c r="L1604" s="1463" t="s">
        <v>2127</v>
      </c>
      <c r="M1604" s="1464">
        <v>2.462E-2</v>
      </c>
      <c r="N1604" s="1465">
        <v>1.5346960442948663</v>
      </c>
      <c r="O1604" s="1465"/>
    </row>
    <row r="1605" spans="11:15">
      <c r="K1605" s="1462">
        <v>43662</v>
      </c>
      <c r="L1605" s="1463" t="s">
        <v>2127</v>
      </c>
      <c r="M1605" s="1464">
        <v>2.462E-2</v>
      </c>
      <c r="N1605" s="1465">
        <v>1.5350738864609719</v>
      </c>
      <c r="O1605" s="1465"/>
    </row>
    <row r="1606" spans="11:15">
      <c r="K1606" s="1462">
        <v>43663</v>
      </c>
      <c r="L1606" s="1463" t="s">
        <v>2127</v>
      </c>
      <c r="M1606" s="1464">
        <v>2.462E-2</v>
      </c>
      <c r="N1606" s="1465">
        <v>1.5354518216518187</v>
      </c>
      <c r="O1606" s="1465"/>
    </row>
    <row r="1607" spans="11:15">
      <c r="K1607" s="1462">
        <v>43664</v>
      </c>
      <c r="L1607" s="1463" t="s">
        <v>2127</v>
      </c>
      <c r="M1607" s="1464">
        <v>2.462E-2</v>
      </c>
      <c r="N1607" s="1465">
        <v>1.5358298498903096</v>
      </c>
      <c r="O1607" s="1465"/>
    </row>
    <row r="1608" spans="11:15">
      <c r="K1608" s="1462">
        <v>43665</v>
      </c>
      <c r="L1608" s="1463" t="s">
        <v>2127</v>
      </c>
      <c r="M1608" s="1464">
        <v>2.462E-2</v>
      </c>
      <c r="N1608" s="1465">
        <v>1.5362079711993526</v>
      </c>
      <c r="O1608" s="1465"/>
    </row>
    <row r="1609" spans="11:15">
      <c r="K1609" s="1462">
        <v>43666</v>
      </c>
      <c r="L1609" s="1463"/>
      <c r="M1609" s="1464">
        <v>0</v>
      </c>
      <c r="N1609" s="1465">
        <v>1.5362079711993526</v>
      </c>
      <c r="O1609" s="1465"/>
    </row>
    <row r="1610" spans="11:15">
      <c r="K1610" s="1462">
        <v>43667</v>
      </c>
      <c r="L1610" s="1463"/>
      <c r="M1610" s="1464">
        <v>0</v>
      </c>
      <c r="N1610" s="1465">
        <v>1.5362079711993526</v>
      </c>
      <c r="O1610" s="1465"/>
    </row>
    <row r="1611" spans="11:15">
      <c r="K1611" s="1462">
        <v>43668</v>
      </c>
      <c r="L1611" s="1463" t="s">
        <v>2127</v>
      </c>
      <c r="M1611" s="1464">
        <v>2.462E-2</v>
      </c>
      <c r="N1611" s="1465">
        <v>1.5365861856018621</v>
      </c>
      <c r="O1611" s="1465"/>
    </row>
    <row r="1612" spans="11:15">
      <c r="K1612" s="1462">
        <v>43669</v>
      </c>
      <c r="L1612" s="1463" t="s">
        <v>2127</v>
      </c>
      <c r="M1612" s="1464">
        <v>2.462E-2</v>
      </c>
      <c r="N1612" s="1465">
        <v>1.5369644931207573</v>
      </c>
      <c r="O1612" s="1465"/>
    </row>
    <row r="1613" spans="11:15">
      <c r="K1613" s="1462">
        <v>43670</v>
      </c>
      <c r="L1613" s="1463" t="s">
        <v>2127</v>
      </c>
      <c r="M1613" s="1464">
        <v>2.462E-2</v>
      </c>
      <c r="N1613" s="1465">
        <v>1.5373428937789637</v>
      </c>
      <c r="O1613" s="1465"/>
    </row>
    <row r="1614" spans="11:15">
      <c r="K1614" s="1462">
        <v>43671</v>
      </c>
      <c r="L1614" s="1463" t="s">
        <v>2127</v>
      </c>
      <c r="M1614" s="1464">
        <v>2.462E-2</v>
      </c>
      <c r="N1614" s="1465">
        <v>1.5377213875994122</v>
      </c>
      <c r="O1614" s="1465"/>
    </row>
    <row r="1615" spans="11:15">
      <c r="K1615" s="1462">
        <v>43672</v>
      </c>
      <c r="L1615" s="1463" t="s">
        <v>2127</v>
      </c>
      <c r="M1615" s="1464">
        <v>2.462E-2</v>
      </c>
      <c r="N1615" s="1465">
        <v>1.5380999746050394</v>
      </c>
      <c r="O1615" s="1465"/>
    </row>
    <row r="1616" spans="11:15">
      <c r="K1616" s="1462">
        <v>43673</v>
      </c>
      <c r="L1616" s="1463"/>
      <c r="M1616" s="1464">
        <v>0</v>
      </c>
      <c r="N1616" s="1465">
        <v>1.5380999746050394</v>
      </c>
      <c r="O1616" s="1465"/>
    </row>
    <row r="1617" spans="11:15">
      <c r="K1617" s="1462">
        <v>43674</v>
      </c>
      <c r="L1617" s="1463"/>
      <c r="M1617" s="1464">
        <v>0</v>
      </c>
      <c r="N1617" s="1465">
        <v>1.5380999746050394</v>
      </c>
      <c r="O1617" s="1465"/>
    </row>
    <row r="1618" spans="11:15">
      <c r="K1618" s="1462">
        <v>43675</v>
      </c>
      <c r="L1618" s="1463" t="s">
        <v>2127</v>
      </c>
      <c r="M1618" s="1464">
        <v>2.462E-2</v>
      </c>
      <c r="N1618" s="1465">
        <v>1.5384786548187874</v>
      </c>
      <c r="O1618" s="1465"/>
    </row>
    <row r="1619" spans="11:15">
      <c r="K1619" s="1462">
        <v>43676</v>
      </c>
      <c r="L1619" s="1463" t="s">
        <v>2127</v>
      </c>
      <c r="M1619" s="1464">
        <v>2.462E-2</v>
      </c>
      <c r="N1619" s="1465">
        <v>1.5388574282636041</v>
      </c>
      <c r="O1619" s="1465"/>
    </row>
    <row r="1620" spans="11:15">
      <c r="K1620" s="1462">
        <v>43677</v>
      </c>
      <c r="L1620" s="1463" t="s">
        <v>2127</v>
      </c>
      <c r="M1620" s="1464">
        <v>2.462E-2</v>
      </c>
      <c r="N1620" s="1465">
        <v>1.5392362949624427</v>
      </c>
      <c r="O1620" s="1465"/>
    </row>
    <row r="1621" spans="11:15">
      <c r="K1621" s="1462">
        <v>43678</v>
      </c>
      <c r="L1621" s="1463" t="s">
        <v>2127</v>
      </c>
      <c r="M1621" s="1464">
        <v>2.2751E-2</v>
      </c>
      <c r="N1621" s="1465">
        <v>1.5395864866119096</v>
      </c>
      <c r="O1621" s="1465"/>
    </row>
    <row r="1622" spans="11:15">
      <c r="K1622" s="1462">
        <v>43679</v>
      </c>
      <c r="L1622" s="1463" t="s">
        <v>2127</v>
      </c>
      <c r="M1622" s="1464">
        <v>2.2751E-2</v>
      </c>
      <c r="N1622" s="1465">
        <v>1.5399367579334786</v>
      </c>
      <c r="O1622" s="1465"/>
    </row>
    <row r="1623" spans="11:15">
      <c r="K1623" s="1462">
        <v>43680</v>
      </c>
      <c r="L1623" s="1463"/>
      <c r="M1623" s="1464">
        <v>0</v>
      </c>
      <c r="N1623" s="1465">
        <v>1.5399367579334786</v>
      </c>
      <c r="O1623" s="1465"/>
    </row>
    <row r="1624" spans="11:15">
      <c r="K1624" s="1462">
        <v>43681</v>
      </c>
      <c r="L1624" s="1463"/>
      <c r="M1624" s="1464">
        <v>0</v>
      </c>
      <c r="N1624" s="1465">
        <v>1.5399367579334786</v>
      </c>
      <c r="O1624" s="1465"/>
    </row>
    <row r="1625" spans="11:15">
      <c r="K1625" s="1462">
        <v>43682</v>
      </c>
      <c r="L1625" s="1463" t="s">
        <v>2127</v>
      </c>
      <c r="M1625" s="1464">
        <v>2.2751E-2</v>
      </c>
      <c r="N1625" s="1465">
        <v>1.5402871089452761</v>
      </c>
      <c r="O1625" s="1465"/>
    </row>
    <row r="1626" spans="11:15">
      <c r="K1626" s="1462">
        <v>43683</v>
      </c>
      <c r="L1626" s="1463" t="s">
        <v>2127</v>
      </c>
      <c r="M1626" s="1464">
        <v>2.2751E-2</v>
      </c>
      <c r="N1626" s="1465">
        <v>1.5406375396654322</v>
      </c>
      <c r="O1626" s="1465"/>
    </row>
    <row r="1627" spans="11:15">
      <c r="K1627" s="1462">
        <v>43684</v>
      </c>
      <c r="L1627" s="1463" t="s">
        <v>2127</v>
      </c>
      <c r="M1627" s="1464">
        <v>2.2751E-2</v>
      </c>
      <c r="N1627" s="1465">
        <v>1.5409880501120814</v>
      </c>
      <c r="O1627" s="1465"/>
    </row>
    <row r="1628" spans="11:15">
      <c r="K1628" s="1462">
        <v>43685</v>
      </c>
      <c r="L1628" s="1463" t="s">
        <v>2127</v>
      </c>
      <c r="M1628" s="1464">
        <v>2.2751E-2</v>
      </c>
      <c r="N1628" s="1465">
        <v>1.5413386403033624</v>
      </c>
      <c r="O1628" s="1465"/>
    </row>
    <row r="1629" spans="11:15">
      <c r="K1629" s="1462">
        <v>43686</v>
      </c>
      <c r="L1629" s="1463" t="s">
        <v>2127</v>
      </c>
      <c r="M1629" s="1464">
        <v>2.2751E-2</v>
      </c>
      <c r="N1629" s="1465">
        <v>1.5416893102574178</v>
      </c>
      <c r="O1629" s="1465"/>
    </row>
    <row r="1630" spans="11:15">
      <c r="K1630" s="1462">
        <v>43687</v>
      </c>
      <c r="L1630" s="1463"/>
      <c r="M1630" s="1464">
        <v>0</v>
      </c>
      <c r="N1630" s="1465">
        <v>1.5416893102574178</v>
      </c>
      <c r="O1630" s="1465"/>
    </row>
    <row r="1631" spans="11:15">
      <c r="K1631" s="1462">
        <v>43688</v>
      </c>
      <c r="L1631" s="1463"/>
      <c r="M1631" s="1464">
        <v>0</v>
      </c>
      <c r="N1631" s="1465">
        <v>1.5416893102574178</v>
      </c>
      <c r="O1631" s="1465"/>
    </row>
    <row r="1632" spans="11:15">
      <c r="K1632" s="1462">
        <v>43689</v>
      </c>
      <c r="L1632" s="1463" t="s">
        <v>2127</v>
      </c>
      <c r="M1632" s="1464">
        <v>2.2751E-2</v>
      </c>
      <c r="N1632" s="1465">
        <v>1.5420400599923945</v>
      </c>
      <c r="O1632" s="1465"/>
    </row>
    <row r="1633" spans="11:15">
      <c r="K1633" s="1462">
        <v>43690</v>
      </c>
      <c r="L1633" s="1463" t="s">
        <v>2127</v>
      </c>
      <c r="M1633" s="1464">
        <v>2.2751E-2</v>
      </c>
      <c r="N1633" s="1465">
        <v>1.5423908895264433</v>
      </c>
      <c r="O1633" s="1465"/>
    </row>
    <row r="1634" spans="11:15">
      <c r="K1634" s="1462">
        <v>43691</v>
      </c>
      <c r="L1634" s="1463" t="s">
        <v>2127</v>
      </c>
      <c r="M1634" s="1464">
        <v>2.2751E-2</v>
      </c>
      <c r="N1634" s="1465">
        <v>1.5427417988777195</v>
      </c>
      <c r="O1634" s="1465"/>
    </row>
    <row r="1635" spans="11:15">
      <c r="K1635" s="1462">
        <v>43692</v>
      </c>
      <c r="L1635" s="1463" t="s">
        <v>2127</v>
      </c>
      <c r="M1635" s="1464">
        <v>2.2751E-2</v>
      </c>
      <c r="N1635" s="1465">
        <v>1.5430927880643821</v>
      </c>
      <c r="O1635" s="1465"/>
    </row>
    <row r="1636" spans="11:15">
      <c r="K1636" s="1462">
        <v>43693</v>
      </c>
      <c r="L1636" s="1463" t="s">
        <v>2127</v>
      </c>
      <c r="M1636" s="1464">
        <v>2.2751E-2</v>
      </c>
      <c r="N1636" s="1465">
        <v>1.5434438571045945</v>
      </c>
      <c r="O1636" s="1465"/>
    </row>
    <row r="1637" spans="11:15">
      <c r="K1637" s="1462">
        <v>43694</v>
      </c>
      <c r="L1637" s="1463"/>
      <c r="M1637" s="1464">
        <v>0</v>
      </c>
      <c r="N1637" s="1465">
        <v>1.5434438571045945</v>
      </c>
      <c r="O1637" s="1465"/>
    </row>
    <row r="1638" spans="11:15">
      <c r="K1638" s="1462">
        <v>43695</v>
      </c>
      <c r="L1638" s="1463"/>
      <c r="M1638" s="1464">
        <v>0</v>
      </c>
      <c r="N1638" s="1465">
        <v>1.5434438571045945</v>
      </c>
      <c r="O1638" s="1465"/>
    </row>
    <row r="1639" spans="11:15">
      <c r="K1639" s="1462">
        <v>43696</v>
      </c>
      <c r="L1639" s="1463" t="s">
        <v>2127</v>
      </c>
      <c r="M1639" s="1464">
        <v>2.2751E-2</v>
      </c>
      <c r="N1639" s="1465">
        <v>1.5437950060165244</v>
      </c>
      <c r="O1639" s="1465"/>
    </row>
    <row r="1640" spans="11:15">
      <c r="K1640" s="1462">
        <v>43697</v>
      </c>
      <c r="L1640" s="1463" t="s">
        <v>2127</v>
      </c>
      <c r="M1640" s="1464">
        <v>2.2751E-2</v>
      </c>
      <c r="N1640" s="1465">
        <v>1.5441462348183432</v>
      </c>
      <c r="O1640" s="1465"/>
    </row>
    <row r="1641" spans="11:15">
      <c r="K1641" s="1462">
        <v>43698</v>
      </c>
      <c r="L1641" s="1463" t="s">
        <v>2127</v>
      </c>
      <c r="M1641" s="1464">
        <v>2.2751E-2</v>
      </c>
      <c r="N1641" s="1465">
        <v>1.5444975435282267</v>
      </c>
      <c r="O1641" s="1465"/>
    </row>
    <row r="1642" spans="11:15">
      <c r="K1642" s="1462">
        <v>43699</v>
      </c>
      <c r="L1642" s="1463" t="s">
        <v>2127</v>
      </c>
      <c r="M1642" s="1464">
        <v>2.2751E-2</v>
      </c>
      <c r="N1642" s="1465">
        <v>1.5448489321643548</v>
      </c>
      <c r="O1642" s="1465"/>
    </row>
    <row r="1643" spans="11:15">
      <c r="K1643" s="1462">
        <v>43700</v>
      </c>
      <c r="L1643" s="1463" t="s">
        <v>2127</v>
      </c>
      <c r="M1643" s="1464">
        <v>2.2751E-2</v>
      </c>
      <c r="N1643" s="1465">
        <v>1.5452004007449116</v>
      </c>
      <c r="O1643" s="1465"/>
    </row>
    <row r="1644" spans="11:15">
      <c r="K1644" s="1462">
        <v>43701</v>
      </c>
      <c r="L1644" s="1463"/>
      <c r="M1644" s="1464">
        <v>0</v>
      </c>
      <c r="N1644" s="1465">
        <v>1.5452004007449116</v>
      </c>
      <c r="O1644" s="1465"/>
    </row>
    <row r="1645" spans="11:15">
      <c r="K1645" s="1462">
        <v>43702</v>
      </c>
      <c r="L1645" s="1463"/>
      <c r="M1645" s="1464">
        <v>0</v>
      </c>
      <c r="N1645" s="1465">
        <v>1.5452004007449116</v>
      </c>
      <c r="O1645" s="1465"/>
    </row>
    <row r="1646" spans="11:15">
      <c r="K1646" s="1462">
        <v>43703</v>
      </c>
      <c r="L1646" s="1463" t="s">
        <v>2127</v>
      </c>
      <c r="M1646" s="1464">
        <v>2.2751E-2</v>
      </c>
      <c r="N1646" s="1465">
        <v>1.5455519492880851</v>
      </c>
      <c r="O1646" s="1465"/>
    </row>
    <row r="1647" spans="11:15">
      <c r="K1647" s="1462">
        <v>43704</v>
      </c>
      <c r="L1647" s="1463" t="s">
        <v>2127</v>
      </c>
      <c r="M1647" s="1464">
        <v>2.2751E-2</v>
      </c>
      <c r="N1647" s="1465">
        <v>1.5459035778120676</v>
      </c>
      <c r="O1647" s="1465"/>
    </row>
    <row r="1648" spans="11:15">
      <c r="K1648" s="1462">
        <v>43705</v>
      </c>
      <c r="L1648" s="1463" t="s">
        <v>2127</v>
      </c>
      <c r="M1648" s="1464">
        <v>2.2751E-2</v>
      </c>
      <c r="N1648" s="1465">
        <v>1.5462552863350556</v>
      </c>
      <c r="O1648" s="1465"/>
    </row>
    <row r="1649" spans="11:15">
      <c r="K1649" s="1462">
        <v>43706</v>
      </c>
      <c r="L1649" s="1463" t="s">
        <v>2127</v>
      </c>
      <c r="M1649" s="1464">
        <v>2.2751E-2</v>
      </c>
      <c r="N1649" s="1465">
        <v>1.5466070748752496</v>
      </c>
      <c r="O1649" s="1465"/>
    </row>
    <row r="1650" spans="11:15">
      <c r="K1650" s="1462">
        <v>43707</v>
      </c>
      <c r="L1650" s="1463" t="s">
        <v>2127</v>
      </c>
      <c r="M1650" s="1464">
        <v>2.2751E-2</v>
      </c>
      <c r="N1650" s="1465">
        <v>1.5469589434508544</v>
      </c>
      <c r="O1650" s="1465"/>
    </row>
    <row r="1651" spans="11:15">
      <c r="K1651" s="1462">
        <v>43708</v>
      </c>
      <c r="L1651" s="1463"/>
      <c r="M1651" s="1464">
        <v>0</v>
      </c>
      <c r="N1651" s="1465">
        <v>1.5469589434508544</v>
      </c>
      <c r="O1651" s="1465"/>
    </row>
    <row r="1652" spans="11:15">
      <c r="K1652" s="1462">
        <v>43709</v>
      </c>
      <c r="L1652" s="1463"/>
      <c r="M1652" s="1464">
        <v>0</v>
      </c>
      <c r="N1652" s="1465">
        <v>1.5469589434508544</v>
      </c>
      <c r="O1652" s="1465"/>
    </row>
    <row r="1653" spans="11:15">
      <c r="K1653" s="1462">
        <v>43710</v>
      </c>
      <c r="L1653" s="1463" t="s">
        <v>2127</v>
      </c>
      <c r="M1653" s="1464">
        <v>2.2751E-2</v>
      </c>
      <c r="N1653" s="1465">
        <v>1.5473108920800789</v>
      </c>
      <c r="O1653" s="1465"/>
    </row>
    <row r="1654" spans="11:15">
      <c r="K1654" s="1462">
        <v>43711</v>
      </c>
      <c r="L1654" s="1463" t="s">
        <v>2127</v>
      </c>
      <c r="M1654" s="1464">
        <v>2.2751E-2</v>
      </c>
      <c r="N1654" s="1465">
        <v>1.5476629207811361</v>
      </c>
      <c r="O1654" s="1465"/>
    </row>
    <row r="1655" spans="11:15">
      <c r="K1655" s="1462">
        <v>43712</v>
      </c>
      <c r="L1655" s="1463" t="s">
        <v>2127</v>
      </c>
      <c r="M1655" s="1464">
        <v>2.2751E-2</v>
      </c>
      <c r="N1655" s="1465">
        <v>1.548015029572243</v>
      </c>
      <c r="O1655" s="1465"/>
    </row>
    <row r="1656" spans="11:15">
      <c r="K1656" s="1462">
        <v>43713</v>
      </c>
      <c r="L1656" s="1463" t="s">
        <v>2127</v>
      </c>
      <c r="M1656" s="1464">
        <v>2.2751E-2</v>
      </c>
      <c r="N1656" s="1465">
        <v>1.5483672184716211</v>
      </c>
      <c r="O1656" s="1465"/>
    </row>
    <row r="1657" spans="11:15">
      <c r="K1657" s="1462">
        <v>43714</v>
      </c>
      <c r="L1657" s="1463" t="s">
        <v>2127</v>
      </c>
      <c r="M1657" s="1464">
        <v>2.2751E-2</v>
      </c>
      <c r="N1657" s="1465">
        <v>1.5487194874974954</v>
      </c>
      <c r="O1657" s="1465"/>
    </row>
    <row r="1658" spans="11:15">
      <c r="K1658" s="1462">
        <v>43715</v>
      </c>
      <c r="L1658" s="1463"/>
      <c r="M1658" s="1464">
        <v>0</v>
      </c>
      <c r="N1658" s="1465">
        <v>1.5487194874974954</v>
      </c>
      <c r="O1658" s="1465"/>
    </row>
    <row r="1659" spans="11:15">
      <c r="K1659" s="1462">
        <v>43716</v>
      </c>
      <c r="L1659" s="1463"/>
      <c r="M1659" s="1464">
        <v>0</v>
      </c>
      <c r="N1659" s="1465">
        <v>1.5487194874974954</v>
      </c>
      <c r="O1659" s="1465"/>
    </row>
    <row r="1660" spans="11:15">
      <c r="K1660" s="1462">
        <v>43717</v>
      </c>
      <c r="L1660" s="1463" t="s">
        <v>2127</v>
      </c>
      <c r="M1660" s="1464">
        <v>2.2751E-2</v>
      </c>
      <c r="N1660" s="1465">
        <v>1.549071836668096</v>
      </c>
      <c r="O1660" s="1465"/>
    </row>
    <row r="1661" spans="11:15">
      <c r="K1661" s="1462">
        <v>43718</v>
      </c>
      <c r="L1661" s="1463" t="s">
        <v>2127</v>
      </c>
      <c r="M1661" s="1464">
        <v>2.2751E-2</v>
      </c>
      <c r="N1661" s="1465">
        <v>1.5494242660016564</v>
      </c>
      <c r="O1661" s="1465"/>
    </row>
    <row r="1662" spans="11:15">
      <c r="K1662" s="1462">
        <v>43719</v>
      </c>
      <c r="L1662" s="1463" t="s">
        <v>2127</v>
      </c>
      <c r="M1662" s="1464">
        <v>2.2751E-2</v>
      </c>
      <c r="N1662" s="1465">
        <v>1.5497767755164145</v>
      </c>
      <c r="O1662" s="1465"/>
    </row>
    <row r="1663" spans="11:15">
      <c r="K1663" s="1462">
        <v>43720</v>
      </c>
      <c r="L1663" s="1463" t="s">
        <v>2127</v>
      </c>
      <c r="M1663" s="1464">
        <v>2.2751E-2</v>
      </c>
      <c r="N1663" s="1465">
        <v>1.5501293652306123</v>
      </c>
      <c r="O1663" s="1465"/>
    </row>
    <row r="1664" spans="11:15">
      <c r="K1664" s="1462">
        <v>43721</v>
      </c>
      <c r="L1664" s="1463" t="s">
        <v>2127</v>
      </c>
      <c r="M1664" s="1464">
        <v>2.2751E-2</v>
      </c>
      <c r="N1664" s="1465">
        <v>1.5504820351624959</v>
      </c>
      <c r="O1664" s="1465"/>
    </row>
    <row r="1665" spans="11:15">
      <c r="K1665" s="1462">
        <v>43722</v>
      </c>
      <c r="L1665" s="1463"/>
      <c r="M1665" s="1464">
        <v>0</v>
      </c>
      <c r="N1665" s="1465">
        <v>1.5504820351624959</v>
      </c>
      <c r="O1665" s="1465"/>
    </row>
    <row r="1666" spans="11:15">
      <c r="K1666" s="1462">
        <v>43723</v>
      </c>
      <c r="L1666" s="1463"/>
      <c r="M1666" s="1464">
        <v>0</v>
      </c>
      <c r="N1666" s="1465">
        <v>1.5504820351624959</v>
      </c>
      <c r="O1666" s="1465"/>
    </row>
    <row r="1667" spans="11:15">
      <c r="K1667" s="1462">
        <v>43724</v>
      </c>
      <c r="L1667" s="1463" t="s">
        <v>2127</v>
      </c>
      <c r="M1667" s="1464">
        <v>2.2751E-2</v>
      </c>
      <c r="N1667" s="1465">
        <v>1.5508347853303157</v>
      </c>
      <c r="O1667" s="1465"/>
    </row>
    <row r="1668" spans="11:15">
      <c r="K1668" s="1462">
        <v>43725</v>
      </c>
      <c r="L1668" s="1463" t="s">
        <v>2127</v>
      </c>
      <c r="M1668" s="1464">
        <v>2.2751E-2</v>
      </c>
      <c r="N1668" s="1465">
        <v>1.5511876157523261</v>
      </c>
      <c r="O1668" s="1465"/>
    </row>
    <row r="1669" spans="11:15">
      <c r="K1669" s="1462">
        <v>43726</v>
      </c>
      <c r="L1669" s="1463" t="s">
        <v>2127</v>
      </c>
      <c r="M1669" s="1464">
        <v>2.2751E-2</v>
      </c>
      <c r="N1669" s="1465">
        <v>1.5515405264467859</v>
      </c>
      <c r="O1669" s="1465"/>
    </row>
    <row r="1670" spans="11:15">
      <c r="K1670" s="1462">
        <v>43727</v>
      </c>
      <c r="L1670" s="1463" t="s">
        <v>2127</v>
      </c>
      <c r="M1670" s="1464">
        <v>2.0872000000000002E-2</v>
      </c>
      <c r="N1670" s="1465">
        <v>1.5518643639854659</v>
      </c>
      <c r="O1670" s="1465"/>
    </row>
    <row r="1671" spans="11:15">
      <c r="K1671" s="1462">
        <v>43728</v>
      </c>
      <c r="L1671" s="1463" t="s">
        <v>2127</v>
      </c>
      <c r="M1671" s="1464">
        <v>2.0872000000000002E-2</v>
      </c>
      <c r="N1671" s="1465">
        <v>1.5521882691155171</v>
      </c>
      <c r="O1671" s="1465"/>
    </row>
    <row r="1672" spans="11:15">
      <c r="K1672" s="1462">
        <v>43729</v>
      </c>
      <c r="L1672" s="1463"/>
      <c r="M1672" s="1464">
        <v>0</v>
      </c>
      <c r="N1672" s="1465">
        <v>1.5521882691155171</v>
      </c>
      <c r="O1672" s="1465"/>
    </row>
    <row r="1673" spans="11:15">
      <c r="K1673" s="1462">
        <v>43730</v>
      </c>
      <c r="L1673" s="1463"/>
      <c r="M1673" s="1464">
        <v>0</v>
      </c>
      <c r="N1673" s="1465">
        <v>1.5521882691155171</v>
      </c>
      <c r="O1673" s="1465"/>
    </row>
    <row r="1674" spans="11:15">
      <c r="K1674" s="1462">
        <v>43731</v>
      </c>
      <c r="L1674" s="1463" t="s">
        <v>2127</v>
      </c>
      <c r="M1674" s="1464">
        <v>2.0872000000000002E-2</v>
      </c>
      <c r="N1674" s="1465">
        <v>1.5525122418510471</v>
      </c>
      <c r="O1674" s="1465"/>
    </row>
    <row r="1675" spans="11:15">
      <c r="K1675" s="1462">
        <v>43732</v>
      </c>
      <c r="L1675" s="1463" t="s">
        <v>2127</v>
      </c>
      <c r="M1675" s="1464">
        <v>2.0872000000000002E-2</v>
      </c>
      <c r="N1675" s="1465">
        <v>1.5528362822061663</v>
      </c>
      <c r="O1675" s="1465"/>
    </row>
    <row r="1676" spans="11:15">
      <c r="K1676" s="1462">
        <v>43733</v>
      </c>
      <c r="L1676" s="1463" t="s">
        <v>2127</v>
      </c>
      <c r="M1676" s="1464">
        <v>2.0872000000000002E-2</v>
      </c>
      <c r="N1676" s="1465">
        <v>1.5531603901949884</v>
      </c>
      <c r="O1676" s="1465"/>
    </row>
    <row r="1677" spans="11:15">
      <c r="K1677" s="1462">
        <v>43734</v>
      </c>
      <c r="L1677" s="1463" t="s">
        <v>2127</v>
      </c>
      <c r="M1677" s="1464">
        <v>2.0872000000000002E-2</v>
      </c>
      <c r="N1677" s="1465">
        <v>1.5534845658316301</v>
      </c>
      <c r="O1677" s="1465"/>
    </row>
    <row r="1678" spans="11:15">
      <c r="K1678" s="1462">
        <v>43735</v>
      </c>
      <c r="L1678" s="1463" t="s">
        <v>2127</v>
      </c>
      <c r="M1678" s="1464">
        <v>2.0872000000000002E-2</v>
      </c>
      <c r="N1678" s="1465">
        <v>1.5538088091302105</v>
      </c>
      <c r="O1678" s="1465"/>
    </row>
    <row r="1679" spans="11:15">
      <c r="K1679" s="1462">
        <v>43736</v>
      </c>
      <c r="L1679" s="1463"/>
      <c r="M1679" s="1464">
        <v>0</v>
      </c>
      <c r="N1679" s="1465">
        <v>1.5538088091302105</v>
      </c>
      <c r="O1679" s="1465"/>
    </row>
    <row r="1680" spans="11:15">
      <c r="K1680" s="1462">
        <v>43737</v>
      </c>
      <c r="L1680" s="1463"/>
      <c r="M1680" s="1464">
        <v>0</v>
      </c>
      <c r="N1680" s="1465">
        <v>1.5538088091302105</v>
      </c>
      <c r="O1680" s="1465"/>
    </row>
    <row r="1681" spans="11:15">
      <c r="K1681" s="1462">
        <v>43738</v>
      </c>
      <c r="L1681" s="1463" t="s">
        <v>2127</v>
      </c>
      <c r="M1681" s="1464">
        <v>2.0872000000000002E-2</v>
      </c>
      <c r="N1681" s="1465">
        <v>1.5541331201048523</v>
      </c>
      <c r="O1681" s="1465"/>
    </row>
    <row r="1682" spans="11:15">
      <c r="K1682" s="1462">
        <v>43739</v>
      </c>
      <c r="L1682" s="1463" t="s">
        <v>2127</v>
      </c>
      <c r="M1682" s="1464">
        <v>2.0872000000000002E-2</v>
      </c>
      <c r="N1682" s="1465">
        <v>1.5544574987696806</v>
      </c>
      <c r="O1682" s="1465"/>
    </row>
    <row r="1683" spans="11:15">
      <c r="K1683" s="1462">
        <v>43740</v>
      </c>
      <c r="L1683" s="1463" t="s">
        <v>2127</v>
      </c>
      <c r="M1683" s="1464">
        <v>2.0872000000000002E-2</v>
      </c>
      <c r="N1683" s="1465">
        <v>1.5547819451388238</v>
      </c>
      <c r="O1683" s="1465"/>
    </row>
    <row r="1684" spans="11:15">
      <c r="K1684" s="1462">
        <v>43741</v>
      </c>
      <c r="L1684" s="1463" t="s">
        <v>2127</v>
      </c>
      <c r="M1684" s="1464">
        <v>2.0872000000000002E-2</v>
      </c>
      <c r="N1684" s="1465">
        <v>1.5551064592264132</v>
      </c>
      <c r="O1684" s="1465"/>
    </row>
    <row r="1685" spans="11:15">
      <c r="K1685" s="1462">
        <v>43742</v>
      </c>
      <c r="L1685" s="1463" t="s">
        <v>2127</v>
      </c>
      <c r="M1685" s="1464">
        <v>2.0872000000000002E-2</v>
      </c>
      <c r="N1685" s="1465">
        <v>1.555431041046583</v>
      </c>
      <c r="O1685" s="1465"/>
    </row>
    <row r="1686" spans="11:15">
      <c r="K1686" s="1462">
        <v>43743</v>
      </c>
      <c r="L1686" s="1463"/>
      <c r="M1686" s="1464">
        <v>0</v>
      </c>
      <c r="N1686" s="1465">
        <v>1.555431041046583</v>
      </c>
      <c r="O1686" s="1465"/>
    </row>
    <row r="1687" spans="11:15">
      <c r="K1687" s="1462">
        <v>43744</v>
      </c>
      <c r="L1687" s="1463"/>
      <c r="M1687" s="1464">
        <v>0</v>
      </c>
      <c r="N1687" s="1465">
        <v>1.555431041046583</v>
      </c>
      <c r="O1687" s="1465"/>
    </row>
    <row r="1688" spans="11:15">
      <c r="K1688" s="1462">
        <v>43745</v>
      </c>
      <c r="L1688" s="1463" t="s">
        <v>2127</v>
      </c>
      <c r="M1688" s="1464">
        <v>2.0872000000000002E-2</v>
      </c>
      <c r="N1688" s="1465">
        <v>1.5557556906134704</v>
      </c>
      <c r="O1688" s="1465"/>
    </row>
    <row r="1689" spans="11:15">
      <c r="K1689" s="1462">
        <v>43746</v>
      </c>
      <c r="L1689" s="1463" t="s">
        <v>2127</v>
      </c>
      <c r="M1689" s="1464">
        <v>2.0872000000000002E-2</v>
      </c>
      <c r="N1689" s="1465">
        <v>1.5560804079412154</v>
      </c>
      <c r="O1689" s="1465"/>
    </row>
    <row r="1690" spans="11:15">
      <c r="K1690" s="1462">
        <v>43747</v>
      </c>
      <c r="L1690" s="1463" t="s">
        <v>2127</v>
      </c>
      <c r="M1690" s="1464">
        <v>2.0872000000000002E-2</v>
      </c>
      <c r="N1690" s="1465">
        <v>1.5564051930439609</v>
      </c>
      <c r="O1690" s="1465"/>
    </row>
    <row r="1691" spans="11:15">
      <c r="K1691" s="1462">
        <v>43748</v>
      </c>
      <c r="L1691" s="1463" t="s">
        <v>2127</v>
      </c>
      <c r="M1691" s="1464">
        <v>2.0872000000000002E-2</v>
      </c>
      <c r="N1691" s="1465">
        <v>1.5567300459358531</v>
      </c>
      <c r="O1691" s="1465"/>
    </row>
    <row r="1692" spans="11:15">
      <c r="K1692" s="1462">
        <v>43749</v>
      </c>
      <c r="L1692" s="1463" t="s">
        <v>2127</v>
      </c>
      <c r="M1692" s="1464">
        <v>2.0872000000000002E-2</v>
      </c>
      <c r="N1692" s="1465">
        <v>1.5570549666310409</v>
      </c>
      <c r="O1692" s="1465"/>
    </row>
    <row r="1693" spans="11:15">
      <c r="K1693" s="1462">
        <v>43750</v>
      </c>
      <c r="L1693" s="1463"/>
      <c r="M1693" s="1464">
        <v>0</v>
      </c>
      <c r="N1693" s="1465">
        <v>1.5570549666310409</v>
      </c>
      <c r="O1693" s="1465"/>
    </row>
    <row r="1694" spans="11:15">
      <c r="K1694" s="1462">
        <v>43751</v>
      </c>
      <c r="L1694" s="1463"/>
      <c r="M1694" s="1464">
        <v>0</v>
      </c>
      <c r="N1694" s="1465">
        <v>1.5570549666310409</v>
      </c>
      <c r="O1694" s="1465"/>
    </row>
    <row r="1695" spans="11:15">
      <c r="K1695" s="1462">
        <v>43752</v>
      </c>
      <c r="L1695" s="1463" t="s">
        <v>2127</v>
      </c>
      <c r="M1695" s="1464">
        <v>2.0872000000000002E-2</v>
      </c>
      <c r="N1695" s="1465">
        <v>1.5573799551436762</v>
      </c>
      <c r="O1695" s="1465"/>
    </row>
    <row r="1696" spans="11:15">
      <c r="K1696" s="1462">
        <v>43753</v>
      </c>
      <c r="L1696" s="1463" t="s">
        <v>2127</v>
      </c>
      <c r="M1696" s="1464">
        <v>2.0872000000000002E-2</v>
      </c>
      <c r="N1696" s="1465">
        <v>1.5577050114879138</v>
      </c>
      <c r="O1696" s="1465"/>
    </row>
    <row r="1697" spans="11:15">
      <c r="K1697" s="1462">
        <v>43754</v>
      </c>
      <c r="L1697" s="1463" t="s">
        <v>2127</v>
      </c>
      <c r="M1697" s="1464">
        <v>2.0872000000000002E-2</v>
      </c>
      <c r="N1697" s="1465">
        <v>1.5580301356779116</v>
      </c>
      <c r="O1697" s="1465"/>
    </row>
    <row r="1698" spans="11:15">
      <c r="K1698" s="1462">
        <v>43755</v>
      </c>
      <c r="L1698" s="1463" t="s">
        <v>2127</v>
      </c>
      <c r="M1698" s="1464">
        <v>2.0872000000000002E-2</v>
      </c>
      <c r="N1698" s="1465">
        <v>1.5583553277278304</v>
      </c>
      <c r="O1698" s="1465"/>
    </row>
    <row r="1699" spans="11:15">
      <c r="K1699" s="1462">
        <v>43756</v>
      </c>
      <c r="L1699" s="1463" t="s">
        <v>2127</v>
      </c>
      <c r="M1699" s="1464">
        <v>2.0872000000000002E-2</v>
      </c>
      <c r="N1699" s="1465">
        <v>1.5586805876518337</v>
      </c>
      <c r="O1699" s="1465"/>
    </row>
    <row r="1700" spans="11:15">
      <c r="K1700" s="1462">
        <v>43757</v>
      </c>
      <c r="L1700" s="1463"/>
      <c r="M1700" s="1464">
        <v>0</v>
      </c>
      <c r="N1700" s="1465">
        <v>1.5586805876518337</v>
      </c>
      <c r="O1700" s="1465"/>
    </row>
    <row r="1701" spans="11:15">
      <c r="K1701" s="1462">
        <v>43758</v>
      </c>
      <c r="L1701" s="1463"/>
      <c r="M1701" s="1464">
        <v>0</v>
      </c>
      <c r="N1701" s="1465">
        <v>1.5586805876518337</v>
      </c>
      <c r="O1701" s="1465"/>
    </row>
    <row r="1702" spans="11:15">
      <c r="K1702" s="1462">
        <v>43759</v>
      </c>
      <c r="L1702" s="1463" t="s">
        <v>2127</v>
      </c>
      <c r="M1702" s="1464">
        <v>2.0872000000000002E-2</v>
      </c>
      <c r="N1702" s="1465">
        <v>1.5590059154640885</v>
      </c>
      <c r="O1702" s="1465"/>
    </row>
    <row r="1703" spans="11:15">
      <c r="K1703" s="1462">
        <v>43760</v>
      </c>
      <c r="L1703" s="1463" t="s">
        <v>2127</v>
      </c>
      <c r="M1703" s="1464">
        <v>2.0872000000000002E-2</v>
      </c>
      <c r="N1703" s="1465">
        <v>1.5593313111787643</v>
      </c>
      <c r="O1703" s="1465"/>
    </row>
    <row r="1704" spans="11:15">
      <c r="K1704" s="1462">
        <v>43761</v>
      </c>
      <c r="L1704" s="1463" t="s">
        <v>2127</v>
      </c>
      <c r="M1704" s="1464">
        <v>2.0872000000000002E-2</v>
      </c>
      <c r="N1704" s="1465">
        <v>1.5596567748100336</v>
      </c>
      <c r="O1704" s="1465"/>
    </row>
    <row r="1705" spans="11:15">
      <c r="K1705" s="1462">
        <v>43762</v>
      </c>
      <c r="L1705" s="1463" t="s">
        <v>2127</v>
      </c>
      <c r="M1705" s="1464">
        <v>2.0872000000000002E-2</v>
      </c>
      <c r="N1705" s="1465">
        <v>1.5599823063720721</v>
      </c>
      <c r="O1705" s="1465"/>
    </row>
    <row r="1706" spans="11:15">
      <c r="K1706" s="1462">
        <v>43763</v>
      </c>
      <c r="L1706" s="1463" t="s">
        <v>2127</v>
      </c>
      <c r="M1706" s="1464">
        <v>2.0872000000000002E-2</v>
      </c>
      <c r="N1706" s="1465">
        <v>1.5603079058790581</v>
      </c>
      <c r="O1706" s="1465"/>
    </row>
    <row r="1707" spans="11:15">
      <c r="K1707" s="1462">
        <v>43764</v>
      </c>
      <c r="L1707" s="1463"/>
      <c r="M1707" s="1464">
        <v>0</v>
      </c>
      <c r="N1707" s="1465">
        <v>1.5603079058790581</v>
      </c>
      <c r="O1707" s="1465"/>
    </row>
    <row r="1708" spans="11:15">
      <c r="K1708" s="1462">
        <v>43765</v>
      </c>
      <c r="L1708" s="1463"/>
      <c r="M1708" s="1464">
        <v>0</v>
      </c>
      <c r="N1708" s="1465">
        <v>1.5603079058790581</v>
      </c>
      <c r="O1708" s="1465"/>
    </row>
    <row r="1709" spans="11:15">
      <c r="K1709" s="1462">
        <v>43766</v>
      </c>
      <c r="L1709" s="1463" t="s">
        <v>2127</v>
      </c>
      <c r="M1709" s="1464">
        <v>2.0872000000000002E-2</v>
      </c>
      <c r="N1709" s="1465">
        <v>1.5606335733451733</v>
      </c>
      <c r="O1709" s="1465"/>
    </row>
    <row r="1710" spans="11:15">
      <c r="K1710" s="1462">
        <v>43767</v>
      </c>
      <c r="L1710" s="1463" t="s">
        <v>2127</v>
      </c>
      <c r="M1710" s="1464">
        <v>2.0872000000000002E-2</v>
      </c>
      <c r="N1710" s="1465">
        <v>1.5609593087846019</v>
      </c>
      <c r="O1710" s="1465"/>
    </row>
    <row r="1711" spans="11:15">
      <c r="K1711" s="1462">
        <v>43768</v>
      </c>
      <c r="L1711" s="1463" t="s">
        <v>2127</v>
      </c>
      <c r="M1711" s="1464">
        <v>2.0872000000000002E-2</v>
      </c>
      <c r="N1711" s="1465">
        <v>1.5612851122115314</v>
      </c>
      <c r="O1711" s="1465"/>
    </row>
    <row r="1712" spans="11:15">
      <c r="K1712" s="1462">
        <v>43769</v>
      </c>
      <c r="L1712" s="1463" t="s">
        <v>2127</v>
      </c>
      <c r="M1712" s="1464">
        <v>1.8984999999999998E-2</v>
      </c>
      <c r="N1712" s="1465">
        <v>1.5615815221900846</v>
      </c>
      <c r="O1712" s="1465"/>
    </row>
    <row r="1713" spans="11:15">
      <c r="K1713" s="1462">
        <v>43770</v>
      </c>
      <c r="L1713" s="1463" t="s">
        <v>2127</v>
      </c>
      <c r="M1713" s="1464">
        <v>1.8984999999999998E-2</v>
      </c>
      <c r="N1713" s="1465">
        <v>1.5618779884420724</v>
      </c>
      <c r="O1713" s="1465"/>
    </row>
    <row r="1714" spans="11:15">
      <c r="K1714" s="1462">
        <v>43771</v>
      </c>
      <c r="L1714" s="1463"/>
      <c r="M1714" s="1464">
        <v>0</v>
      </c>
      <c r="N1714" s="1465">
        <v>1.5618779884420724</v>
      </c>
      <c r="O1714" s="1465"/>
    </row>
    <row r="1715" spans="11:15">
      <c r="K1715" s="1462">
        <v>43772</v>
      </c>
      <c r="L1715" s="1463"/>
      <c r="M1715" s="1464">
        <v>0</v>
      </c>
      <c r="N1715" s="1465">
        <v>1.5618779884420724</v>
      </c>
      <c r="O1715" s="1465"/>
    </row>
    <row r="1716" spans="11:15">
      <c r="K1716" s="1462">
        <v>43773</v>
      </c>
      <c r="L1716" s="1463" t="s">
        <v>2127</v>
      </c>
      <c r="M1716" s="1464">
        <v>1.8984999999999998E-2</v>
      </c>
      <c r="N1716" s="1465">
        <v>1.5621745109781779</v>
      </c>
      <c r="O1716" s="1465"/>
    </row>
    <row r="1717" spans="11:15">
      <c r="K1717" s="1462">
        <v>43774</v>
      </c>
      <c r="L1717" s="1463" t="s">
        <v>2127</v>
      </c>
      <c r="M1717" s="1464">
        <v>1.8984999999999998E-2</v>
      </c>
      <c r="N1717" s="1465">
        <v>1.562471089809087</v>
      </c>
      <c r="O1717" s="1465"/>
    </row>
    <row r="1718" spans="11:15">
      <c r="K1718" s="1462">
        <v>43775</v>
      </c>
      <c r="L1718" s="1463" t="s">
        <v>2127</v>
      </c>
      <c r="M1718" s="1464">
        <v>1.8984999999999998E-2</v>
      </c>
      <c r="N1718" s="1465">
        <v>1.5627677249454872</v>
      </c>
      <c r="O1718" s="1465"/>
    </row>
    <row r="1719" spans="11:15">
      <c r="K1719" s="1462">
        <v>43776</v>
      </c>
      <c r="L1719" s="1463" t="s">
        <v>2127</v>
      </c>
      <c r="M1719" s="1464">
        <v>1.8984999999999998E-2</v>
      </c>
      <c r="N1719" s="1465">
        <v>1.563064416398068</v>
      </c>
      <c r="O1719" s="1465"/>
    </row>
    <row r="1720" spans="11:15">
      <c r="K1720" s="1462">
        <v>43777</v>
      </c>
      <c r="L1720" s="1463" t="s">
        <v>2127</v>
      </c>
      <c r="M1720" s="1464">
        <v>1.8984999999999998E-2</v>
      </c>
      <c r="N1720" s="1465">
        <v>1.5633611641775211</v>
      </c>
      <c r="O1720" s="1465"/>
    </row>
    <row r="1721" spans="11:15">
      <c r="K1721" s="1462">
        <v>43778</v>
      </c>
      <c r="L1721" s="1463"/>
      <c r="M1721" s="1464">
        <v>0</v>
      </c>
      <c r="N1721" s="1465">
        <v>1.5633611641775211</v>
      </c>
      <c r="O1721" s="1465"/>
    </row>
    <row r="1722" spans="11:15">
      <c r="K1722" s="1462">
        <v>43779</v>
      </c>
      <c r="L1722" s="1463"/>
      <c r="M1722" s="1464">
        <v>0</v>
      </c>
      <c r="N1722" s="1465">
        <v>1.5633611641775211</v>
      </c>
      <c r="O1722" s="1465"/>
    </row>
    <row r="1723" spans="11:15">
      <c r="K1723" s="1462">
        <v>43780</v>
      </c>
      <c r="L1723" s="1463" t="s">
        <v>2127</v>
      </c>
      <c r="M1723" s="1464">
        <v>1.8984999999999998E-2</v>
      </c>
      <c r="N1723" s="1465">
        <v>1.5636579682945402</v>
      </c>
      <c r="O1723" s="1465"/>
    </row>
    <row r="1724" spans="11:15">
      <c r="K1724" s="1462">
        <v>43781</v>
      </c>
      <c r="L1724" s="1463" t="s">
        <v>2127</v>
      </c>
      <c r="M1724" s="1464">
        <v>1.8984999999999998E-2</v>
      </c>
      <c r="N1724" s="1465">
        <v>1.5639548287598208</v>
      </c>
      <c r="O1724" s="1465"/>
    </row>
    <row r="1725" spans="11:15">
      <c r="K1725" s="1462">
        <v>43782</v>
      </c>
      <c r="L1725" s="1463" t="s">
        <v>2127</v>
      </c>
      <c r="M1725" s="1464">
        <v>1.8984999999999998E-2</v>
      </c>
      <c r="N1725" s="1465">
        <v>1.5642517455840608</v>
      </c>
      <c r="O1725" s="1465"/>
    </row>
    <row r="1726" spans="11:15">
      <c r="K1726" s="1462">
        <v>43783</v>
      </c>
      <c r="L1726" s="1463" t="s">
        <v>2127</v>
      </c>
      <c r="M1726" s="1464">
        <v>1.8984999999999998E-2</v>
      </c>
      <c r="N1726" s="1465">
        <v>1.5645487187779599</v>
      </c>
      <c r="O1726" s="1465"/>
    </row>
    <row r="1727" spans="11:15">
      <c r="K1727" s="1462">
        <v>43784</v>
      </c>
      <c r="L1727" s="1463"/>
      <c r="M1727" s="1464">
        <v>0</v>
      </c>
      <c r="N1727" s="1465">
        <v>1.5645487187779599</v>
      </c>
      <c r="O1727" s="1465"/>
    </row>
    <row r="1728" spans="11:15">
      <c r="K1728" s="1462">
        <v>43785</v>
      </c>
      <c r="L1728" s="1463"/>
      <c r="M1728" s="1464">
        <v>0</v>
      </c>
      <c r="N1728" s="1465">
        <v>1.5645487187779599</v>
      </c>
      <c r="O1728" s="1465"/>
    </row>
    <row r="1729" spans="11:15">
      <c r="K1729" s="1462">
        <v>43786</v>
      </c>
      <c r="L1729" s="1463"/>
      <c r="M1729" s="1464">
        <v>0</v>
      </c>
      <c r="N1729" s="1465">
        <v>1.5645487187779599</v>
      </c>
      <c r="O1729" s="1465"/>
    </row>
    <row r="1730" spans="11:15">
      <c r="K1730" s="1462">
        <v>43787</v>
      </c>
      <c r="L1730" s="1463" t="s">
        <v>2127</v>
      </c>
      <c r="M1730" s="1464">
        <v>1.8984999999999998E-2</v>
      </c>
      <c r="N1730" s="1465">
        <v>1.5648457483522198</v>
      </c>
      <c r="O1730" s="1465"/>
    </row>
    <row r="1731" spans="11:15">
      <c r="K1731" s="1462">
        <v>43788</v>
      </c>
      <c r="L1731" s="1463" t="s">
        <v>2127</v>
      </c>
      <c r="M1731" s="1464">
        <v>1.8984999999999998E-2</v>
      </c>
      <c r="N1731" s="1465">
        <v>1.5651428343175444</v>
      </c>
      <c r="O1731" s="1465"/>
    </row>
    <row r="1732" spans="11:15">
      <c r="K1732" s="1462">
        <v>43789</v>
      </c>
      <c r="L1732" s="1463" t="s">
        <v>2127</v>
      </c>
      <c r="M1732" s="1464">
        <v>1.8984999999999998E-2</v>
      </c>
      <c r="N1732" s="1465">
        <v>1.5654399766846394</v>
      </c>
      <c r="O1732" s="1465"/>
    </row>
    <row r="1733" spans="11:15">
      <c r="K1733" s="1462">
        <v>43790</v>
      </c>
      <c r="L1733" s="1463" t="s">
        <v>2127</v>
      </c>
      <c r="M1733" s="1464">
        <v>1.8984999999999998E-2</v>
      </c>
      <c r="N1733" s="1465">
        <v>1.5657371754642129</v>
      </c>
      <c r="O1733" s="1465"/>
    </row>
    <row r="1734" spans="11:15">
      <c r="K1734" s="1462">
        <v>43791</v>
      </c>
      <c r="L1734" s="1463" t="s">
        <v>2127</v>
      </c>
      <c r="M1734" s="1464">
        <v>1.8984999999999998E-2</v>
      </c>
      <c r="N1734" s="1465">
        <v>1.5660344306669747</v>
      </c>
      <c r="O1734" s="1465"/>
    </row>
    <row r="1735" spans="11:15">
      <c r="K1735" s="1462">
        <v>43792</v>
      </c>
      <c r="L1735" s="1463"/>
      <c r="M1735" s="1464">
        <v>0</v>
      </c>
      <c r="N1735" s="1465">
        <v>1.5660344306669747</v>
      </c>
      <c r="O1735" s="1465"/>
    </row>
    <row r="1736" spans="11:15">
      <c r="K1736" s="1462">
        <v>43793</v>
      </c>
      <c r="L1736" s="1463"/>
      <c r="M1736" s="1464">
        <v>0</v>
      </c>
      <c r="N1736" s="1465">
        <v>1.5660344306669747</v>
      </c>
      <c r="O1736" s="1465"/>
    </row>
    <row r="1737" spans="11:15">
      <c r="K1737" s="1462">
        <v>43794</v>
      </c>
      <c r="L1737" s="1463" t="s">
        <v>2127</v>
      </c>
      <c r="M1737" s="1464">
        <v>1.8984999999999998E-2</v>
      </c>
      <c r="N1737" s="1465">
        <v>1.5663317423036367</v>
      </c>
      <c r="O1737" s="1465"/>
    </row>
    <row r="1738" spans="11:15">
      <c r="K1738" s="1462">
        <v>43795</v>
      </c>
      <c r="L1738" s="1463" t="s">
        <v>2127</v>
      </c>
      <c r="M1738" s="1464">
        <v>1.8984999999999998E-2</v>
      </c>
      <c r="N1738" s="1465">
        <v>1.566629110384913</v>
      </c>
      <c r="O1738" s="1465"/>
    </row>
    <row r="1739" spans="11:15">
      <c r="K1739" s="1462">
        <v>43796</v>
      </c>
      <c r="L1739" s="1463" t="s">
        <v>2127</v>
      </c>
      <c r="M1739" s="1464">
        <v>1.8984999999999998E-2</v>
      </c>
      <c r="N1739" s="1465">
        <v>1.5669265349215196</v>
      </c>
      <c r="O1739" s="1465"/>
    </row>
    <row r="1740" spans="11:15">
      <c r="K1740" s="1462">
        <v>43797</v>
      </c>
      <c r="L1740" s="1463" t="s">
        <v>2127</v>
      </c>
      <c r="M1740" s="1464">
        <v>1.8984999999999998E-2</v>
      </c>
      <c r="N1740" s="1465">
        <v>1.5672240159241744</v>
      </c>
      <c r="O1740" s="1465"/>
    </row>
    <row r="1741" spans="11:15">
      <c r="K1741" s="1462">
        <v>43798</v>
      </c>
      <c r="L1741" s="1463" t="s">
        <v>2127</v>
      </c>
      <c r="M1741" s="1464">
        <v>1.8984999999999998E-2</v>
      </c>
      <c r="N1741" s="1465">
        <v>1.5675215534035976</v>
      </c>
      <c r="O1741" s="1465"/>
    </row>
    <row r="1742" spans="11:15">
      <c r="K1742" s="1462">
        <v>43799</v>
      </c>
      <c r="L1742" s="1463"/>
      <c r="M1742" s="1464">
        <v>0</v>
      </c>
      <c r="N1742" s="1465">
        <v>1.5675215534035976</v>
      </c>
      <c r="O1742" s="1465"/>
    </row>
    <row r="1743" spans="11:15">
      <c r="K1743" s="1462">
        <v>43800</v>
      </c>
      <c r="L1743" s="1463"/>
      <c r="M1743" s="1464">
        <v>0</v>
      </c>
      <c r="N1743" s="1465">
        <v>1.5675215534035976</v>
      </c>
      <c r="O1743" s="1465"/>
    </row>
    <row r="1744" spans="11:15">
      <c r="K1744" s="1462">
        <v>43801</v>
      </c>
      <c r="L1744" s="1463" t="s">
        <v>2127</v>
      </c>
      <c r="M1744" s="1464">
        <v>1.8984999999999998E-2</v>
      </c>
      <c r="N1744" s="1465">
        <v>1.5678191473705112</v>
      </c>
      <c r="O1744" s="1465"/>
    </row>
    <row r="1745" spans="11:15">
      <c r="K1745" s="1462">
        <v>43802</v>
      </c>
      <c r="L1745" s="1463" t="s">
        <v>2127</v>
      </c>
      <c r="M1745" s="1464">
        <v>1.8984999999999998E-2</v>
      </c>
      <c r="N1745" s="1465">
        <v>1.5681167978356394</v>
      </c>
      <c r="O1745" s="1465"/>
    </row>
    <row r="1746" spans="11:15">
      <c r="K1746" s="1462">
        <v>43803</v>
      </c>
      <c r="L1746" s="1463" t="s">
        <v>2127</v>
      </c>
      <c r="M1746" s="1464">
        <v>1.8984999999999998E-2</v>
      </c>
      <c r="N1746" s="1465">
        <v>1.5684145048097085</v>
      </c>
      <c r="O1746" s="1465"/>
    </row>
    <row r="1747" spans="11:15">
      <c r="K1747" s="1462">
        <v>43804</v>
      </c>
      <c r="L1747" s="1463" t="s">
        <v>2127</v>
      </c>
      <c r="M1747" s="1464">
        <v>1.8984999999999998E-2</v>
      </c>
      <c r="N1747" s="1465">
        <v>1.5687122683034465</v>
      </c>
      <c r="O1747" s="1465"/>
    </row>
    <row r="1748" spans="11:15">
      <c r="K1748" s="1462">
        <v>43805</v>
      </c>
      <c r="L1748" s="1463" t="s">
        <v>2127</v>
      </c>
      <c r="M1748" s="1464">
        <v>1.8984999999999998E-2</v>
      </c>
      <c r="N1748" s="1465">
        <v>1.5690100883275837</v>
      </c>
      <c r="O1748" s="1465"/>
    </row>
    <row r="1749" spans="11:15">
      <c r="K1749" s="1462">
        <v>43806</v>
      </c>
      <c r="L1749" s="1463"/>
      <c r="M1749" s="1464">
        <v>0</v>
      </c>
      <c r="N1749" s="1465">
        <v>1.5690100883275837</v>
      </c>
      <c r="O1749" s="1465"/>
    </row>
    <row r="1750" spans="11:15">
      <c r="K1750" s="1462">
        <v>43807</v>
      </c>
      <c r="L1750" s="1463"/>
      <c r="M1750" s="1464">
        <v>0</v>
      </c>
      <c r="N1750" s="1465">
        <v>1.5690100883275837</v>
      </c>
      <c r="O1750" s="1465"/>
    </row>
    <row r="1751" spans="11:15">
      <c r="K1751" s="1462">
        <v>43808</v>
      </c>
      <c r="L1751" s="1463" t="s">
        <v>2127</v>
      </c>
      <c r="M1751" s="1464">
        <v>1.8984999999999998E-2</v>
      </c>
      <c r="N1751" s="1465">
        <v>1.5693079648928525</v>
      </c>
      <c r="O1751" s="1465"/>
    </row>
    <row r="1752" spans="11:15">
      <c r="K1752" s="1462">
        <v>43809</v>
      </c>
      <c r="L1752" s="1463" t="s">
        <v>2127</v>
      </c>
      <c r="M1752" s="1464">
        <v>1.8984999999999998E-2</v>
      </c>
      <c r="N1752" s="1465">
        <v>1.5696058980099874</v>
      </c>
      <c r="O1752" s="1465"/>
    </row>
    <row r="1753" spans="11:15">
      <c r="K1753" s="1462">
        <v>43810</v>
      </c>
      <c r="L1753" s="1463" t="s">
        <v>2127</v>
      </c>
      <c r="M1753" s="1464">
        <v>1.8984999999999998E-2</v>
      </c>
      <c r="N1753" s="1465">
        <v>1.5699038876897244</v>
      </c>
      <c r="O1753" s="1465"/>
    </row>
    <row r="1754" spans="11:15">
      <c r="K1754" s="1462">
        <v>43811</v>
      </c>
      <c r="L1754" s="1463" t="s">
        <v>2127</v>
      </c>
      <c r="M1754" s="1464">
        <v>1.7089E-2</v>
      </c>
      <c r="N1754" s="1465">
        <v>1.5701721685650916</v>
      </c>
      <c r="O1754" s="1465"/>
    </row>
    <row r="1755" spans="11:15">
      <c r="K1755" s="1462">
        <v>43812</v>
      </c>
      <c r="L1755" s="1463" t="s">
        <v>2127</v>
      </c>
      <c r="M1755" s="1464">
        <v>1.7089E-2</v>
      </c>
      <c r="N1755" s="1465">
        <v>1.5704404952869775</v>
      </c>
      <c r="O1755" s="1465"/>
    </row>
    <row r="1756" spans="11:15">
      <c r="K1756" s="1462">
        <v>43813</v>
      </c>
      <c r="L1756" s="1463"/>
      <c r="M1756" s="1464">
        <v>0</v>
      </c>
      <c r="N1756" s="1465">
        <v>1.5704404952869775</v>
      </c>
      <c r="O1756" s="1465"/>
    </row>
    <row r="1757" spans="11:15">
      <c r="K1757" s="1462">
        <v>43814</v>
      </c>
      <c r="L1757" s="1463"/>
      <c r="M1757" s="1464">
        <v>0</v>
      </c>
      <c r="N1757" s="1465">
        <v>1.5704404952869775</v>
      </c>
      <c r="O1757" s="1465"/>
    </row>
    <row r="1758" spans="11:15">
      <c r="K1758" s="1462">
        <v>43815</v>
      </c>
      <c r="L1758" s="1463" t="s">
        <v>2127</v>
      </c>
      <c r="M1758" s="1464">
        <v>1.7089E-2</v>
      </c>
      <c r="N1758" s="1465">
        <v>1.5707088678632171</v>
      </c>
      <c r="O1758" s="1465"/>
    </row>
    <row r="1759" spans="11:15">
      <c r="K1759" s="1462">
        <v>43816</v>
      </c>
      <c r="L1759" s="1463" t="s">
        <v>2127</v>
      </c>
      <c r="M1759" s="1464">
        <v>1.7089E-2</v>
      </c>
      <c r="N1759" s="1465">
        <v>1.570977286301646</v>
      </c>
      <c r="O1759" s="1465"/>
    </row>
    <row r="1760" spans="11:15">
      <c r="K1760" s="1462">
        <v>43817</v>
      </c>
      <c r="L1760" s="1463" t="s">
        <v>2127</v>
      </c>
      <c r="M1760" s="1464">
        <v>1.7089E-2</v>
      </c>
      <c r="N1760" s="1465">
        <v>1.5712457506101021</v>
      </c>
      <c r="O1760" s="1465"/>
    </row>
    <row r="1761" spans="11:15">
      <c r="K1761" s="1462">
        <v>43818</v>
      </c>
      <c r="L1761" s="1463" t="s">
        <v>2127</v>
      </c>
      <c r="M1761" s="1464">
        <v>1.7089E-2</v>
      </c>
      <c r="N1761" s="1465">
        <v>1.5715142607964236</v>
      </c>
      <c r="O1761" s="1465"/>
    </row>
    <row r="1762" spans="11:15">
      <c r="K1762" s="1462">
        <v>43819</v>
      </c>
      <c r="L1762" s="1463" t="s">
        <v>2127</v>
      </c>
      <c r="M1762" s="1464">
        <v>1.7089E-2</v>
      </c>
      <c r="N1762" s="1465">
        <v>1.5717828168684511</v>
      </c>
      <c r="O1762" s="1465"/>
    </row>
    <row r="1763" spans="11:15">
      <c r="K1763" s="1462">
        <v>43820</v>
      </c>
      <c r="L1763" s="1463"/>
      <c r="M1763" s="1464">
        <v>0</v>
      </c>
      <c r="N1763" s="1465">
        <v>1.5717828168684511</v>
      </c>
      <c r="O1763" s="1465"/>
    </row>
    <row r="1764" spans="11:15">
      <c r="K1764" s="1462">
        <v>43821</v>
      </c>
      <c r="L1764" s="1463"/>
      <c r="M1764" s="1464">
        <v>0</v>
      </c>
      <c r="N1764" s="1465">
        <v>1.5717828168684511</v>
      </c>
      <c r="O1764" s="1465"/>
    </row>
    <row r="1765" spans="11:15">
      <c r="K1765" s="1462">
        <v>43822</v>
      </c>
      <c r="L1765" s="1463" t="s">
        <v>2127</v>
      </c>
      <c r="M1765" s="1464">
        <v>1.7089E-2</v>
      </c>
      <c r="N1765" s="1465">
        <v>1.5720514188340255</v>
      </c>
      <c r="O1765" s="1465"/>
    </row>
    <row r="1766" spans="11:15">
      <c r="K1766" s="1462">
        <v>43823</v>
      </c>
      <c r="L1766" s="1463" t="s">
        <v>2127</v>
      </c>
      <c r="M1766" s="1464">
        <v>1.7089E-2</v>
      </c>
      <c r="N1766" s="1465">
        <v>1.57232006670099</v>
      </c>
      <c r="O1766" s="1465"/>
    </row>
    <row r="1767" spans="11:15">
      <c r="K1767" s="1462">
        <v>43824</v>
      </c>
      <c r="L1767" s="1463"/>
      <c r="M1767" s="1464">
        <v>0</v>
      </c>
      <c r="N1767" s="1465">
        <v>1.57232006670099</v>
      </c>
      <c r="O1767" s="1465"/>
    </row>
    <row r="1768" spans="11:15">
      <c r="K1768" s="1462">
        <v>43825</v>
      </c>
      <c r="L1768" s="1463" t="s">
        <v>2127</v>
      </c>
      <c r="M1768" s="1464">
        <v>1.7089E-2</v>
      </c>
      <c r="N1768" s="1465">
        <v>1.5725887604771884</v>
      </c>
      <c r="O1768" s="1465"/>
    </row>
    <row r="1769" spans="11:15">
      <c r="K1769" s="1462">
        <v>43826</v>
      </c>
      <c r="L1769" s="1463" t="s">
        <v>2127</v>
      </c>
      <c r="M1769" s="1464">
        <v>1.7089E-2</v>
      </c>
      <c r="N1769" s="1465">
        <v>1.5728575001704663</v>
      </c>
      <c r="O1769" s="1465"/>
    </row>
    <row r="1770" spans="11:15">
      <c r="K1770" s="1462">
        <v>43827</v>
      </c>
      <c r="L1770" s="1463"/>
      <c r="M1770" s="1464">
        <v>0</v>
      </c>
      <c r="N1770" s="1465">
        <v>1.5728575001704663</v>
      </c>
      <c r="O1770" s="1465"/>
    </row>
    <row r="1771" spans="11:15">
      <c r="K1771" s="1462">
        <v>43828</v>
      </c>
      <c r="L1771" s="1463"/>
      <c r="M1771" s="1464">
        <v>0</v>
      </c>
      <c r="N1771" s="1465">
        <v>1.5728575001704663</v>
      </c>
      <c r="O1771" s="1465"/>
    </row>
    <row r="1772" spans="11:15">
      <c r="K1772" s="1462">
        <v>43829</v>
      </c>
      <c r="L1772" s="1463" t="s">
        <v>2127</v>
      </c>
      <c r="M1772" s="1464">
        <v>1.7089E-2</v>
      </c>
      <c r="N1772" s="1465">
        <v>1.5731262857886703</v>
      </c>
      <c r="O1772" s="1465"/>
    </row>
    <row r="1773" spans="11:15">
      <c r="K1773" s="1462">
        <v>43830</v>
      </c>
      <c r="L1773" s="1463" t="s">
        <v>2127</v>
      </c>
      <c r="M1773" s="1464">
        <v>1.7089E-2</v>
      </c>
      <c r="N1773" s="1465">
        <v>1.5733951173396485</v>
      </c>
      <c r="O1773" s="1465"/>
    </row>
    <row r="1774" spans="11:15">
      <c r="K1774" s="1462">
        <v>43831</v>
      </c>
      <c r="L1774" s="1463"/>
      <c r="M1774" s="1464">
        <v>0</v>
      </c>
      <c r="N1774" s="1465">
        <v>1.5733951173396485</v>
      </c>
      <c r="O1774" s="1465"/>
    </row>
    <row r="1775" spans="11:15">
      <c r="K1775" s="1462">
        <v>43832</v>
      </c>
      <c r="L1775" s="1463" t="s">
        <v>2127</v>
      </c>
      <c r="M1775" s="1464">
        <v>1.7089E-2</v>
      </c>
      <c r="N1775" s="1465">
        <v>1.5736639948312505</v>
      </c>
      <c r="O1775" s="1465"/>
    </row>
    <row r="1776" spans="11:15">
      <c r="K1776" s="1462">
        <v>43833</v>
      </c>
      <c r="L1776" s="1463" t="s">
        <v>2127</v>
      </c>
      <c r="M1776" s="1464">
        <v>1.7089E-2</v>
      </c>
      <c r="N1776" s="1465">
        <v>1.5739329182713271</v>
      </c>
      <c r="O1776" s="1465"/>
    </row>
    <row r="1777" spans="11:15">
      <c r="K1777" s="1462">
        <v>43834</v>
      </c>
      <c r="L1777" s="1463"/>
      <c r="M1777" s="1464">
        <v>0</v>
      </c>
      <c r="N1777" s="1465">
        <v>1.5739329182713271</v>
      </c>
      <c r="O1777" s="1465"/>
    </row>
    <row r="1778" spans="11:15">
      <c r="K1778" s="1462">
        <v>43835</v>
      </c>
      <c r="L1778" s="1463"/>
      <c r="M1778" s="1464">
        <v>0</v>
      </c>
      <c r="N1778" s="1465">
        <v>1.5739329182713271</v>
      </c>
      <c r="O1778" s="1465"/>
    </row>
    <row r="1779" spans="11:15">
      <c r="K1779" s="1462">
        <v>43836</v>
      </c>
      <c r="L1779" s="1463" t="s">
        <v>2127</v>
      </c>
      <c r="M1779" s="1464">
        <v>1.7089E-2</v>
      </c>
      <c r="N1779" s="1465">
        <v>1.5742018876677304</v>
      </c>
      <c r="O1779" s="1465"/>
    </row>
    <row r="1780" spans="11:15">
      <c r="K1780" s="1462">
        <v>43837</v>
      </c>
      <c r="L1780" s="1463" t="s">
        <v>2127</v>
      </c>
      <c r="M1780" s="1464">
        <v>1.7089E-2</v>
      </c>
      <c r="N1780" s="1465">
        <v>1.5744709030283137</v>
      </c>
      <c r="O1780" s="1465"/>
    </row>
    <row r="1781" spans="11:15">
      <c r="K1781" s="1462">
        <v>43838</v>
      </c>
      <c r="L1781" s="1463" t="s">
        <v>2127</v>
      </c>
      <c r="M1781" s="1464">
        <v>1.7089E-2</v>
      </c>
      <c r="N1781" s="1465">
        <v>1.5747399643609321</v>
      </c>
      <c r="O1781" s="1465"/>
    </row>
    <row r="1782" spans="11:15">
      <c r="K1782" s="1462">
        <v>43839</v>
      </c>
      <c r="L1782" s="1463" t="s">
        <v>2127</v>
      </c>
      <c r="M1782" s="1464">
        <v>1.7089E-2</v>
      </c>
      <c r="N1782" s="1465">
        <v>1.5750090716734417</v>
      </c>
      <c r="O1782" s="1465"/>
    </row>
    <row r="1783" spans="11:15">
      <c r="K1783" s="1462">
        <v>43840</v>
      </c>
      <c r="L1783" s="1463" t="s">
        <v>2127</v>
      </c>
      <c r="M1783" s="1464">
        <v>1.7089E-2</v>
      </c>
      <c r="N1783" s="1465">
        <v>1.5752782249736998</v>
      </c>
      <c r="O1783" s="1465"/>
    </row>
    <row r="1784" spans="11:15">
      <c r="K1784" s="1462">
        <v>43841</v>
      </c>
      <c r="L1784" s="1463"/>
      <c r="M1784" s="1464">
        <v>0</v>
      </c>
      <c r="N1784" s="1465">
        <v>1.5752782249736998</v>
      </c>
      <c r="O1784" s="1465"/>
    </row>
    <row r="1785" spans="11:15">
      <c r="K1785" s="1462">
        <v>43842</v>
      </c>
      <c r="L1785" s="1463"/>
      <c r="M1785" s="1464">
        <v>0</v>
      </c>
      <c r="N1785" s="1465">
        <v>1.5752782249736998</v>
      </c>
      <c r="O1785" s="1465"/>
    </row>
    <row r="1786" spans="11:15">
      <c r="K1786" s="1462">
        <v>43843</v>
      </c>
      <c r="L1786" s="1463" t="s">
        <v>2127</v>
      </c>
      <c r="M1786" s="1464">
        <v>1.7089E-2</v>
      </c>
      <c r="N1786" s="1465">
        <v>1.5755474242695655</v>
      </c>
      <c r="O1786" s="1465"/>
    </row>
    <row r="1787" spans="11:15">
      <c r="K1787" s="1462">
        <v>43844</v>
      </c>
      <c r="L1787" s="1463" t="s">
        <v>2127</v>
      </c>
      <c r="M1787" s="1464">
        <v>1.7089E-2</v>
      </c>
      <c r="N1787" s="1465">
        <v>1.5758166695688989</v>
      </c>
      <c r="O1787" s="1465"/>
    </row>
    <row r="1788" spans="11:15">
      <c r="K1788" s="1462">
        <v>43845</v>
      </c>
      <c r="L1788" s="1463" t="s">
        <v>2127</v>
      </c>
      <c r="M1788" s="1464">
        <v>1.7089E-2</v>
      </c>
      <c r="N1788" s="1465">
        <v>1.5760859608795614</v>
      </c>
      <c r="O1788" s="1465"/>
    </row>
    <row r="1789" spans="11:15">
      <c r="K1789" s="1462">
        <v>43846</v>
      </c>
      <c r="L1789" s="1463" t="s">
        <v>2127</v>
      </c>
      <c r="M1789" s="1464">
        <v>1.7089E-2</v>
      </c>
      <c r="N1789" s="1465">
        <v>1.576355298209416</v>
      </c>
      <c r="O1789" s="1465"/>
    </row>
    <row r="1790" spans="11:15">
      <c r="K1790" s="1462">
        <v>43847</v>
      </c>
      <c r="L1790" s="1463" t="s">
        <v>2127</v>
      </c>
      <c r="M1790" s="1464">
        <v>1.7089E-2</v>
      </c>
      <c r="N1790" s="1465">
        <v>1.576624681566327</v>
      </c>
      <c r="O1790" s="1465"/>
    </row>
    <row r="1791" spans="11:15">
      <c r="K1791" s="1462">
        <v>43848</v>
      </c>
      <c r="L1791" s="1463"/>
      <c r="M1791" s="1464">
        <v>0</v>
      </c>
      <c r="N1791" s="1465">
        <v>1.576624681566327</v>
      </c>
      <c r="O1791" s="1465"/>
    </row>
    <row r="1792" spans="11:15">
      <c r="K1792" s="1462">
        <v>43849</v>
      </c>
      <c r="L1792" s="1463"/>
      <c r="M1792" s="1464">
        <v>0</v>
      </c>
      <c r="N1792" s="1465">
        <v>1.576624681566327</v>
      </c>
      <c r="O1792" s="1465"/>
    </row>
    <row r="1793" spans="11:15">
      <c r="K1793" s="1462">
        <v>43850</v>
      </c>
      <c r="L1793" s="1463" t="s">
        <v>2127</v>
      </c>
      <c r="M1793" s="1464">
        <v>1.7089E-2</v>
      </c>
      <c r="N1793" s="1465">
        <v>1.5768941109581598</v>
      </c>
      <c r="O1793" s="1465"/>
    </row>
    <row r="1794" spans="11:15">
      <c r="K1794" s="1462">
        <v>43851</v>
      </c>
      <c r="L1794" s="1463" t="s">
        <v>2127</v>
      </c>
      <c r="M1794" s="1464">
        <v>1.7089E-2</v>
      </c>
      <c r="N1794" s="1465">
        <v>1.5771635863927813</v>
      </c>
      <c r="O1794" s="1465"/>
    </row>
    <row r="1795" spans="11:15">
      <c r="K1795" s="1462">
        <v>43852</v>
      </c>
      <c r="L1795" s="1463" t="s">
        <v>2127</v>
      </c>
      <c r="M1795" s="1464">
        <v>1.7089E-2</v>
      </c>
      <c r="N1795" s="1465">
        <v>1.5774331078780599</v>
      </c>
      <c r="O1795" s="1465"/>
    </row>
    <row r="1796" spans="11:15">
      <c r="K1796" s="1462">
        <v>43853</v>
      </c>
      <c r="L1796" s="1463" t="s">
        <v>2127</v>
      </c>
      <c r="M1796" s="1464">
        <v>1.7089E-2</v>
      </c>
      <c r="N1796" s="1465">
        <v>1.577702675421865</v>
      </c>
      <c r="O1796" s="1465"/>
    </row>
    <row r="1797" spans="11:15">
      <c r="K1797" s="1462">
        <v>43854</v>
      </c>
      <c r="L1797" s="1463" t="s">
        <v>2127</v>
      </c>
      <c r="M1797" s="1464">
        <v>1.7089E-2</v>
      </c>
      <c r="N1797" s="1465">
        <v>1.5779722890320678</v>
      </c>
      <c r="O1797" s="1465"/>
    </row>
    <row r="1798" spans="11:15">
      <c r="K1798" s="1462">
        <v>43855</v>
      </c>
      <c r="L1798" s="1463"/>
      <c r="M1798" s="1464">
        <v>0</v>
      </c>
      <c r="N1798" s="1465">
        <v>1.5779722890320678</v>
      </c>
      <c r="O1798" s="1465"/>
    </row>
    <row r="1799" spans="11:15">
      <c r="K1799" s="1462">
        <v>43856</v>
      </c>
      <c r="L1799" s="1463"/>
      <c r="M1799" s="1464">
        <v>0</v>
      </c>
      <c r="N1799" s="1465">
        <v>1.5779722890320678</v>
      </c>
      <c r="O1799" s="1465"/>
    </row>
    <row r="1800" spans="11:15">
      <c r="K1800" s="1462">
        <v>43857</v>
      </c>
      <c r="L1800" s="1463" t="s">
        <v>2127</v>
      </c>
      <c r="M1800" s="1464">
        <v>1.7089E-2</v>
      </c>
      <c r="N1800" s="1465">
        <v>1.5782419487165404</v>
      </c>
      <c r="O1800" s="1465"/>
    </row>
    <row r="1801" spans="11:15">
      <c r="K1801" s="1462">
        <v>43858</v>
      </c>
      <c r="L1801" s="1463" t="s">
        <v>2127</v>
      </c>
      <c r="M1801" s="1464">
        <v>1.7089E-2</v>
      </c>
      <c r="N1801" s="1465">
        <v>1.5785116544831566</v>
      </c>
      <c r="O1801" s="1465"/>
    </row>
    <row r="1802" spans="11:15">
      <c r="K1802" s="1462">
        <v>43859</v>
      </c>
      <c r="L1802" s="1463" t="s">
        <v>2127</v>
      </c>
      <c r="M1802" s="1464">
        <v>1.7089E-2</v>
      </c>
      <c r="N1802" s="1465">
        <v>1.5787814063397911</v>
      </c>
      <c r="O1802" s="1465"/>
    </row>
    <row r="1803" spans="11:15">
      <c r="K1803" s="1462">
        <v>43860</v>
      </c>
      <c r="L1803" s="1463" t="s">
        <v>2127</v>
      </c>
      <c r="M1803" s="1464">
        <v>1.7089E-2</v>
      </c>
      <c r="N1803" s="1465">
        <v>1.5790512042943203</v>
      </c>
      <c r="O1803" s="1465"/>
    </row>
    <row r="1804" spans="11:15">
      <c r="K1804" s="1462">
        <v>43861</v>
      </c>
      <c r="L1804" s="1463" t="s">
        <v>2127</v>
      </c>
      <c r="M1804" s="1464">
        <v>1.7089E-2</v>
      </c>
      <c r="N1804" s="1465">
        <v>1.5793210483546221</v>
      </c>
      <c r="O1804" s="1465"/>
    </row>
    <row r="1805" spans="11:15">
      <c r="K1805" s="1462">
        <v>43862</v>
      </c>
      <c r="L1805" s="1463"/>
      <c r="M1805" s="1464">
        <v>0</v>
      </c>
      <c r="N1805" s="1465">
        <v>1.5793210483546221</v>
      </c>
      <c r="O1805" s="1465"/>
    </row>
    <row r="1806" spans="11:15">
      <c r="K1806" s="1462">
        <v>43863</v>
      </c>
      <c r="L1806" s="1463"/>
      <c r="M1806" s="1464">
        <v>0</v>
      </c>
      <c r="N1806" s="1465">
        <v>1.5793210483546221</v>
      </c>
      <c r="O1806" s="1465"/>
    </row>
    <row r="1807" spans="11:15">
      <c r="K1807" s="1462">
        <v>43864</v>
      </c>
      <c r="L1807" s="1463" t="s">
        <v>2127</v>
      </c>
      <c r="M1807" s="1464">
        <v>1.7089E-2</v>
      </c>
      <c r="N1807" s="1465">
        <v>1.5795909385285754</v>
      </c>
      <c r="O1807" s="1465"/>
    </row>
    <row r="1808" spans="11:15">
      <c r="K1808" s="1462">
        <v>43865</v>
      </c>
      <c r="L1808" s="1463" t="s">
        <v>2127</v>
      </c>
      <c r="M1808" s="1464">
        <v>1.7089E-2</v>
      </c>
      <c r="N1808" s="1465">
        <v>1.5798608748240603</v>
      </c>
      <c r="O1808" s="1465"/>
    </row>
    <row r="1809" spans="11:15">
      <c r="K1809" s="1462">
        <v>43866</v>
      </c>
      <c r="L1809" s="1463" t="s">
        <v>2127</v>
      </c>
      <c r="M1809" s="1464">
        <v>1.7089E-2</v>
      </c>
      <c r="N1809" s="1465">
        <v>1.580130857248959</v>
      </c>
      <c r="O1809" s="1465"/>
    </row>
    <row r="1810" spans="11:15">
      <c r="K1810" s="1462">
        <v>43867</v>
      </c>
      <c r="L1810" s="1463" t="s">
        <v>2127</v>
      </c>
      <c r="M1810" s="1464">
        <v>1.6136999999999999E-2</v>
      </c>
      <c r="N1810" s="1465">
        <v>1.5803858429653934</v>
      </c>
      <c r="O1810" s="1465"/>
    </row>
    <row r="1811" spans="11:15">
      <c r="K1811" s="1462">
        <v>43868</v>
      </c>
      <c r="L1811" s="1463" t="s">
        <v>2127</v>
      </c>
      <c r="M1811" s="1464">
        <v>1.6136999999999999E-2</v>
      </c>
      <c r="N1811" s="1465">
        <v>1.5806408698288728</v>
      </c>
      <c r="O1811" s="1465"/>
    </row>
    <row r="1812" spans="11:15">
      <c r="K1812" s="1462">
        <v>43869</v>
      </c>
      <c r="L1812" s="1463"/>
      <c r="M1812" s="1464">
        <v>0</v>
      </c>
      <c r="N1812" s="1465">
        <v>1.5806408698288728</v>
      </c>
      <c r="O1812" s="1465"/>
    </row>
    <row r="1813" spans="11:15">
      <c r="K1813" s="1462">
        <v>43870</v>
      </c>
      <c r="L1813" s="1463"/>
      <c r="M1813" s="1464">
        <v>0</v>
      </c>
      <c r="N1813" s="1465">
        <v>1.5806408698288728</v>
      </c>
      <c r="O1813" s="1465"/>
    </row>
    <row r="1814" spans="11:15">
      <c r="K1814" s="1462">
        <v>43871</v>
      </c>
      <c r="L1814" s="1463" t="s">
        <v>2127</v>
      </c>
      <c r="M1814" s="1464">
        <v>1.6136999999999999E-2</v>
      </c>
      <c r="N1814" s="1465">
        <v>1.5808959378460372</v>
      </c>
      <c r="O1814" s="1465"/>
    </row>
    <row r="1815" spans="11:15">
      <c r="K1815" s="1462">
        <v>43872</v>
      </c>
      <c r="L1815" s="1463" t="s">
        <v>2127</v>
      </c>
      <c r="M1815" s="1464">
        <v>1.6136999999999999E-2</v>
      </c>
      <c r="N1815" s="1465">
        <v>1.5811510470235275</v>
      </c>
      <c r="O1815" s="1465"/>
    </row>
    <row r="1816" spans="11:15">
      <c r="K1816" s="1462">
        <v>43873</v>
      </c>
      <c r="L1816" s="1463" t="s">
        <v>2127</v>
      </c>
      <c r="M1816" s="1464">
        <v>1.6136999999999999E-2</v>
      </c>
      <c r="N1816" s="1465">
        <v>1.5814061973679858</v>
      </c>
      <c r="O1816" s="1465"/>
    </row>
    <row r="1817" spans="11:15">
      <c r="K1817" s="1462">
        <v>43874</v>
      </c>
      <c r="L1817" s="1463" t="s">
        <v>2127</v>
      </c>
      <c r="M1817" s="1464">
        <v>1.6136999999999999E-2</v>
      </c>
      <c r="N1817" s="1465">
        <v>1.5816613888860551</v>
      </c>
      <c r="O1817" s="1465"/>
    </row>
    <row r="1818" spans="11:15">
      <c r="K1818" s="1462">
        <v>43875</v>
      </c>
      <c r="L1818" s="1463" t="s">
        <v>2127</v>
      </c>
      <c r="M1818" s="1464">
        <v>1.6136999999999999E-2</v>
      </c>
      <c r="N1818" s="1465">
        <v>1.5819166215843798</v>
      </c>
      <c r="O1818" s="1465"/>
    </row>
    <row r="1819" spans="11:15">
      <c r="K1819" s="1462">
        <v>43876</v>
      </c>
      <c r="L1819" s="1463"/>
      <c r="M1819" s="1464">
        <v>0</v>
      </c>
      <c r="N1819" s="1465">
        <v>1.5819166215843798</v>
      </c>
      <c r="O1819" s="1465"/>
    </row>
    <row r="1820" spans="11:15">
      <c r="K1820" s="1462">
        <v>43877</v>
      </c>
      <c r="L1820" s="1463"/>
      <c r="M1820" s="1464">
        <v>0</v>
      </c>
      <c r="N1820" s="1465">
        <v>1.5819166215843798</v>
      </c>
      <c r="O1820" s="1465"/>
    </row>
    <row r="1821" spans="11:15">
      <c r="K1821" s="1462">
        <v>43878</v>
      </c>
      <c r="L1821" s="1463" t="s">
        <v>2127</v>
      </c>
      <c r="M1821" s="1464">
        <v>1.6136999999999999E-2</v>
      </c>
      <c r="N1821" s="1465">
        <v>1.5821718954696049</v>
      </c>
      <c r="O1821" s="1465"/>
    </row>
    <row r="1822" spans="11:15">
      <c r="K1822" s="1462">
        <v>43879</v>
      </c>
      <c r="L1822" s="1463" t="s">
        <v>2127</v>
      </c>
      <c r="M1822" s="1464">
        <v>1.6136999999999999E-2</v>
      </c>
      <c r="N1822" s="1465">
        <v>1.582427210548377</v>
      </c>
      <c r="O1822" s="1465"/>
    </row>
    <row r="1823" spans="11:15">
      <c r="K1823" s="1462">
        <v>43880</v>
      </c>
      <c r="L1823" s="1463" t="s">
        <v>2127</v>
      </c>
      <c r="M1823" s="1464">
        <v>1.6136999999999999E-2</v>
      </c>
      <c r="N1823" s="1465">
        <v>1.5826825668273432</v>
      </c>
      <c r="O1823" s="1465"/>
    </row>
    <row r="1824" spans="11:15">
      <c r="K1824" s="1462">
        <v>43881</v>
      </c>
      <c r="L1824" s="1463" t="s">
        <v>2127</v>
      </c>
      <c r="M1824" s="1464">
        <v>1.6136999999999999E-2</v>
      </c>
      <c r="N1824" s="1465">
        <v>1.5829379643131523</v>
      </c>
      <c r="O1824" s="1465"/>
    </row>
    <row r="1825" spans="11:15">
      <c r="K1825" s="1462">
        <v>43882</v>
      </c>
      <c r="L1825" s="1463" t="s">
        <v>2127</v>
      </c>
      <c r="M1825" s="1464">
        <v>1.6136999999999999E-2</v>
      </c>
      <c r="N1825" s="1465">
        <v>1.5831934030124535</v>
      </c>
      <c r="O1825" s="1465"/>
    </row>
    <row r="1826" spans="11:15">
      <c r="K1826" s="1462">
        <v>43883</v>
      </c>
      <c r="L1826" s="1463"/>
      <c r="M1826" s="1464">
        <v>0</v>
      </c>
      <c r="N1826" s="1465">
        <v>1.5831934030124535</v>
      </c>
      <c r="O1826" s="1465"/>
    </row>
    <row r="1827" spans="11:15">
      <c r="K1827" s="1462">
        <v>43884</v>
      </c>
      <c r="L1827" s="1463"/>
      <c r="M1827" s="1464">
        <v>0</v>
      </c>
      <c r="N1827" s="1465">
        <v>1.5831934030124535</v>
      </c>
      <c r="O1827" s="1465"/>
    </row>
    <row r="1828" spans="11:15">
      <c r="K1828" s="1462">
        <v>43885</v>
      </c>
      <c r="L1828" s="1463"/>
      <c r="M1828" s="1464">
        <v>0</v>
      </c>
      <c r="N1828" s="1465">
        <v>1.5831934030124535</v>
      </c>
      <c r="O1828" s="1465"/>
    </row>
    <row r="1829" spans="11:15">
      <c r="K1829" s="1462">
        <v>43886</v>
      </c>
      <c r="L1829" s="1463"/>
      <c r="M1829" s="1464">
        <v>0</v>
      </c>
      <c r="N1829" s="1465">
        <v>1.5831934030124535</v>
      </c>
      <c r="O1829" s="1465"/>
    </row>
    <row r="1830" spans="11:15">
      <c r="K1830" s="1462">
        <v>43887</v>
      </c>
      <c r="L1830" s="1463" t="s">
        <v>2127</v>
      </c>
      <c r="M1830" s="1464">
        <v>1.6136999999999999E-2</v>
      </c>
      <c r="N1830" s="1465">
        <v>1.5834488829318978</v>
      </c>
      <c r="O1830" s="1465"/>
    </row>
    <row r="1831" spans="11:15">
      <c r="K1831" s="1462">
        <v>43888</v>
      </c>
      <c r="L1831" s="1463" t="s">
        <v>2127</v>
      </c>
      <c r="M1831" s="1464">
        <v>1.6136999999999999E-2</v>
      </c>
      <c r="N1831" s="1465">
        <v>1.5837044040781365</v>
      </c>
      <c r="O1831" s="1465"/>
    </row>
    <row r="1832" spans="11:15">
      <c r="K1832" s="1462">
        <v>43889</v>
      </c>
      <c r="L1832" s="1463" t="s">
        <v>2127</v>
      </c>
      <c r="M1832" s="1464">
        <v>1.6136999999999999E-2</v>
      </c>
      <c r="N1832" s="1465">
        <v>1.5839599664578228</v>
      </c>
      <c r="O1832" s="1465"/>
    </row>
    <row r="1833" spans="11:15">
      <c r="K1833" s="1462">
        <v>43890</v>
      </c>
      <c r="L1833" s="1463"/>
      <c r="M1833" s="1464">
        <v>0</v>
      </c>
      <c r="N1833" s="1465">
        <v>1.5839599664578228</v>
      </c>
      <c r="O1833" s="1465"/>
    </row>
    <row r="1834" spans="11:15">
      <c r="K1834" s="1462">
        <v>43891</v>
      </c>
      <c r="L1834" s="1463"/>
      <c r="M1834" s="1464">
        <v>0</v>
      </c>
      <c r="N1834" s="1465">
        <v>1.5839599664578228</v>
      </c>
      <c r="O1834" s="1465"/>
    </row>
    <row r="1835" spans="11:15">
      <c r="K1835" s="1462">
        <v>43892</v>
      </c>
      <c r="L1835" s="1463" t="s">
        <v>2127</v>
      </c>
      <c r="M1835" s="1464">
        <v>1.6136999999999999E-2</v>
      </c>
      <c r="N1835" s="1465">
        <v>1.5842155700776102</v>
      </c>
      <c r="O1835" s="1465"/>
    </row>
    <row r="1836" spans="11:15">
      <c r="K1836" s="1462">
        <v>43893</v>
      </c>
      <c r="L1836" s="1463" t="s">
        <v>2127</v>
      </c>
      <c r="M1836" s="1464">
        <v>1.6136999999999999E-2</v>
      </c>
      <c r="N1836" s="1465">
        <v>1.5844712149441535</v>
      </c>
      <c r="O1836" s="1465"/>
    </row>
    <row r="1837" spans="11:15">
      <c r="K1837" s="1462">
        <v>43894</v>
      </c>
      <c r="L1837" s="1463" t="s">
        <v>2127</v>
      </c>
      <c r="M1837" s="1464">
        <v>1.6136999999999999E-2</v>
      </c>
      <c r="N1837" s="1465">
        <v>1.5847269010641092</v>
      </c>
      <c r="O1837" s="1465"/>
    </row>
    <row r="1838" spans="11:15">
      <c r="K1838" s="1462">
        <v>43895</v>
      </c>
      <c r="L1838" s="1463" t="s">
        <v>2127</v>
      </c>
      <c r="M1838" s="1464">
        <v>1.6136999999999999E-2</v>
      </c>
      <c r="N1838" s="1465">
        <v>1.584982628444134</v>
      </c>
      <c r="O1838" s="1465"/>
    </row>
    <row r="1839" spans="11:15">
      <c r="K1839" s="1462">
        <v>43896</v>
      </c>
      <c r="L1839" s="1463" t="s">
        <v>2127</v>
      </c>
      <c r="M1839" s="1464">
        <v>1.6136999999999999E-2</v>
      </c>
      <c r="N1839" s="1465">
        <v>1.5852383970908861</v>
      </c>
      <c r="O1839" s="1465"/>
    </row>
    <row r="1840" spans="11:15">
      <c r="K1840" s="1462">
        <v>43897</v>
      </c>
      <c r="L1840" s="1463"/>
      <c r="M1840" s="1464">
        <v>0</v>
      </c>
      <c r="N1840" s="1465">
        <v>1.5852383970908861</v>
      </c>
      <c r="O1840" s="1465"/>
    </row>
    <row r="1841" spans="11:15">
      <c r="K1841" s="1462">
        <v>43898</v>
      </c>
      <c r="L1841" s="1463"/>
      <c r="M1841" s="1464">
        <v>0</v>
      </c>
      <c r="N1841" s="1465">
        <v>1.5852383970908861</v>
      </c>
      <c r="O1841" s="1465"/>
    </row>
    <row r="1842" spans="11:15">
      <c r="K1842" s="1462">
        <v>43899</v>
      </c>
      <c r="L1842" s="1463" t="s">
        <v>2127</v>
      </c>
      <c r="M1842" s="1464">
        <v>1.6136999999999999E-2</v>
      </c>
      <c r="N1842" s="1465">
        <v>1.5854942070110247</v>
      </c>
      <c r="O1842" s="1465"/>
    </row>
    <row r="1843" spans="11:15">
      <c r="K1843" s="1462">
        <v>43900</v>
      </c>
      <c r="L1843" s="1463" t="s">
        <v>2127</v>
      </c>
      <c r="M1843" s="1464">
        <v>1.6136999999999999E-2</v>
      </c>
      <c r="N1843" s="1465">
        <v>1.5857500582112101</v>
      </c>
      <c r="O1843" s="1465"/>
    </row>
    <row r="1844" spans="11:15">
      <c r="K1844" s="1462">
        <v>43901</v>
      </c>
      <c r="L1844" s="1463" t="s">
        <v>2127</v>
      </c>
      <c r="M1844" s="1464">
        <v>1.6136999999999999E-2</v>
      </c>
      <c r="N1844" s="1465">
        <v>1.5860059506981037</v>
      </c>
      <c r="O1844" s="1465"/>
    </row>
    <row r="1845" spans="11:15">
      <c r="K1845" s="1462">
        <v>43902</v>
      </c>
      <c r="L1845" s="1463" t="s">
        <v>2127</v>
      </c>
      <c r="M1845" s="1464">
        <v>1.6136999999999999E-2</v>
      </c>
      <c r="N1845" s="1465">
        <v>1.586261884478368</v>
      </c>
      <c r="O1845" s="1465"/>
    </row>
    <row r="1846" spans="11:15">
      <c r="K1846" s="1462">
        <v>43903</v>
      </c>
      <c r="L1846" s="1463" t="s">
        <v>2127</v>
      </c>
      <c r="M1846" s="1464">
        <v>1.6136999999999999E-2</v>
      </c>
      <c r="N1846" s="1465">
        <v>1.5865178595586664</v>
      </c>
      <c r="O1846" s="1465"/>
    </row>
    <row r="1847" spans="11:15">
      <c r="K1847" s="1462">
        <v>43904</v>
      </c>
      <c r="L1847" s="1463"/>
      <c r="M1847" s="1464">
        <v>0</v>
      </c>
      <c r="N1847" s="1465">
        <v>1.5865178595586664</v>
      </c>
      <c r="O1847" s="1465"/>
    </row>
    <row r="1848" spans="11:15">
      <c r="K1848" s="1462">
        <v>43905</v>
      </c>
      <c r="L1848" s="1463"/>
      <c r="M1848" s="1464">
        <v>0</v>
      </c>
      <c r="N1848" s="1465">
        <v>1.5865178595586664</v>
      </c>
      <c r="O1848" s="1465"/>
    </row>
    <row r="1849" spans="11:15">
      <c r="K1849" s="1462">
        <v>43906</v>
      </c>
      <c r="L1849" s="1463" t="s">
        <v>2127</v>
      </c>
      <c r="M1849" s="1464">
        <v>1.6136999999999999E-2</v>
      </c>
      <c r="N1849" s="1465">
        <v>1.5867738759456635</v>
      </c>
      <c r="O1849" s="1465"/>
    </row>
    <row r="1850" spans="11:15">
      <c r="K1850" s="1462">
        <v>43907</v>
      </c>
      <c r="L1850" s="1463" t="s">
        <v>2127</v>
      </c>
      <c r="M1850" s="1464">
        <v>1.6136999999999999E-2</v>
      </c>
      <c r="N1850" s="1465">
        <v>1.587029933646025</v>
      </c>
      <c r="O1850" s="1465"/>
    </row>
    <row r="1851" spans="11:15">
      <c r="K1851" s="1462">
        <v>43908</v>
      </c>
      <c r="L1851" s="1463" t="s">
        <v>2127</v>
      </c>
      <c r="M1851" s="1464">
        <v>1.6136999999999999E-2</v>
      </c>
      <c r="N1851" s="1465">
        <v>1.5872860326664175</v>
      </c>
      <c r="O1851" s="1465"/>
    </row>
    <row r="1852" spans="11:15">
      <c r="K1852" s="1462">
        <v>43909</v>
      </c>
      <c r="L1852" s="1463" t="s">
        <v>2127</v>
      </c>
      <c r="M1852" s="1464">
        <v>1.4227E-2</v>
      </c>
      <c r="N1852" s="1465">
        <v>1.587511855850285</v>
      </c>
      <c r="O1852" s="1465"/>
    </row>
    <row r="1853" spans="11:15">
      <c r="K1853" s="1462">
        <v>43910</v>
      </c>
      <c r="L1853" s="1463" t="s">
        <v>2127</v>
      </c>
      <c r="M1853" s="1464">
        <v>1.4227E-2</v>
      </c>
      <c r="N1853" s="1465">
        <v>1.5877377111620168</v>
      </c>
      <c r="O1853" s="1465"/>
    </row>
    <row r="1854" spans="11:15">
      <c r="K1854" s="1462">
        <v>43911</v>
      </c>
      <c r="L1854" s="1463"/>
      <c r="M1854" s="1464">
        <v>0</v>
      </c>
      <c r="N1854" s="1465">
        <v>1.5877377111620168</v>
      </c>
      <c r="O1854" s="1465"/>
    </row>
    <row r="1855" spans="11:15">
      <c r="K1855" s="1462">
        <v>43912</v>
      </c>
      <c r="L1855" s="1463"/>
      <c r="M1855" s="1464">
        <v>0</v>
      </c>
      <c r="N1855" s="1465">
        <v>1.5877377111620168</v>
      </c>
      <c r="O1855" s="1465"/>
    </row>
    <row r="1856" spans="11:15">
      <c r="K1856" s="1462">
        <v>43913</v>
      </c>
      <c r="L1856" s="1463" t="s">
        <v>2127</v>
      </c>
      <c r="M1856" s="1464">
        <v>1.4227E-2</v>
      </c>
      <c r="N1856" s="1465">
        <v>1.5879635986061837</v>
      </c>
      <c r="O1856" s="1465"/>
    </row>
    <row r="1857" spans="11:15">
      <c r="K1857" s="1462">
        <v>43914</v>
      </c>
      <c r="L1857" s="1463" t="s">
        <v>2127</v>
      </c>
      <c r="M1857" s="1464">
        <v>1.4227E-2</v>
      </c>
      <c r="N1857" s="1465">
        <v>1.5881895181873575</v>
      </c>
      <c r="O1857" s="1465"/>
    </row>
    <row r="1858" spans="11:15">
      <c r="K1858" s="1462">
        <v>43915</v>
      </c>
      <c r="L1858" s="1463" t="s">
        <v>2127</v>
      </c>
      <c r="M1858" s="1464">
        <v>1.4227E-2</v>
      </c>
      <c r="N1858" s="1465">
        <v>1.5884154699101101</v>
      </c>
      <c r="O1858" s="1465"/>
    </row>
    <row r="1859" spans="11:15">
      <c r="K1859" s="1462">
        <v>43916</v>
      </c>
      <c r="L1859" s="1463" t="s">
        <v>2127</v>
      </c>
      <c r="M1859" s="1464">
        <v>1.4227E-2</v>
      </c>
      <c r="N1859" s="1465">
        <v>1.5886414537790141</v>
      </c>
      <c r="O1859" s="1465"/>
    </row>
    <row r="1860" spans="11:15">
      <c r="K1860" s="1462">
        <v>43917</v>
      </c>
      <c r="L1860" s="1463" t="s">
        <v>2127</v>
      </c>
      <c r="M1860" s="1464">
        <v>1.4227E-2</v>
      </c>
      <c r="N1860" s="1465">
        <v>1.5888674697986434</v>
      </c>
      <c r="O1860" s="1465"/>
    </row>
    <row r="1861" spans="11:15">
      <c r="K1861" s="1462">
        <v>43918</v>
      </c>
      <c r="L1861" s="1463"/>
      <c r="M1861" s="1464">
        <v>0</v>
      </c>
      <c r="N1861" s="1465">
        <v>1.5888674697986434</v>
      </c>
      <c r="O1861" s="1465"/>
    </row>
    <row r="1862" spans="11:15">
      <c r="K1862" s="1462">
        <v>43919</v>
      </c>
      <c r="L1862" s="1463"/>
      <c r="M1862" s="1464">
        <v>0</v>
      </c>
      <c r="N1862" s="1465">
        <v>1.5888674697986434</v>
      </c>
      <c r="O1862" s="1465"/>
    </row>
    <row r="1863" spans="11:15">
      <c r="K1863" s="1462">
        <v>43920</v>
      </c>
      <c r="L1863" s="1463" t="s">
        <v>2127</v>
      </c>
      <c r="M1863" s="1464">
        <v>1.4227E-2</v>
      </c>
      <c r="N1863" s="1465">
        <v>1.5890935179735717</v>
      </c>
      <c r="O1863" s="1465"/>
    </row>
    <row r="1864" spans="11:15">
      <c r="K1864" s="1462">
        <v>43921</v>
      </c>
      <c r="L1864" s="1463" t="s">
        <v>2127</v>
      </c>
      <c r="M1864" s="1464">
        <v>1.4227E-2</v>
      </c>
      <c r="N1864" s="1465">
        <v>1.5893195983083739</v>
      </c>
      <c r="O1864" s="1465"/>
    </row>
    <row r="1865" spans="11:15">
      <c r="K1865" s="1462">
        <v>43922</v>
      </c>
      <c r="L1865" s="1463" t="s">
        <v>2127</v>
      </c>
      <c r="M1865" s="1464">
        <v>1.4227E-2</v>
      </c>
      <c r="N1865" s="1465">
        <v>1.5895457108076252</v>
      </c>
      <c r="O1865" s="1465"/>
    </row>
    <row r="1866" spans="11:15">
      <c r="K1866" s="1462">
        <v>43923</v>
      </c>
      <c r="L1866" s="1463" t="s">
        <v>2127</v>
      </c>
      <c r="M1866" s="1464">
        <v>1.4227E-2</v>
      </c>
      <c r="N1866" s="1465">
        <v>1.5897718554759017</v>
      </c>
      <c r="O1866" s="1465"/>
    </row>
    <row r="1867" spans="11:15">
      <c r="K1867" s="1462">
        <v>43924</v>
      </c>
      <c r="L1867" s="1463" t="s">
        <v>2127</v>
      </c>
      <c r="M1867" s="1464">
        <v>1.4227E-2</v>
      </c>
      <c r="N1867" s="1465">
        <v>1.5899980323177803</v>
      </c>
      <c r="O1867" s="1465"/>
    </row>
    <row r="1868" spans="11:15">
      <c r="K1868" s="1462">
        <v>43925</v>
      </c>
      <c r="L1868" s="1463"/>
      <c r="M1868" s="1464">
        <v>0</v>
      </c>
      <c r="N1868" s="1465">
        <v>1.5899980323177803</v>
      </c>
      <c r="O1868" s="1465"/>
    </row>
    <row r="1869" spans="11:15">
      <c r="K1869" s="1462">
        <v>43926</v>
      </c>
      <c r="L1869" s="1463"/>
      <c r="M1869" s="1464">
        <v>0</v>
      </c>
      <c r="N1869" s="1465">
        <v>1.5899980323177803</v>
      </c>
      <c r="O1869" s="1465"/>
    </row>
    <row r="1870" spans="11:15">
      <c r="K1870" s="1462">
        <v>43927</v>
      </c>
      <c r="L1870" s="1463" t="s">
        <v>2127</v>
      </c>
      <c r="M1870" s="1464">
        <v>1.4227E-2</v>
      </c>
      <c r="N1870" s="1465">
        <v>1.590224241337838</v>
      </c>
      <c r="O1870" s="1465"/>
    </row>
    <row r="1871" spans="11:15">
      <c r="K1871" s="1462">
        <v>43928</v>
      </c>
      <c r="L1871" s="1463" t="s">
        <v>2127</v>
      </c>
      <c r="M1871" s="1464">
        <v>1.4227E-2</v>
      </c>
      <c r="N1871" s="1465">
        <v>1.5904504825406531</v>
      </c>
      <c r="O1871" s="1465"/>
    </row>
    <row r="1872" spans="11:15">
      <c r="K1872" s="1462">
        <v>43929</v>
      </c>
      <c r="L1872" s="1463" t="s">
        <v>2127</v>
      </c>
      <c r="M1872" s="1464">
        <v>1.4227E-2</v>
      </c>
      <c r="N1872" s="1465">
        <v>1.5906767559308042</v>
      </c>
      <c r="O1872" s="1465"/>
    </row>
    <row r="1873" spans="11:15">
      <c r="K1873" s="1462">
        <v>43930</v>
      </c>
      <c r="L1873" s="1463" t="s">
        <v>2127</v>
      </c>
      <c r="M1873" s="1464">
        <v>1.4227E-2</v>
      </c>
      <c r="N1873" s="1465">
        <v>1.5909030615128705</v>
      </c>
      <c r="O1873" s="1465"/>
    </row>
    <row r="1874" spans="11:15">
      <c r="K1874" s="1462">
        <v>43931</v>
      </c>
      <c r="L1874" s="1463"/>
      <c r="M1874" s="1464">
        <v>0</v>
      </c>
      <c r="N1874" s="1465">
        <v>1.5909030615128705</v>
      </c>
      <c r="O1874" s="1465"/>
    </row>
    <row r="1875" spans="11:15">
      <c r="K1875" s="1462">
        <v>43932</v>
      </c>
      <c r="L1875" s="1463"/>
      <c r="M1875" s="1464">
        <v>0</v>
      </c>
      <c r="N1875" s="1465">
        <v>1.5909030615128705</v>
      </c>
      <c r="O1875" s="1465"/>
    </row>
    <row r="1876" spans="11:15">
      <c r="K1876" s="1462">
        <v>43933</v>
      </c>
      <c r="L1876" s="1463"/>
      <c r="M1876" s="1464">
        <v>0</v>
      </c>
      <c r="N1876" s="1465">
        <v>1.5909030615128705</v>
      </c>
      <c r="O1876" s="1465"/>
    </row>
    <row r="1877" spans="11:15">
      <c r="K1877" s="1462">
        <v>43934</v>
      </c>
      <c r="L1877" s="1463" t="s">
        <v>2127</v>
      </c>
      <c r="M1877" s="1464">
        <v>1.4227E-2</v>
      </c>
      <c r="N1877" s="1465">
        <v>1.5911293992914319</v>
      </c>
      <c r="O1877" s="1465"/>
    </row>
    <row r="1878" spans="11:15">
      <c r="K1878" s="1462">
        <v>43935</v>
      </c>
      <c r="L1878" s="1463" t="s">
        <v>2127</v>
      </c>
      <c r="M1878" s="1464">
        <v>1.4227E-2</v>
      </c>
      <c r="N1878" s="1465">
        <v>1.5913557692710691</v>
      </c>
      <c r="O1878" s="1465"/>
    </row>
    <row r="1879" spans="11:15">
      <c r="K1879" s="1462">
        <v>43936</v>
      </c>
      <c r="L1879" s="1463" t="s">
        <v>2127</v>
      </c>
      <c r="M1879" s="1464">
        <v>1.4227E-2</v>
      </c>
      <c r="N1879" s="1465">
        <v>1.5915821714563634</v>
      </c>
      <c r="O1879" s="1465"/>
    </row>
    <row r="1880" spans="11:15">
      <c r="K1880" s="1462">
        <v>43937</v>
      </c>
      <c r="L1880" s="1463" t="s">
        <v>2127</v>
      </c>
      <c r="M1880" s="1464">
        <v>1.4227E-2</v>
      </c>
      <c r="N1880" s="1465">
        <v>1.5918086058518965</v>
      </c>
      <c r="O1880" s="1465"/>
    </row>
    <row r="1881" spans="11:15">
      <c r="K1881" s="1462">
        <v>43938</v>
      </c>
      <c r="L1881" s="1463" t="s">
        <v>2127</v>
      </c>
      <c r="M1881" s="1464">
        <v>1.4227E-2</v>
      </c>
      <c r="N1881" s="1465">
        <v>1.5920350724622512</v>
      </c>
      <c r="O1881" s="1465"/>
    </row>
    <row r="1882" spans="11:15">
      <c r="K1882" s="1462">
        <v>43939</v>
      </c>
      <c r="L1882" s="1463"/>
      <c r="M1882" s="1464">
        <v>0</v>
      </c>
      <c r="N1882" s="1465">
        <v>1.5920350724622512</v>
      </c>
      <c r="O1882" s="1465"/>
    </row>
    <row r="1883" spans="11:15">
      <c r="K1883" s="1462">
        <v>43940</v>
      </c>
      <c r="L1883" s="1463"/>
      <c r="M1883" s="1464">
        <v>0</v>
      </c>
      <c r="N1883" s="1465">
        <v>1.5920350724622512</v>
      </c>
      <c r="O1883" s="1465"/>
    </row>
    <row r="1884" spans="11:15">
      <c r="K1884" s="1462">
        <v>43941</v>
      </c>
      <c r="L1884" s="1463" t="s">
        <v>2127</v>
      </c>
      <c r="M1884" s="1464">
        <v>1.4227E-2</v>
      </c>
      <c r="N1884" s="1465">
        <v>1.5922615712920103</v>
      </c>
      <c r="O1884" s="1465"/>
    </row>
    <row r="1885" spans="11:15">
      <c r="K1885" s="1462">
        <v>43942</v>
      </c>
      <c r="L1885" s="1463"/>
      <c r="M1885" s="1464">
        <v>0</v>
      </c>
      <c r="N1885" s="1465">
        <v>1.5922615712920103</v>
      </c>
      <c r="O1885" s="1465"/>
    </row>
    <row r="1886" spans="11:15">
      <c r="K1886" s="1462">
        <v>43943</v>
      </c>
      <c r="L1886" s="1463" t="s">
        <v>2127</v>
      </c>
      <c r="M1886" s="1464">
        <v>1.4227E-2</v>
      </c>
      <c r="N1886" s="1465">
        <v>1.592488102345758</v>
      </c>
      <c r="O1886" s="1465"/>
    </row>
    <row r="1887" spans="11:15">
      <c r="K1887" s="1462">
        <v>43944</v>
      </c>
      <c r="L1887" s="1463" t="s">
        <v>2127</v>
      </c>
      <c r="M1887" s="1464">
        <v>1.4227E-2</v>
      </c>
      <c r="N1887" s="1465">
        <v>1.5927146656280786</v>
      </c>
      <c r="O1887" s="1465"/>
    </row>
    <row r="1888" spans="11:15">
      <c r="K1888" s="1462">
        <v>43945</v>
      </c>
      <c r="L1888" s="1463" t="s">
        <v>2127</v>
      </c>
      <c r="M1888" s="1464">
        <v>1.4227E-2</v>
      </c>
      <c r="N1888" s="1465">
        <v>1.5929412611435576</v>
      </c>
      <c r="O1888" s="1465"/>
    </row>
    <row r="1889" spans="11:15">
      <c r="K1889" s="1462">
        <v>43946</v>
      </c>
      <c r="L1889" s="1463"/>
      <c r="M1889" s="1464">
        <v>0</v>
      </c>
      <c r="N1889" s="1465">
        <v>1.5929412611435576</v>
      </c>
      <c r="O1889" s="1465"/>
    </row>
    <row r="1890" spans="11:15">
      <c r="K1890" s="1462">
        <v>43947</v>
      </c>
      <c r="L1890" s="1463"/>
      <c r="M1890" s="1464">
        <v>0</v>
      </c>
      <c r="N1890" s="1465">
        <v>1.5929412611435576</v>
      </c>
      <c r="O1890" s="1465"/>
    </row>
    <row r="1891" spans="11:15">
      <c r="K1891" s="1462">
        <v>43948</v>
      </c>
      <c r="L1891" s="1463" t="s">
        <v>2127</v>
      </c>
      <c r="M1891" s="1464">
        <v>1.4227E-2</v>
      </c>
      <c r="N1891" s="1465">
        <v>1.5931678888967804</v>
      </c>
      <c r="O1891" s="1465"/>
    </row>
    <row r="1892" spans="11:15">
      <c r="K1892" s="1462">
        <v>43949</v>
      </c>
      <c r="L1892" s="1463" t="s">
        <v>2127</v>
      </c>
      <c r="M1892" s="1464">
        <v>1.4227E-2</v>
      </c>
      <c r="N1892" s="1465">
        <v>1.5933945488923338</v>
      </c>
      <c r="O1892" s="1465"/>
    </row>
    <row r="1893" spans="11:15">
      <c r="K1893" s="1462">
        <v>43950</v>
      </c>
      <c r="L1893" s="1463" t="s">
        <v>2127</v>
      </c>
      <c r="M1893" s="1464">
        <v>1.4227E-2</v>
      </c>
      <c r="N1893" s="1465">
        <v>1.5936212411348047</v>
      </c>
      <c r="O1893" s="1465"/>
    </row>
    <row r="1894" spans="11:15">
      <c r="K1894" s="1462">
        <v>43951</v>
      </c>
      <c r="L1894" s="1463" t="s">
        <v>2127</v>
      </c>
      <c r="M1894" s="1464">
        <v>1.4227E-2</v>
      </c>
      <c r="N1894" s="1465">
        <v>1.5938479656287809</v>
      </c>
      <c r="O1894" s="1465"/>
    </row>
    <row r="1895" spans="11:15">
      <c r="K1895" s="1462">
        <v>43952</v>
      </c>
      <c r="L1895" s="1463"/>
      <c r="M1895" s="1464">
        <v>0</v>
      </c>
      <c r="N1895" s="1465">
        <v>1.5938479656287809</v>
      </c>
      <c r="O1895" s="1465"/>
    </row>
    <row r="1896" spans="11:15">
      <c r="K1896" s="1462">
        <v>43953</v>
      </c>
      <c r="L1896" s="1463"/>
      <c r="M1896" s="1464">
        <v>0</v>
      </c>
      <c r="N1896" s="1465">
        <v>1.5938479656287809</v>
      </c>
      <c r="O1896" s="1465"/>
    </row>
    <row r="1897" spans="11:15">
      <c r="K1897" s="1462">
        <v>43954</v>
      </c>
      <c r="L1897" s="1463"/>
      <c r="M1897" s="1464">
        <v>0</v>
      </c>
      <c r="N1897" s="1465">
        <v>1.5938479656287809</v>
      </c>
      <c r="O1897" s="1465"/>
    </row>
    <row r="1898" spans="11:15">
      <c r="K1898" s="1462">
        <v>43955</v>
      </c>
      <c r="L1898" s="1463" t="s">
        <v>2127</v>
      </c>
      <c r="M1898" s="1464">
        <v>1.4227E-2</v>
      </c>
      <c r="N1898" s="1465">
        <v>1.594074722378851</v>
      </c>
      <c r="O1898" s="1465"/>
    </row>
    <row r="1899" spans="11:15">
      <c r="K1899" s="1462">
        <v>43956</v>
      </c>
      <c r="L1899" s="1463" t="s">
        <v>2127</v>
      </c>
      <c r="M1899" s="1464">
        <v>1.4227E-2</v>
      </c>
      <c r="N1899" s="1465">
        <v>1.5943015113896037</v>
      </c>
      <c r="O1899" s="1465"/>
    </row>
    <row r="1900" spans="11:15">
      <c r="K1900" s="1462">
        <v>43957</v>
      </c>
      <c r="L1900" s="1463" t="s">
        <v>2127</v>
      </c>
      <c r="M1900" s="1464">
        <v>1.4227E-2</v>
      </c>
      <c r="N1900" s="1465">
        <v>1.5945283326656292</v>
      </c>
      <c r="O1900" s="1465"/>
    </row>
    <row r="1901" spans="11:15">
      <c r="K1901" s="1462">
        <v>43958</v>
      </c>
      <c r="L1901" s="1463" t="s">
        <v>2127</v>
      </c>
      <c r="M1901" s="1464">
        <v>1.1344999999999999E-2</v>
      </c>
      <c r="N1901" s="1465">
        <v>1.59470923190497</v>
      </c>
      <c r="O1901" s="1465"/>
    </row>
    <row r="1902" spans="11:15">
      <c r="K1902" s="1462">
        <v>43959</v>
      </c>
      <c r="L1902" s="1463" t="s">
        <v>2127</v>
      </c>
      <c r="M1902" s="1464">
        <v>1.1344999999999999E-2</v>
      </c>
      <c r="N1902" s="1465">
        <v>1.5948901516673295</v>
      </c>
      <c r="O1902" s="1465"/>
    </row>
    <row r="1903" spans="11:15">
      <c r="K1903" s="1462">
        <v>43960</v>
      </c>
      <c r="L1903" s="1463"/>
      <c r="M1903" s="1464">
        <v>0</v>
      </c>
      <c r="N1903" s="1465">
        <v>1.5948901516673295</v>
      </c>
      <c r="O1903" s="1465"/>
    </row>
    <row r="1904" spans="11:15">
      <c r="K1904" s="1462">
        <v>43961</v>
      </c>
      <c r="L1904" s="1463"/>
      <c r="M1904" s="1464">
        <v>0</v>
      </c>
      <c r="N1904" s="1465">
        <v>1.5948901516673295</v>
      </c>
      <c r="O1904" s="1465"/>
    </row>
    <row r="1905" spans="11:15">
      <c r="K1905" s="1462">
        <v>43962</v>
      </c>
      <c r="L1905" s="1463" t="s">
        <v>2127</v>
      </c>
      <c r="M1905" s="1464">
        <v>1.1344999999999999E-2</v>
      </c>
      <c r="N1905" s="1465">
        <v>1.5950710919550362</v>
      </c>
      <c r="O1905" s="1465"/>
    </row>
    <row r="1906" spans="11:15">
      <c r="K1906" s="1462">
        <v>43963</v>
      </c>
      <c r="L1906" s="1463" t="s">
        <v>2127</v>
      </c>
      <c r="M1906" s="1464">
        <v>1.1344999999999999E-2</v>
      </c>
      <c r="N1906" s="1465">
        <v>1.5952520527704184</v>
      </c>
      <c r="O1906" s="1465"/>
    </row>
    <row r="1907" spans="11:15">
      <c r="K1907" s="1462">
        <v>43964</v>
      </c>
      <c r="L1907" s="1463" t="s">
        <v>2127</v>
      </c>
      <c r="M1907" s="1464">
        <v>1.1344999999999999E-2</v>
      </c>
      <c r="N1907" s="1465">
        <v>1.5954330341158052</v>
      </c>
      <c r="O1907" s="1465"/>
    </row>
    <row r="1908" spans="11:15">
      <c r="K1908" s="1462">
        <v>43965</v>
      </c>
      <c r="L1908" s="1463" t="s">
        <v>2127</v>
      </c>
      <c r="M1908" s="1464">
        <v>1.1344999999999999E-2</v>
      </c>
      <c r="N1908" s="1465">
        <v>1.5956140359935256</v>
      </c>
      <c r="O1908" s="1465"/>
    </row>
    <row r="1909" spans="11:15">
      <c r="K1909" s="1462">
        <v>43966</v>
      </c>
      <c r="L1909" s="1463" t="s">
        <v>2127</v>
      </c>
      <c r="M1909" s="1464">
        <v>1.1344999999999999E-2</v>
      </c>
      <c r="N1909" s="1465">
        <v>1.5957950584059091</v>
      </c>
      <c r="O1909" s="1465"/>
    </row>
    <row r="1910" spans="11:15">
      <c r="K1910" s="1462">
        <v>43967</v>
      </c>
      <c r="L1910" s="1463"/>
      <c r="M1910" s="1464">
        <v>0</v>
      </c>
      <c r="N1910" s="1465">
        <v>1.5957950584059091</v>
      </c>
      <c r="O1910" s="1465"/>
    </row>
    <row r="1911" spans="11:15">
      <c r="K1911" s="1462">
        <v>43968</v>
      </c>
      <c r="L1911" s="1463"/>
      <c r="M1911" s="1464">
        <v>0</v>
      </c>
      <c r="N1911" s="1465">
        <v>1.5957950584059091</v>
      </c>
      <c r="O1911" s="1465"/>
    </row>
    <row r="1912" spans="11:15">
      <c r="K1912" s="1462">
        <v>43969</v>
      </c>
      <c r="L1912" s="1463" t="s">
        <v>2127</v>
      </c>
      <c r="M1912" s="1464">
        <v>1.1344999999999999E-2</v>
      </c>
      <c r="N1912" s="1465">
        <v>1.5959761013552851</v>
      </c>
      <c r="O1912" s="1465"/>
    </row>
    <row r="1913" spans="11:15">
      <c r="K1913" s="1462">
        <v>43970</v>
      </c>
      <c r="L1913" s="1463" t="s">
        <v>2127</v>
      </c>
      <c r="M1913" s="1464">
        <v>1.1344999999999999E-2</v>
      </c>
      <c r="N1913" s="1465">
        <v>1.5961571648439838</v>
      </c>
      <c r="O1913" s="1465"/>
    </row>
    <row r="1914" spans="11:15">
      <c r="K1914" s="1462">
        <v>43971</v>
      </c>
      <c r="L1914" s="1463" t="s">
        <v>2127</v>
      </c>
      <c r="M1914" s="1464">
        <v>1.1344999999999999E-2</v>
      </c>
      <c r="N1914" s="1465">
        <v>1.5963382488743354</v>
      </c>
      <c r="O1914" s="1465"/>
    </row>
    <row r="1915" spans="11:15">
      <c r="K1915" s="1462">
        <v>43972</v>
      </c>
      <c r="L1915" s="1463" t="s">
        <v>2127</v>
      </c>
      <c r="M1915" s="1464">
        <v>1.1344999999999999E-2</v>
      </c>
      <c r="N1915" s="1465">
        <v>1.5965193534486701</v>
      </c>
      <c r="O1915" s="1465"/>
    </row>
    <row r="1916" spans="11:15">
      <c r="K1916" s="1462">
        <v>43973</v>
      </c>
      <c r="L1916" s="1463" t="s">
        <v>2127</v>
      </c>
      <c r="M1916" s="1464">
        <v>1.1344999999999999E-2</v>
      </c>
      <c r="N1916" s="1465">
        <v>1.5967004785693188</v>
      </c>
      <c r="O1916" s="1465"/>
    </row>
    <row r="1917" spans="11:15">
      <c r="K1917" s="1462">
        <v>43974</v>
      </c>
      <c r="L1917" s="1463"/>
      <c r="M1917" s="1464">
        <v>0</v>
      </c>
      <c r="N1917" s="1465">
        <v>1.5967004785693188</v>
      </c>
      <c r="O1917" s="1465"/>
    </row>
    <row r="1918" spans="11:15">
      <c r="K1918" s="1462">
        <v>43975</v>
      </c>
      <c r="L1918" s="1463"/>
      <c r="M1918" s="1464">
        <v>0</v>
      </c>
      <c r="N1918" s="1465">
        <v>1.5967004785693188</v>
      </c>
      <c r="O1918" s="1465"/>
    </row>
    <row r="1919" spans="11:15">
      <c r="K1919" s="1462">
        <v>43976</v>
      </c>
      <c r="L1919" s="1463" t="s">
        <v>2127</v>
      </c>
      <c r="M1919" s="1464">
        <v>1.1344999999999999E-2</v>
      </c>
      <c r="N1919" s="1465">
        <v>1.5968816242386126</v>
      </c>
      <c r="O1919" s="1465"/>
    </row>
    <row r="1920" spans="11:15">
      <c r="K1920" s="1462">
        <v>43977</v>
      </c>
      <c r="L1920" s="1463" t="s">
        <v>2127</v>
      </c>
      <c r="M1920" s="1464">
        <v>1.1344999999999999E-2</v>
      </c>
      <c r="N1920" s="1465">
        <v>1.5970627904588823</v>
      </c>
      <c r="O1920" s="1465"/>
    </row>
    <row r="1921" spans="11:15">
      <c r="K1921" s="1462">
        <v>43978</v>
      </c>
      <c r="L1921" s="1463" t="s">
        <v>2127</v>
      </c>
      <c r="M1921" s="1464">
        <v>1.1344999999999999E-2</v>
      </c>
      <c r="N1921" s="1465">
        <v>1.5972439772324598</v>
      </c>
      <c r="O1921" s="1465"/>
    </row>
    <row r="1922" spans="11:15">
      <c r="K1922" s="1462">
        <v>43979</v>
      </c>
      <c r="L1922" s="1463" t="s">
        <v>2127</v>
      </c>
      <c r="M1922" s="1464">
        <v>1.1344999999999999E-2</v>
      </c>
      <c r="N1922" s="1465">
        <v>1.5974251845616767</v>
      </c>
      <c r="O1922" s="1465"/>
    </row>
    <row r="1923" spans="11:15">
      <c r="K1923" s="1462">
        <v>43980</v>
      </c>
      <c r="L1923" s="1463" t="s">
        <v>2127</v>
      </c>
      <c r="M1923" s="1464">
        <v>1.1344999999999999E-2</v>
      </c>
      <c r="N1923" s="1465">
        <v>1.5976064124488651</v>
      </c>
      <c r="O1923" s="1465"/>
    </row>
    <row r="1924" spans="11:15">
      <c r="K1924" s="1462">
        <v>43981</v>
      </c>
      <c r="L1924" s="1463"/>
      <c r="M1924" s="1464">
        <v>0</v>
      </c>
      <c r="N1924" s="1465">
        <v>1.5976064124488651</v>
      </c>
      <c r="O1924" s="1465"/>
    </row>
    <row r="1925" spans="11:15">
      <c r="K1925" s="1462">
        <v>43982</v>
      </c>
      <c r="L1925" s="1463"/>
      <c r="M1925" s="1464">
        <v>0</v>
      </c>
      <c r="N1925" s="1465">
        <v>1.5976064124488651</v>
      </c>
      <c r="O1925" s="1465"/>
    </row>
    <row r="1926" spans="11:15">
      <c r="K1926" s="1462">
        <v>43983</v>
      </c>
      <c r="L1926" s="1463" t="s">
        <v>2127</v>
      </c>
      <c r="M1926" s="1464">
        <v>1.1344999999999999E-2</v>
      </c>
      <c r="N1926" s="1465">
        <v>1.5977876608963575</v>
      </c>
      <c r="O1926" s="1465"/>
    </row>
    <row r="1927" spans="11:15">
      <c r="K1927" s="1462">
        <v>43984</v>
      </c>
      <c r="L1927" s="1463" t="s">
        <v>2127</v>
      </c>
      <c r="M1927" s="1464">
        <v>1.1344999999999999E-2</v>
      </c>
      <c r="N1927" s="1465">
        <v>1.5979689299064861</v>
      </c>
      <c r="O1927" s="1465"/>
    </row>
    <row r="1928" spans="11:15">
      <c r="K1928" s="1462">
        <v>43985</v>
      </c>
      <c r="L1928" s="1463" t="s">
        <v>2127</v>
      </c>
      <c r="M1928" s="1464">
        <v>1.1344999999999999E-2</v>
      </c>
      <c r="N1928" s="1465">
        <v>1.598150219481584</v>
      </c>
      <c r="O1928" s="1465"/>
    </row>
    <row r="1929" spans="11:15">
      <c r="K1929" s="1462">
        <v>43986</v>
      </c>
      <c r="L1929" s="1463" t="s">
        <v>2127</v>
      </c>
      <c r="M1929" s="1464">
        <v>1.1344999999999999E-2</v>
      </c>
      <c r="N1929" s="1465">
        <v>1.5983315296239842</v>
      </c>
      <c r="O1929" s="1465"/>
    </row>
    <row r="1930" spans="11:15">
      <c r="K1930" s="1462">
        <v>43987</v>
      </c>
      <c r="L1930" s="1463" t="s">
        <v>2127</v>
      </c>
      <c r="M1930" s="1464">
        <v>1.1344999999999999E-2</v>
      </c>
      <c r="N1930" s="1465">
        <v>1.5985128603360199</v>
      </c>
      <c r="O1930" s="1465"/>
    </row>
    <row r="1931" spans="11:15">
      <c r="K1931" s="1462">
        <v>43988</v>
      </c>
      <c r="L1931" s="1463"/>
      <c r="M1931" s="1464">
        <v>0</v>
      </c>
      <c r="N1931" s="1465">
        <v>1.5985128603360199</v>
      </c>
      <c r="O1931" s="1465"/>
    </row>
    <row r="1932" spans="11:15">
      <c r="K1932" s="1462">
        <v>43989</v>
      </c>
      <c r="L1932" s="1463"/>
      <c r="M1932" s="1464">
        <v>0</v>
      </c>
      <c r="N1932" s="1465">
        <v>1.5985128603360199</v>
      </c>
      <c r="O1932" s="1465"/>
    </row>
    <row r="1933" spans="11:15">
      <c r="K1933" s="1462">
        <v>43990</v>
      </c>
      <c r="L1933" s="1463" t="s">
        <v>2127</v>
      </c>
      <c r="M1933" s="1464">
        <v>1.1344999999999999E-2</v>
      </c>
      <c r="N1933" s="1465">
        <v>1.5986942116200249</v>
      </c>
      <c r="O1933" s="1465"/>
    </row>
    <row r="1934" spans="11:15">
      <c r="K1934" s="1462">
        <v>43991</v>
      </c>
      <c r="L1934" s="1463" t="s">
        <v>2127</v>
      </c>
      <c r="M1934" s="1464">
        <v>1.1344999999999999E-2</v>
      </c>
      <c r="N1934" s="1465">
        <v>1.598875583478333</v>
      </c>
      <c r="O1934" s="1465"/>
    </row>
    <row r="1935" spans="11:15">
      <c r="K1935" s="1462">
        <v>43992</v>
      </c>
      <c r="L1935" s="1463" t="s">
        <v>2127</v>
      </c>
      <c r="M1935" s="1464">
        <v>1.1344999999999999E-2</v>
      </c>
      <c r="N1935" s="1465">
        <v>1.5990569759132787</v>
      </c>
      <c r="O1935" s="1465"/>
    </row>
    <row r="1936" spans="11:15">
      <c r="K1936" s="1462">
        <v>43993</v>
      </c>
      <c r="L1936" s="1463"/>
      <c r="M1936" s="1464">
        <v>0</v>
      </c>
      <c r="N1936" s="1465">
        <v>1.5990569759132787</v>
      </c>
      <c r="O1936" s="1465"/>
    </row>
    <row r="1937" spans="11:15">
      <c r="K1937" s="1462">
        <v>43994</v>
      </c>
      <c r="L1937" s="1463" t="s">
        <v>2127</v>
      </c>
      <c r="M1937" s="1464">
        <v>1.1344999999999999E-2</v>
      </c>
      <c r="N1937" s="1465">
        <v>1.5992383889271959</v>
      </c>
      <c r="O1937" s="1465"/>
    </row>
    <row r="1938" spans="11:15">
      <c r="K1938" s="1462">
        <v>43995</v>
      </c>
      <c r="L1938" s="1463"/>
      <c r="M1938" s="1464">
        <v>0</v>
      </c>
      <c r="N1938" s="1465">
        <v>1.5992383889271959</v>
      </c>
      <c r="O1938" s="1465"/>
    </row>
    <row r="1939" spans="11:15">
      <c r="K1939" s="1462">
        <v>43996</v>
      </c>
      <c r="L1939" s="1463"/>
      <c r="M1939" s="1464">
        <v>0</v>
      </c>
      <c r="N1939" s="1465">
        <v>1.5992383889271959</v>
      </c>
      <c r="O1939" s="1465"/>
    </row>
    <row r="1940" spans="11:15">
      <c r="K1940" s="1462">
        <v>43997</v>
      </c>
      <c r="L1940" s="1463" t="s">
        <v>2127</v>
      </c>
      <c r="M1940" s="1464">
        <v>1.1344999999999999E-2</v>
      </c>
      <c r="N1940" s="1465">
        <v>1.5994198225224197</v>
      </c>
      <c r="O1940" s="1465"/>
    </row>
    <row r="1941" spans="11:15">
      <c r="K1941" s="1462">
        <v>43998</v>
      </c>
      <c r="L1941" s="1463" t="s">
        <v>2127</v>
      </c>
      <c r="M1941" s="1464">
        <v>1.1344999999999999E-2</v>
      </c>
      <c r="N1941" s="1465">
        <v>1.5996012767012848</v>
      </c>
      <c r="O1941" s="1465"/>
    </row>
    <row r="1942" spans="11:15">
      <c r="K1942" s="1462">
        <v>43999</v>
      </c>
      <c r="L1942" s="1463" t="s">
        <v>2127</v>
      </c>
      <c r="M1942" s="1464">
        <v>1.1344999999999999E-2</v>
      </c>
      <c r="N1942" s="1465">
        <v>1.5997827514661265</v>
      </c>
      <c r="O1942" s="1465"/>
    </row>
    <row r="1943" spans="11:15">
      <c r="K1943" s="1462">
        <v>44000</v>
      </c>
      <c r="L1943" s="1463" t="s">
        <v>2127</v>
      </c>
      <c r="M1943" s="1464">
        <v>8.4419999999999999E-3</v>
      </c>
      <c r="N1943" s="1465">
        <v>1.5999178051260055</v>
      </c>
      <c r="O1943" s="1465"/>
    </row>
    <row r="1944" spans="11:15">
      <c r="K1944" s="1462">
        <v>44001</v>
      </c>
      <c r="L1944" s="1463" t="s">
        <v>2127</v>
      </c>
      <c r="M1944" s="1464">
        <v>8.4419999999999999E-3</v>
      </c>
      <c r="N1944" s="1465">
        <v>1.6000528701871144</v>
      </c>
      <c r="O1944" s="1465"/>
    </row>
    <row r="1945" spans="11:15">
      <c r="K1945" s="1462">
        <v>44002</v>
      </c>
      <c r="L1945" s="1463"/>
      <c r="M1945" s="1464">
        <v>0</v>
      </c>
      <c r="N1945" s="1465">
        <v>1.6000528701871144</v>
      </c>
      <c r="O1945" s="1465"/>
    </row>
    <row r="1946" spans="11:15">
      <c r="K1946" s="1462">
        <v>44003</v>
      </c>
      <c r="L1946" s="1463"/>
      <c r="M1946" s="1464">
        <v>0</v>
      </c>
      <c r="N1946" s="1465">
        <v>1.6000528701871144</v>
      </c>
      <c r="O1946" s="1465"/>
    </row>
    <row r="1947" spans="11:15">
      <c r="K1947" s="1462">
        <v>44004</v>
      </c>
      <c r="L1947" s="1463" t="s">
        <v>2127</v>
      </c>
      <c r="M1947" s="1464">
        <v>8.4419999999999999E-3</v>
      </c>
      <c r="N1947" s="1465">
        <v>1.6001879466504156</v>
      </c>
      <c r="O1947" s="1465"/>
    </row>
    <row r="1948" spans="11:15">
      <c r="K1948" s="1462">
        <v>44005</v>
      </c>
      <c r="L1948" s="1463" t="s">
        <v>2127</v>
      </c>
      <c r="M1948" s="1464">
        <v>8.4419999999999999E-3</v>
      </c>
      <c r="N1948" s="1465">
        <v>1.600323034516872</v>
      </c>
      <c r="O1948" s="1465"/>
    </row>
    <row r="1949" spans="11:15">
      <c r="K1949" s="1462">
        <v>44006</v>
      </c>
      <c r="L1949" s="1463" t="s">
        <v>2127</v>
      </c>
      <c r="M1949" s="1464">
        <v>8.4419999999999999E-3</v>
      </c>
      <c r="N1949" s="1465">
        <v>1.6004581337874459</v>
      </c>
      <c r="O1949" s="1465"/>
    </row>
    <row r="1950" spans="11:15">
      <c r="K1950" s="1462">
        <v>44007</v>
      </c>
      <c r="L1950" s="1463" t="s">
        <v>2127</v>
      </c>
      <c r="M1950" s="1464">
        <v>8.4419999999999999E-3</v>
      </c>
      <c r="N1950" s="1465">
        <v>1.6005932444631004</v>
      </c>
      <c r="O1950" s="1465"/>
    </row>
    <row r="1951" spans="11:15">
      <c r="K1951" s="1462">
        <v>44008</v>
      </c>
      <c r="L1951" s="1463" t="s">
        <v>2127</v>
      </c>
      <c r="M1951" s="1464">
        <v>8.4419999999999999E-3</v>
      </c>
      <c r="N1951" s="1465">
        <v>1.600728366544798</v>
      </c>
      <c r="O1951" s="1465"/>
    </row>
    <row r="1952" spans="11:15">
      <c r="K1952" s="1462">
        <v>44009</v>
      </c>
      <c r="L1952" s="1463"/>
      <c r="M1952" s="1464">
        <v>0</v>
      </c>
      <c r="N1952" s="1465">
        <v>1.600728366544798</v>
      </c>
      <c r="O1952" s="1465"/>
    </row>
    <row r="1953" spans="11:15">
      <c r="K1953" s="1462">
        <v>44010</v>
      </c>
      <c r="L1953" s="1463"/>
      <c r="M1953" s="1464">
        <v>0</v>
      </c>
      <c r="N1953" s="1465">
        <v>1.600728366544798</v>
      </c>
      <c r="O1953" s="1465"/>
    </row>
    <row r="1954" spans="11:15">
      <c r="K1954" s="1462">
        <v>44011</v>
      </c>
      <c r="L1954" s="1463" t="s">
        <v>2127</v>
      </c>
      <c r="M1954" s="1464">
        <v>8.4419999999999999E-3</v>
      </c>
      <c r="N1954" s="1465">
        <v>1.6008635000335019</v>
      </c>
      <c r="O1954" s="1465"/>
    </row>
    <row r="1955" spans="11:15">
      <c r="K1955" s="1462">
        <v>44012</v>
      </c>
      <c r="L1955" s="1463" t="s">
        <v>2127</v>
      </c>
      <c r="M1955" s="1464">
        <v>8.4419999999999999E-3</v>
      </c>
      <c r="N1955" s="1465">
        <v>1.6009986449301747</v>
      </c>
      <c r="O1955" s="1465"/>
    </row>
    <row r="1956" spans="11:15">
      <c r="K1956" s="1462">
        <v>44013</v>
      </c>
      <c r="L1956" s="1463" t="s">
        <v>2127</v>
      </c>
      <c r="M1956" s="1464">
        <v>8.4419999999999999E-3</v>
      </c>
      <c r="N1956" s="1465">
        <v>1.6011338012357799</v>
      </c>
      <c r="O1956" s="1465"/>
    </row>
    <row r="1957" spans="11:15">
      <c r="K1957" s="1462">
        <v>44014</v>
      </c>
      <c r="L1957" s="1463" t="s">
        <v>2127</v>
      </c>
      <c r="M1957" s="1464">
        <v>8.4419999999999999E-3</v>
      </c>
      <c r="N1957" s="1465">
        <v>1.6012689689512802</v>
      </c>
      <c r="O1957" s="1465"/>
    </row>
    <row r="1958" spans="11:15">
      <c r="K1958" s="1462">
        <v>44015</v>
      </c>
      <c r="L1958" s="1463" t="s">
        <v>2127</v>
      </c>
      <c r="M1958" s="1464">
        <v>8.4419999999999999E-3</v>
      </c>
      <c r="N1958" s="1465">
        <v>1.6014041480776393</v>
      </c>
      <c r="O1958" s="1465"/>
    </row>
    <row r="1959" spans="11:15">
      <c r="K1959" s="1462">
        <v>44016</v>
      </c>
      <c r="L1959" s="1463"/>
      <c r="M1959" s="1464">
        <v>0</v>
      </c>
      <c r="N1959" s="1465">
        <v>1.6014041480776393</v>
      </c>
      <c r="O1959" s="1465"/>
    </row>
    <row r="1960" spans="11:15">
      <c r="K1960" s="1462">
        <v>44017</v>
      </c>
      <c r="L1960" s="1463"/>
      <c r="M1960" s="1464">
        <v>0</v>
      </c>
      <c r="N1960" s="1465">
        <v>1.6014041480776393</v>
      </c>
      <c r="O1960" s="1465"/>
    </row>
    <row r="1961" spans="11:15">
      <c r="K1961" s="1462">
        <v>44018</v>
      </c>
      <c r="L1961" s="1463" t="s">
        <v>2127</v>
      </c>
      <c r="M1961" s="1464">
        <v>8.4419999999999999E-3</v>
      </c>
      <c r="N1961" s="1465">
        <v>1.6015393386158201</v>
      </c>
      <c r="O1961" s="1465"/>
    </row>
    <row r="1962" spans="11:15">
      <c r="K1962" s="1462">
        <v>44019</v>
      </c>
      <c r="L1962" s="1463" t="s">
        <v>2127</v>
      </c>
      <c r="M1962" s="1464">
        <v>8.4419999999999999E-3</v>
      </c>
      <c r="N1962" s="1465">
        <v>1.6016745405667863</v>
      </c>
      <c r="O1962" s="1465"/>
    </row>
    <row r="1963" spans="11:15">
      <c r="K1963" s="1462">
        <v>44020</v>
      </c>
      <c r="L1963" s="1463" t="s">
        <v>2127</v>
      </c>
      <c r="M1963" s="1464">
        <v>8.4419999999999999E-3</v>
      </c>
      <c r="N1963" s="1465">
        <v>1.601809753931501</v>
      </c>
      <c r="O1963" s="1465"/>
    </row>
    <row r="1964" spans="11:15">
      <c r="K1964" s="1462">
        <v>44021</v>
      </c>
      <c r="L1964" s="1463" t="s">
        <v>2127</v>
      </c>
      <c r="M1964" s="1464">
        <v>8.4419999999999999E-3</v>
      </c>
      <c r="N1964" s="1465">
        <v>1.6019449787109281</v>
      </c>
      <c r="O1964" s="1465"/>
    </row>
    <row r="1965" spans="11:15">
      <c r="K1965" s="1462">
        <v>44022</v>
      </c>
      <c r="L1965" s="1463" t="s">
        <v>2127</v>
      </c>
      <c r="M1965" s="1464">
        <v>8.4419999999999999E-3</v>
      </c>
      <c r="N1965" s="1465">
        <v>1.6020802149060309</v>
      </c>
      <c r="O1965" s="1465"/>
    </row>
    <row r="1966" spans="11:15">
      <c r="K1966" s="1462">
        <v>44023</v>
      </c>
      <c r="L1966" s="1463"/>
      <c r="M1966" s="1464">
        <v>0</v>
      </c>
      <c r="N1966" s="1465">
        <v>1.6020802149060309</v>
      </c>
      <c r="O1966" s="1465"/>
    </row>
    <row r="1967" spans="11:15">
      <c r="K1967" s="1462">
        <v>44024</v>
      </c>
      <c r="L1967" s="1463"/>
      <c r="M1967" s="1464">
        <v>0</v>
      </c>
      <c r="N1967" s="1465">
        <v>1.6020802149060309</v>
      </c>
      <c r="O1967" s="1465"/>
    </row>
    <row r="1968" spans="11:15">
      <c r="K1968" s="1462">
        <v>44025</v>
      </c>
      <c r="L1968" s="1463" t="s">
        <v>2127</v>
      </c>
      <c r="M1968" s="1464">
        <v>8.4419999999999999E-3</v>
      </c>
      <c r="N1968" s="1465">
        <v>1.6022154625177734</v>
      </c>
      <c r="O1968" s="1465"/>
    </row>
    <row r="1969" spans="11:15">
      <c r="K1969" s="1462">
        <v>44026</v>
      </c>
      <c r="L1969" s="1463" t="s">
        <v>2127</v>
      </c>
      <c r="M1969" s="1464">
        <v>8.4419999999999999E-3</v>
      </c>
      <c r="N1969" s="1465">
        <v>1.6023507215471193</v>
      </c>
      <c r="O1969" s="1465"/>
    </row>
    <row r="1970" spans="11:15">
      <c r="K1970" s="1462">
        <v>44027</v>
      </c>
      <c r="L1970" s="1463" t="s">
        <v>2127</v>
      </c>
      <c r="M1970" s="1464">
        <v>8.4419999999999999E-3</v>
      </c>
      <c r="N1970" s="1465">
        <v>1.6024859919950325</v>
      </c>
      <c r="O1970" s="1465"/>
    </row>
    <row r="1971" spans="11:15">
      <c r="K1971" s="1462">
        <v>44028</v>
      </c>
      <c r="L1971" s="1463" t="s">
        <v>2127</v>
      </c>
      <c r="M1971" s="1464">
        <v>8.4419999999999999E-3</v>
      </c>
      <c r="N1971" s="1465">
        <v>1.6026212738624768</v>
      </c>
      <c r="O1971" s="1465"/>
    </row>
    <row r="1972" spans="11:15">
      <c r="K1972" s="1462">
        <v>44029</v>
      </c>
      <c r="L1972" s="1463" t="s">
        <v>2127</v>
      </c>
      <c r="M1972" s="1464">
        <v>8.4419999999999999E-3</v>
      </c>
      <c r="N1972" s="1465">
        <v>1.6027565671504165</v>
      </c>
      <c r="O1972" s="1465"/>
    </row>
    <row r="1973" spans="11:15">
      <c r="K1973" s="1462">
        <v>44030</v>
      </c>
      <c r="L1973" s="1463"/>
      <c r="M1973" s="1464">
        <v>0</v>
      </c>
      <c r="N1973" s="1465">
        <v>1.6027565671504165</v>
      </c>
      <c r="O1973" s="1465"/>
    </row>
    <row r="1974" spans="11:15">
      <c r="K1974" s="1462">
        <v>44031</v>
      </c>
      <c r="L1974" s="1463"/>
      <c r="M1974" s="1464">
        <v>0</v>
      </c>
      <c r="N1974" s="1465">
        <v>1.6027565671504165</v>
      </c>
      <c r="O1974" s="1465"/>
    </row>
    <row r="1975" spans="11:15">
      <c r="K1975" s="1462">
        <v>44032</v>
      </c>
      <c r="L1975" s="1463" t="s">
        <v>2127</v>
      </c>
      <c r="M1975" s="1464">
        <v>8.4419999999999999E-3</v>
      </c>
      <c r="N1975" s="1465">
        <v>1.6028918718598155</v>
      </c>
      <c r="O1975" s="1465"/>
    </row>
    <row r="1976" spans="11:15">
      <c r="K1976" s="1462">
        <v>44033</v>
      </c>
      <c r="L1976" s="1463" t="s">
        <v>2127</v>
      </c>
      <c r="M1976" s="1464">
        <v>8.4419999999999999E-3</v>
      </c>
      <c r="N1976" s="1465">
        <v>1.603027187991638</v>
      </c>
      <c r="O1976" s="1465"/>
    </row>
    <row r="1977" spans="11:15">
      <c r="K1977" s="1462">
        <v>44034</v>
      </c>
      <c r="L1977" s="1463" t="s">
        <v>2127</v>
      </c>
      <c r="M1977" s="1464">
        <v>8.4419999999999999E-3</v>
      </c>
      <c r="N1977" s="1465">
        <v>1.6031625155468483</v>
      </c>
      <c r="O1977" s="1465"/>
    </row>
    <row r="1978" spans="11:15">
      <c r="K1978" s="1462">
        <v>44035</v>
      </c>
      <c r="L1978" s="1463" t="s">
        <v>2127</v>
      </c>
      <c r="M1978" s="1464">
        <v>8.4419999999999999E-3</v>
      </c>
      <c r="N1978" s="1465">
        <v>1.6032978545264109</v>
      </c>
      <c r="O1978" s="1465"/>
    </row>
    <row r="1979" spans="11:15">
      <c r="K1979" s="1462">
        <v>44036</v>
      </c>
      <c r="L1979" s="1463" t="s">
        <v>2127</v>
      </c>
      <c r="M1979" s="1464">
        <v>8.4419999999999999E-3</v>
      </c>
      <c r="N1979" s="1465">
        <v>1.6034332049312903</v>
      </c>
      <c r="O1979" s="1465"/>
    </row>
    <row r="1980" spans="11:15">
      <c r="K1980" s="1462">
        <v>44037</v>
      </c>
      <c r="L1980" s="1463"/>
      <c r="M1980" s="1464">
        <v>0</v>
      </c>
      <c r="N1980" s="1465">
        <v>1.6034332049312903</v>
      </c>
      <c r="O1980" s="1465"/>
    </row>
    <row r="1981" spans="11:15">
      <c r="K1981" s="1462">
        <v>44038</v>
      </c>
      <c r="L1981" s="1463"/>
      <c r="M1981" s="1464">
        <v>0</v>
      </c>
      <c r="N1981" s="1465">
        <v>1.6034332049312903</v>
      </c>
      <c r="O1981" s="1465"/>
    </row>
    <row r="1982" spans="11:15">
      <c r="K1982" s="1462">
        <v>44039</v>
      </c>
      <c r="L1982" s="1463" t="s">
        <v>2127</v>
      </c>
      <c r="M1982" s="1464">
        <v>8.4419999999999999E-3</v>
      </c>
      <c r="N1982" s="1465">
        <v>1.6035685667624506</v>
      </c>
      <c r="O1982" s="1465"/>
    </row>
    <row r="1983" spans="11:15">
      <c r="K1983" s="1462">
        <v>44040</v>
      </c>
      <c r="L1983" s="1463" t="s">
        <v>2127</v>
      </c>
      <c r="M1983" s="1464">
        <v>8.4419999999999999E-3</v>
      </c>
      <c r="N1983" s="1465">
        <v>1.6037039400208568</v>
      </c>
      <c r="O1983" s="1465"/>
    </row>
    <row r="1984" spans="11:15">
      <c r="K1984" s="1462">
        <v>44041</v>
      </c>
      <c r="L1984" s="1463" t="s">
        <v>2127</v>
      </c>
      <c r="M1984" s="1464">
        <v>8.4419999999999999E-3</v>
      </c>
      <c r="N1984" s="1465">
        <v>1.6038393247074736</v>
      </c>
      <c r="O1984" s="1465"/>
    </row>
    <row r="1985" spans="11:15">
      <c r="K1985" s="1462">
        <v>44042</v>
      </c>
      <c r="L1985" s="1463" t="s">
        <v>2127</v>
      </c>
      <c r="M1985" s="1464">
        <v>8.4419999999999999E-3</v>
      </c>
      <c r="N1985" s="1465">
        <v>1.6039747208232655</v>
      </c>
      <c r="O1985" s="1465"/>
    </row>
    <row r="1986" spans="11:15">
      <c r="K1986" s="1462">
        <v>44043</v>
      </c>
      <c r="L1986" s="1463" t="s">
        <v>2127</v>
      </c>
      <c r="M1986" s="1464">
        <v>8.4419999999999999E-3</v>
      </c>
      <c r="N1986" s="1465">
        <v>1.6041101283691976</v>
      </c>
      <c r="O1986" s="1465"/>
    </row>
    <row r="1987" spans="11:15">
      <c r="K1987" s="1462">
        <v>44044</v>
      </c>
      <c r="L1987" s="1463"/>
      <c r="M1987" s="1464">
        <v>0</v>
      </c>
      <c r="N1987" s="1465">
        <v>1.6041101283691976</v>
      </c>
      <c r="O1987" s="1465"/>
    </row>
    <row r="1988" spans="11:15">
      <c r="K1988" s="1462">
        <v>44045</v>
      </c>
      <c r="L1988" s="1463"/>
      <c r="M1988" s="1464">
        <v>0</v>
      </c>
      <c r="N1988" s="1465">
        <v>1.6041101283691976</v>
      </c>
      <c r="O1988" s="1465"/>
    </row>
    <row r="1989" spans="11:15">
      <c r="K1989" s="1462">
        <v>44046</v>
      </c>
      <c r="L1989" s="1463" t="s">
        <v>2127</v>
      </c>
      <c r="M1989" s="1464">
        <v>8.4419999999999999E-3</v>
      </c>
      <c r="N1989" s="1465">
        <v>1.6042455473462347</v>
      </c>
      <c r="O1989" s="1465"/>
    </row>
    <row r="1990" spans="11:15">
      <c r="K1990" s="1462">
        <v>44047</v>
      </c>
      <c r="L1990" s="1463" t="s">
        <v>2127</v>
      </c>
      <c r="M1990" s="1464">
        <v>8.4419999999999999E-3</v>
      </c>
      <c r="N1990" s="1465">
        <v>1.6043809777553417</v>
      </c>
      <c r="O1990" s="1465"/>
    </row>
    <row r="1991" spans="11:15">
      <c r="K1991" s="1462">
        <v>44048</v>
      </c>
      <c r="L1991" s="1463" t="s">
        <v>2127</v>
      </c>
      <c r="M1991" s="1464">
        <v>8.4419999999999999E-3</v>
      </c>
      <c r="N1991" s="1465">
        <v>1.6045164195974839</v>
      </c>
      <c r="O1991" s="1465"/>
    </row>
    <row r="1992" spans="11:15">
      <c r="K1992" s="1462">
        <v>44049</v>
      </c>
      <c r="L1992" s="1463" t="s">
        <v>2127</v>
      </c>
      <c r="M1992" s="1464">
        <v>7.4689999999999999E-3</v>
      </c>
      <c r="N1992" s="1465">
        <v>1.6046362609288636</v>
      </c>
      <c r="O1992" s="1465"/>
    </row>
    <row r="1993" spans="11:15">
      <c r="K1993" s="1462">
        <v>44050</v>
      </c>
      <c r="L1993" s="1463" t="s">
        <v>2127</v>
      </c>
      <c r="M1993" s="1464">
        <v>7.4689999999999999E-3</v>
      </c>
      <c r="N1993" s="1465">
        <v>1.6047561112111923</v>
      </c>
      <c r="O1993" s="1465"/>
    </row>
    <row r="1994" spans="11:15">
      <c r="K1994" s="1462">
        <v>44051</v>
      </c>
      <c r="L1994" s="1463"/>
      <c r="M1994" s="1464">
        <v>0</v>
      </c>
      <c r="N1994" s="1465">
        <v>1.6047561112111923</v>
      </c>
      <c r="O1994" s="1465"/>
    </row>
    <row r="1995" spans="11:15">
      <c r="K1995" s="1462">
        <v>44052</v>
      </c>
      <c r="L1995" s="1463"/>
      <c r="M1995" s="1464">
        <v>0</v>
      </c>
      <c r="N1995" s="1465">
        <v>1.6047561112111923</v>
      </c>
      <c r="O1995" s="1465"/>
    </row>
    <row r="1996" spans="11:15">
      <c r="K1996" s="1462">
        <v>44053</v>
      </c>
      <c r="L1996" s="1463" t="s">
        <v>2127</v>
      </c>
      <c r="M1996" s="1464">
        <v>7.4689999999999999E-3</v>
      </c>
      <c r="N1996" s="1465">
        <v>1.6048759704451385</v>
      </c>
      <c r="O1996" s="1465"/>
    </row>
    <row r="1997" spans="11:15">
      <c r="K1997" s="1462">
        <v>44054</v>
      </c>
      <c r="L1997" s="1463" t="s">
        <v>2127</v>
      </c>
      <c r="M1997" s="1464">
        <v>7.4689999999999999E-3</v>
      </c>
      <c r="N1997" s="1465">
        <v>1.604995838631371</v>
      </c>
      <c r="O1997" s="1465"/>
    </row>
    <row r="1998" spans="11:15">
      <c r="K1998" s="1462">
        <v>44055</v>
      </c>
      <c r="L1998" s="1463" t="s">
        <v>2127</v>
      </c>
      <c r="M1998" s="1464">
        <v>7.4689999999999999E-3</v>
      </c>
      <c r="N1998" s="1465">
        <v>1.6051157157705582</v>
      </c>
      <c r="O1998" s="1465"/>
    </row>
    <row r="1999" spans="11:15">
      <c r="K1999" s="1462">
        <v>44056</v>
      </c>
      <c r="L1999" s="1463" t="s">
        <v>2127</v>
      </c>
      <c r="M1999" s="1464">
        <v>7.4689999999999999E-3</v>
      </c>
      <c r="N1999" s="1465">
        <v>1.6052356018633691</v>
      </c>
      <c r="O1999" s="1465"/>
    </row>
    <row r="2000" spans="11:15">
      <c r="K2000" s="1462">
        <v>44057</v>
      </c>
      <c r="L2000" s="1463" t="s">
        <v>2127</v>
      </c>
      <c r="M2000" s="1464">
        <v>7.4689999999999999E-3</v>
      </c>
      <c r="N2000" s="1465">
        <v>1.6053554969104722</v>
      </c>
      <c r="O2000" s="1465"/>
    </row>
    <row r="2001" spans="11:15">
      <c r="K2001" s="1462">
        <v>44058</v>
      </c>
      <c r="L2001" s="1463"/>
      <c r="M2001" s="1464">
        <v>0</v>
      </c>
      <c r="N2001" s="1465">
        <v>1.6053554969104722</v>
      </c>
      <c r="O2001" s="1465"/>
    </row>
    <row r="2002" spans="11:15">
      <c r="K2002" s="1462">
        <v>44059</v>
      </c>
      <c r="L2002" s="1463"/>
      <c r="M2002" s="1464">
        <v>0</v>
      </c>
      <c r="N2002" s="1465">
        <v>1.6053554969104722</v>
      </c>
      <c r="O2002" s="1465"/>
    </row>
    <row r="2003" spans="11:15">
      <c r="K2003" s="1462">
        <v>44060</v>
      </c>
      <c r="L2003" s="1463" t="s">
        <v>2127</v>
      </c>
      <c r="M2003" s="1464">
        <v>7.4689999999999999E-3</v>
      </c>
      <c r="N2003" s="1465">
        <v>1.6054754009125363</v>
      </c>
      <c r="O2003" s="1465"/>
    </row>
    <row r="2004" spans="11:15">
      <c r="K2004" s="1462">
        <v>44061</v>
      </c>
      <c r="L2004" s="1463" t="s">
        <v>2127</v>
      </c>
      <c r="M2004" s="1464">
        <v>7.4689999999999999E-3</v>
      </c>
      <c r="N2004" s="1465">
        <v>1.6055953138702304</v>
      </c>
      <c r="O2004" s="1465"/>
    </row>
    <row r="2005" spans="11:15">
      <c r="K2005" s="1462">
        <v>44062</v>
      </c>
      <c r="L2005" s="1463" t="s">
        <v>2127</v>
      </c>
      <c r="M2005" s="1464">
        <v>7.4689999999999999E-3</v>
      </c>
      <c r="N2005" s="1465">
        <v>1.6057152357842233</v>
      </c>
      <c r="O2005" s="1465"/>
    </row>
    <row r="2006" spans="11:15">
      <c r="K2006" s="1462">
        <v>44063</v>
      </c>
      <c r="L2006" s="1463" t="s">
        <v>2127</v>
      </c>
      <c r="M2006" s="1464">
        <v>7.4689999999999999E-3</v>
      </c>
      <c r="N2006" s="1465">
        <v>1.6058351666551838</v>
      </c>
      <c r="O2006" s="1465"/>
    </row>
    <row r="2007" spans="11:15">
      <c r="K2007" s="1462">
        <v>44064</v>
      </c>
      <c r="L2007" s="1463" t="s">
        <v>2127</v>
      </c>
      <c r="M2007" s="1464">
        <v>7.4689999999999999E-3</v>
      </c>
      <c r="N2007" s="1465">
        <v>1.6059551064837811</v>
      </c>
      <c r="O2007" s="1465"/>
    </row>
    <row r="2008" spans="11:15">
      <c r="K2008" s="1462">
        <v>44065</v>
      </c>
      <c r="L2008" s="1463"/>
      <c r="M2008" s="1464">
        <v>0</v>
      </c>
      <c r="N2008" s="1465">
        <v>1.6059551064837811</v>
      </c>
      <c r="O2008" s="1465"/>
    </row>
    <row r="2009" spans="11:15">
      <c r="K2009" s="1462">
        <v>44066</v>
      </c>
      <c r="L2009" s="1463"/>
      <c r="M2009" s="1464">
        <v>0</v>
      </c>
      <c r="N2009" s="1465">
        <v>1.6059551064837811</v>
      </c>
      <c r="O2009" s="1465"/>
    </row>
    <row r="2010" spans="11:15">
      <c r="K2010" s="1462">
        <v>44067</v>
      </c>
      <c r="L2010" s="1463" t="s">
        <v>2127</v>
      </c>
      <c r="M2010" s="1464">
        <v>7.4689999999999999E-3</v>
      </c>
      <c r="N2010" s="1465">
        <v>1.6060750552706844</v>
      </c>
      <c r="O2010" s="1465"/>
    </row>
    <row r="2011" spans="11:15">
      <c r="K2011" s="1462">
        <v>44068</v>
      </c>
      <c r="L2011" s="1463" t="s">
        <v>2127</v>
      </c>
      <c r="M2011" s="1464">
        <v>7.4689999999999999E-3</v>
      </c>
      <c r="N2011" s="1465">
        <v>1.6061950130165625</v>
      </c>
      <c r="O2011" s="1465"/>
    </row>
    <row r="2012" spans="11:15">
      <c r="K2012" s="1462">
        <v>44069</v>
      </c>
      <c r="L2012" s="1463" t="s">
        <v>2127</v>
      </c>
      <c r="M2012" s="1464">
        <v>7.4689999999999999E-3</v>
      </c>
      <c r="N2012" s="1465">
        <v>1.6063149797220846</v>
      </c>
      <c r="O2012" s="1465"/>
    </row>
    <row r="2013" spans="11:15">
      <c r="K2013" s="1462">
        <v>44070</v>
      </c>
      <c r="L2013" s="1463" t="s">
        <v>2127</v>
      </c>
      <c r="M2013" s="1464">
        <v>7.4689999999999999E-3</v>
      </c>
      <c r="N2013" s="1465">
        <v>1.60643495538792</v>
      </c>
      <c r="O2013" s="1465"/>
    </row>
    <row r="2014" spans="11:15">
      <c r="K2014" s="1462">
        <v>44071</v>
      </c>
      <c r="L2014" s="1463" t="s">
        <v>2127</v>
      </c>
      <c r="M2014" s="1464">
        <v>7.4689999999999999E-3</v>
      </c>
      <c r="N2014" s="1465">
        <v>1.6065549400147379</v>
      </c>
      <c r="O2014" s="1465"/>
    </row>
    <row r="2015" spans="11:15">
      <c r="K2015" s="1462">
        <v>44072</v>
      </c>
      <c r="L2015" s="1463"/>
      <c r="M2015" s="1464">
        <v>0</v>
      </c>
      <c r="N2015" s="1465">
        <v>1.6065549400147379</v>
      </c>
      <c r="O2015" s="1465"/>
    </row>
    <row r="2016" spans="11:15">
      <c r="K2016" s="1462">
        <v>44073</v>
      </c>
      <c r="L2016" s="1463"/>
      <c r="M2016" s="1464">
        <v>0</v>
      </c>
      <c r="N2016" s="1465">
        <v>1.6065549400147379</v>
      </c>
      <c r="O2016" s="1465"/>
    </row>
    <row r="2017" spans="11:15">
      <c r="K2017" s="1462">
        <v>44074</v>
      </c>
      <c r="L2017" s="1463" t="s">
        <v>2127</v>
      </c>
      <c r="M2017" s="1464">
        <v>7.4689999999999999E-3</v>
      </c>
      <c r="N2017" s="1465">
        <v>1.6066749336032076</v>
      </c>
      <c r="O2017" s="1465"/>
    </row>
    <row r="2018" spans="11:15">
      <c r="K2018" s="1462">
        <v>44075</v>
      </c>
      <c r="L2018" s="1463" t="s">
        <v>2127</v>
      </c>
      <c r="M2018" s="1464">
        <v>7.4689999999999999E-3</v>
      </c>
      <c r="N2018" s="1465">
        <v>1.6067949361539984</v>
      </c>
      <c r="O2018" s="1465"/>
    </row>
    <row r="2019" spans="11:15">
      <c r="K2019" s="1462">
        <v>44076</v>
      </c>
      <c r="L2019" s="1463" t="s">
        <v>2127</v>
      </c>
      <c r="M2019" s="1464">
        <v>7.4689999999999999E-3</v>
      </c>
      <c r="N2019" s="1465">
        <v>1.6069149476677795</v>
      </c>
      <c r="O2019" s="1465"/>
    </row>
    <row r="2020" spans="11:15">
      <c r="K2020" s="1462">
        <v>44077</v>
      </c>
      <c r="L2020" s="1463" t="s">
        <v>2127</v>
      </c>
      <c r="M2020" s="1464">
        <v>7.4689999999999999E-3</v>
      </c>
      <c r="N2020" s="1465">
        <v>1.6070349681452207</v>
      </c>
      <c r="O2020" s="1465"/>
    </row>
    <row r="2021" spans="11:15">
      <c r="K2021" s="1462">
        <v>44078</v>
      </c>
      <c r="L2021" s="1463" t="s">
        <v>2127</v>
      </c>
      <c r="M2021" s="1464">
        <v>7.4689999999999999E-3</v>
      </c>
      <c r="N2021" s="1465">
        <v>1.6071549975869914</v>
      </c>
      <c r="O2021" s="1465"/>
    </row>
    <row r="2022" spans="11:15">
      <c r="K2022" s="1462">
        <v>44079</v>
      </c>
      <c r="L2022" s="1463"/>
      <c r="M2022" s="1464">
        <v>0</v>
      </c>
      <c r="N2022" s="1465">
        <v>1.6071549975869914</v>
      </c>
      <c r="O2022" s="1465"/>
    </row>
    <row r="2023" spans="11:15">
      <c r="K2023" s="1462">
        <v>44080</v>
      </c>
      <c r="L2023" s="1463"/>
      <c r="M2023" s="1464">
        <v>0</v>
      </c>
      <c r="N2023" s="1465">
        <v>1.6071549975869914</v>
      </c>
      <c r="O2023" s="1465"/>
    </row>
    <row r="2024" spans="11:15">
      <c r="K2024" s="1462">
        <v>44081</v>
      </c>
      <c r="L2024" s="1463"/>
      <c r="M2024" s="1464">
        <v>0</v>
      </c>
      <c r="N2024" s="1465">
        <v>1.6071549975869914</v>
      </c>
      <c r="O2024" s="1465"/>
    </row>
    <row r="2025" spans="11:15">
      <c r="K2025" s="1462">
        <v>44082</v>
      </c>
      <c r="L2025" s="1463" t="s">
        <v>2127</v>
      </c>
      <c r="M2025" s="1464">
        <v>7.4689999999999999E-3</v>
      </c>
      <c r="N2025" s="1465">
        <v>1.6072750359937611</v>
      </c>
      <c r="O2025" s="1465"/>
    </row>
    <row r="2026" spans="11:15">
      <c r="K2026" s="1462">
        <v>44083</v>
      </c>
      <c r="L2026" s="1463" t="s">
        <v>2127</v>
      </c>
      <c r="M2026" s="1464">
        <v>7.4689999999999999E-3</v>
      </c>
      <c r="N2026" s="1465">
        <v>1.6073950833661994</v>
      </c>
      <c r="O2026" s="1465"/>
    </row>
    <row r="2027" spans="11:15">
      <c r="K2027" s="1462">
        <v>44084</v>
      </c>
      <c r="L2027" s="1463" t="s">
        <v>2127</v>
      </c>
      <c r="M2027" s="1464">
        <v>7.4689999999999999E-3</v>
      </c>
      <c r="N2027" s="1465">
        <v>1.6075151397049758</v>
      </c>
      <c r="O2027" s="1465"/>
    </row>
    <row r="2028" spans="11:15">
      <c r="K2028" s="1462">
        <v>44085</v>
      </c>
      <c r="L2028" s="1463" t="s">
        <v>2127</v>
      </c>
      <c r="M2028" s="1464">
        <v>7.4689999999999999E-3</v>
      </c>
      <c r="N2028" s="1465">
        <v>1.6076352050107603</v>
      </c>
      <c r="O2028" s="1465"/>
    </row>
    <row r="2029" spans="11:15">
      <c r="K2029" s="1462">
        <v>44086</v>
      </c>
      <c r="L2029" s="1463"/>
      <c r="M2029" s="1464">
        <v>0</v>
      </c>
      <c r="N2029" s="1465">
        <v>1.6076352050107603</v>
      </c>
      <c r="O2029" s="1465"/>
    </row>
    <row r="2030" spans="11:15">
      <c r="K2030" s="1462">
        <v>44087</v>
      </c>
      <c r="L2030" s="1463"/>
      <c r="M2030" s="1464">
        <v>0</v>
      </c>
      <c r="N2030" s="1465">
        <v>1.6076352050107603</v>
      </c>
      <c r="O2030" s="1465"/>
    </row>
    <row r="2031" spans="11:15">
      <c r="K2031" s="1462">
        <v>44088</v>
      </c>
      <c r="L2031" s="1463" t="s">
        <v>2127</v>
      </c>
      <c r="M2031" s="1464">
        <v>7.4689999999999999E-3</v>
      </c>
      <c r="N2031" s="1465">
        <v>1.6077552792842225</v>
      </c>
      <c r="O2031" s="1465"/>
    </row>
    <row r="2032" spans="11:15">
      <c r="K2032" s="1462">
        <v>44089</v>
      </c>
      <c r="L2032" s="1463" t="s">
        <v>2127</v>
      </c>
      <c r="M2032" s="1464">
        <v>7.4689999999999999E-3</v>
      </c>
      <c r="N2032" s="1465">
        <v>1.607875362526032</v>
      </c>
      <c r="O2032" s="1465"/>
    </row>
    <row r="2033" spans="11:15">
      <c r="K2033" s="1462">
        <v>44090</v>
      </c>
      <c r="L2033" s="1463" t="s">
        <v>2127</v>
      </c>
      <c r="M2033" s="1464">
        <v>7.4689999999999999E-3</v>
      </c>
      <c r="N2033" s="1465">
        <v>1.6079954547368589</v>
      </c>
      <c r="O2033" s="1465"/>
    </row>
    <row r="2034" spans="11:15">
      <c r="K2034" s="1462">
        <v>44091</v>
      </c>
      <c r="L2034" s="1463" t="s">
        <v>2127</v>
      </c>
      <c r="M2034" s="1464">
        <v>7.4689999999999999E-3</v>
      </c>
      <c r="N2034" s="1465">
        <v>1.608115555917373</v>
      </c>
      <c r="O2034" s="1465"/>
    </row>
    <row r="2035" spans="11:15">
      <c r="K2035" s="1462">
        <v>44092</v>
      </c>
      <c r="L2035" s="1463" t="s">
        <v>2127</v>
      </c>
      <c r="M2035" s="1464">
        <v>7.4689999999999999E-3</v>
      </c>
      <c r="N2035" s="1465">
        <v>1.6082356660682444</v>
      </c>
      <c r="O2035" s="1465"/>
    </row>
    <row r="2036" spans="11:15">
      <c r="K2036" s="1462">
        <v>44093</v>
      </c>
      <c r="L2036" s="1463"/>
      <c r="M2036" s="1464">
        <v>0</v>
      </c>
      <c r="N2036" s="1465">
        <v>1.6082356660682444</v>
      </c>
      <c r="O2036" s="1465"/>
    </row>
    <row r="2037" spans="11:15">
      <c r="K2037" s="1462">
        <v>44094</v>
      </c>
      <c r="L2037" s="1463"/>
      <c r="M2037" s="1464">
        <v>0</v>
      </c>
      <c r="N2037" s="1465">
        <v>1.6082356660682444</v>
      </c>
      <c r="O2037" s="1465"/>
    </row>
    <row r="2038" spans="11:15">
      <c r="K2038" s="1462">
        <v>44095</v>
      </c>
      <c r="L2038" s="1463" t="s">
        <v>2127</v>
      </c>
      <c r="M2038" s="1464">
        <v>7.4689999999999999E-3</v>
      </c>
      <c r="N2038" s="1465">
        <v>1.6083557851901429</v>
      </c>
      <c r="O2038" s="1465"/>
    </row>
    <row r="2039" spans="11:15">
      <c r="K2039" s="1462">
        <v>44096</v>
      </c>
      <c r="L2039" s="1463" t="s">
        <v>2127</v>
      </c>
      <c r="M2039" s="1464">
        <v>7.4689999999999999E-3</v>
      </c>
      <c r="N2039" s="1465">
        <v>1.6084759132837387</v>
      </c>
      <c r="O2039" s="1465"/>
    </row>
    <row r="2040" spans="11:15">
      <c r="K2040" s="1462">
        <v>44097</v>
      </c>
      <c r="L2040" s="1463" t="s">
        <v>2127</v>
      </c>
      <c r="M2040" s="1464">
        <v>7.4689999999999999E-3</v>
      </c>
      <c r="N2040" s="1465">
        <v>1.6085960503497019</v>
      </c>
      <c r="O2040" s="1465"/>
    </row>
    <row r="2041" spans="11:15">
      <c r="K2041" s="1462">
        <v>44098</v>
      </c>
      <c r="L2041" s="1463" t="s">
        <v>2127</v>
      </c>
      <c r="M2041" s="1464">
        <v>7.4689999999999999E-3</v>
      </c>
      <c r="N2041" s="1465">
        <v>1.6087161963887024</v>
      </c>
      <c r="O2041" s="1465"/>
    </row>
    <row r="2042" spans="11:15">
      <c r="K2042" s="1462">
        <v>44099</v>
      </c>
      <c r="L2042" s="1463" t="s">
        <v>2127</v>
      </c>
      <c r="M2042" s="1464">
        <v>7.4689999999999999E-3</v>
      </c>
      <c r="N2042" s="1465">
        <v>1.6088363514014106</v>
      </c>
      <c r="O2042" s="1465"/>
    </row>
    <row r="2043" spans="11:15">
      <c r="K2043" s="1462">
        <v>44100</v>
      </c>
      <c r="L2043" s="1463"/>
      <c r="M2043" s="1464">
        <v>0</v>
      </c>
      <c r="N2043" s="1465">
        <v>1.6088363514014106</v>
      </c>
      <c r="O2043" s="1465"/>
    </row>
    <row r="2044" spans="11:15">
      <c r="K2044" s="1462">
        <v>44101</v>
      </c>
      <c r="L2044" s="1463"/>
      <c r="M2044" s="1464">
        <v>0</v>
      </c>
      <c r="N2044" s="1465">
        <v>1.6088363514014106</v>
      </c>
      <c r="O2044" s="1465"/>
    </row>
    <row r="2045" spans="11:15">
      <c r="K2045" s="1462">
        <v>44102</v>
      </c>
      <c r="L2045" s="1463" t="s">
        <v>2127</v>
      </c>
      <c r="M2045" s="1464">
        <v>7.4689999999999999E-3</v>
      </c>
      <c r="N2045" s="1465">
        <v>1.6089565153884966</v>
      </c>
      <c r="O2045" s="1465"/>
    </row>
    <row r="2046" spans="11:15">
      <c r="K2046" s="1462">
        <v>44103</v>
      </c>
      <c r="L2046" s="1463" t="s">
        <v>2127</v>
      </c>
      <c r="M2046" s="1464">
        <v>7.4689999999999999E-3</v>
      </c>
      <c r="N2046" s="1465">
        <v>1.6090766883506309</v>
      </c>
      <c r="O2046" s="1465"/>
    </row>
    <row r="2047" spans="11:15">
      <c r="K2047" s="1462">
        <v>44104</v>
      </c>
      <c r="L2047" s="1463" t="s">
        <v>2127</v>
      </c>
      <c r="M2047" s="1464">
        <v>7.4689999999999999E-3</v>
      </c>
      <c r="N2047" s="1465">
        <v>1.6091968702884838</v>
      </c>
      <c r="O2047" s="1465"/>
    </row>
    <row r="2048" spans="11:15">
      <c r="K2048" s="1462">
        <v>44105</v>
      </c>
      <c r="L2048" s="1463" t="s">
        <v>2127</v>
      </c>
      <c r="M2048" s="1464">
        <v>7.4689999999999999E-3</v>
      </c>
      <c r="N2048" s="1465">
        <v>1.6093170612027254</v>
      </c>
      <c r="O2048" s="1465"/>
    </row>
    <row r="2049" spans="11:15">
      <c r="K2049" s="1462">
        <v>44106</v>
      </c>
      <c r="L2049" s="1463" t="s">
        <v>2127</v>
      </c>
      <c r="M2049" s="1464">
        <v>7.4689999999999999E-3</v>
      </c>
      <c r="N2049" s="1465">
        <v>1.6094372610940266</v>
      </c>
      <c r="O2049" s="1465"/>
    </row>
    <row r="2050" spans="11:15">
      <c r="K2050" s="1462">
        <v>44107</v>
      </c>
      <c r="L2050" s="1463"/>
      <c r="M2050" s="1464">
        <v>0</v>
      </c>
      <c r="N2050" s="1465">
        <v>1.6094372610940266</v>
      </c>
      <c r="O2050" s="1465"/>
    </row>
    <row r="2051" spans="11:15">
      <c r="K2051" s="1462">
        <v>44108</v>
      </c>
      <c r="L2051" s="1463"/>
      <c r="M2051" s="1464">
        <v>0</v>
      </c>
      <c r="N2051" s="1465">
        <v>1.6094372610940266</v>
      </c>
      <c r="O2051" s="1465"/>
    </row>
    <row r="2052" spans="11:15">
      <c r="K2052" s="1462">
        <v>44109</v>
      </c>
      <c r="L2052" s="1463" t="s">
        <v>2127</v>
      </c>
      <c r="M2052" s="1464">
        <v>7.4689999999999999E-3</v>
      </c>
      <c r="N2052" s="1465">
        <v>1.6095574699630577</v>
      </c>
      <c r="O2052" s="1465"/>
    </row>
    <row r="2053" spans="11:15">
      <c r="K2053" s="1462">
        <v>44110</v>
      </c>
      <c r="L2053" s="1463" t="s">
        <v>2127</v>
      </c>
      <c r="M2053" s="1464">
        <v>7.4689999999999999E-3</v>
      </c>
      <c r="N2053" s="1465">
        <v>1.609677687810489</v>
      </c>
      <c r="O2053" s="1465"/>
    </row>
    <row r="2054" spans="11:15">
      <c r="K2054" s="1462">
        <v>44111</v>
      </c>
      <c r="L2054" s="1463" t="s">
        <v>2127</v>
      </c>
      <c r="M2054" s="1464">
        <v>7.4689999999999999E-3</v>
      </c>
      <c r="N2054" s="1465">
        <v>1.6097979146369914</v>
      </c>
      <c r="O2054" s="1465"/>
    </row>
    <row r="2055" spans="11:15">
      <c r="K2055" s="1462">
        <v>44112</v>
      </c>
      <c r="L2055" s="1463" t="s">
        <v>2127</v>
      </c>
      <c r="M2055" s="1464">
        <v>7.4689999999999999E-3</v>
      </c>
      <c r="N2055" s="1465">
        <v>1.6099181504432356</v>
      </c>
      <c r="O2055" s="1465"/>
    </row>
    <row r="2056" spans="11:15">
      <c r="K2056" s="1462">
        <v>44113</v>
      </c>
      <c r="L2056" s="1463" t="s">
        <v>2127</v>
      </c>
      <c r="M2056" s="1464">
        <v>7.4689999999999999E-3</v>
      </c>
      <c r="N2056" s="1465">
        <v>1.610038395229892</v>
      </c>
      <c r="O2056" s="1465"/>
    </row>
    <row r="2057" spans="11:15">
      <c r="K2057" s="1462">
        <v>44114</v>
      </c>
      <c r="L2057" s="1463"/>
      <c r="M2057" s="1464">
        <v>0</v>
      </c>
      <c r="N2057" s="1465">
        <v>1.610038395229892</v>
      </c>
      <c r="O2057" s="1465"/>
    </row>
    <row r="2058" spans="11:15">
      <c r="K2058" s="1462">
        <v>44115</v>
      </c>
      <c r="L2058" s="1463"/>
      <c r="M2058" s="1464">
        <v>0</v>
      </c>
      <c r="N2058" s="1465">
        <v>1.610038395229892</v>
      </c>
      <c r="O2058" s="1465"/>
    </row>
    <row r="2059" spans="11:15">
      <c r="K2059" s="1462">
        <v>44116</v>
      </c>
      <c r="L2059" s="1463"/>
      <c r="M2059" s="1464">
        <v>0</v>
      </c>
      <c r="N2059" s="1465">
        <v>1.610038395229892</v>
      </c>
      <c r="O2059" s="1465"/>
    </row>
    <row r="2060" spans="11:15">
      <c r="K2060" s="1462">
        <v>44117</v>
      </c>
      <c r="L2060" s="1463" t="s">
        <v>2127</v>
      </c>
      <c r="M2060" s="1464">
        <v>7.4689999999999999E-3</v>
      </c>
      <c r="N2060" s="1465">
        <v>1.6101586489976316</v>
      </c>
      <c r="O2060" s="1465"/>
    </row>
    <row r="2061" spans="11:15">
      <c r="K2061" s="1462">
        <v>44118</v>
      </c>
      <c r="L2061" s="1463" t="s">
        <v>2127</v>
      </c>
      <c r="M2061" s="1464">
        <v>7.4689999999999999E-3</v>
      </c>
      <c r="N2061" s="1465">
        <v>1.6102789117471252</v>
      </c>
      <c r="O2061" s="1465"/>
    </row>
    <row r="2062" spans="11:15">
      <c r="K2062" s="1462">
        <v>44119</v>
      </c>
      <c r="L2062" s="1463" t="s">
        <v>2127</v>
      </c>
      <c r="M2062" s="1464">
        <v>7.4689999999999999E-3</v>
      </c>
      <c r="N2062" s="1465">
        <v>1.6103991834790434</v>
      </c>
      <c r="O2062" s="1465"/>
    </row>
    <row r="2063" spans="11:15">
      <c r="K2063" s="1462">
        <v>44120</v>
      </c>
      <c r="L2063" s="1463" t="s">
        <v>2127</v>
      </c>
      <c r="M2063" s="1464">
        <v>7.4689999999999999E-3</v>
      </c>
      <c r="N2063" s="1465">
        <v>1.6105194641940574</v>
      </c>
      <c r="O2063" s="1465"/>
    </row>
    <row r="2064" spans="11:15">
      <c r="K2064" s="1462">
        <v>44121</v>
      </c>
      <c r="L2064" s="1463"/>
      <c r="M2064" s="1464">
        <v>0</v>
      </c>
      <c r="N2064" s="1465">
        <v>1.6105194641940574</v>
      </c>
      <c r="O2064" s="1465"/>
    </row>
    <row r="2065" spans="11:15">
      <c r="K2065" s="1462">
        <v>44122</v>
      </c>
      <c r="L2065" s="1463"/>
      <c r="M2065" s="1464">
        <v>0</v>
      </c>
      <c r="N2065" s="1465">
        <v>1.6105194641940574</v>
      </c>
      <c r="O2065" s="1465"/>
    </row>
    <row r="2066" spans="11:15">
      <c r="K2066" s="1462">
        <v>44123</v>
      </c>
      <c r="L2066" s="1463" t="s">
        <v>2127</v>
      </c>
      <c r="M2066" s="1464">
        <v>7.4689999999999999E-3</v>
      </c>
      <c r="N2066" s="1465">
        <v>1.6106397538928381</v>
      </c>
      <c r="O2066" s="1465"/>
    </row>
    <row r="2067" spans="11:15">
      <c r="K2067" s="1462">
        <v>44124</v>
      </c>
      <c r="L2067" s="1463" t="s">
        <v>2127</v>
      </c>
      <c r="M2067" s="1464">
        <v>7.4689999999999999E-3</v>
      </c>
      <c r="N2067" s="1465">
        <v>1.6107600525760561</v>
      </c>
      <c r="O2067" s="1465"/>
    </row>
    <row r="2068" spans="11:15">
      <c r="K2068" s="1462">
        <v>44125</v>
      </c>
      <c r="L2068" s="1463" t="s">
        <v>2127</v>
      </c>
      <c r="M2068" s="1464">
        <v>7.4689999999999999E-3</v>
      </c>
      <c r="N2068" s="1465">
        <v>1.6108803602443829</v>
      </c>
      <c r="O2068" s="1465"/>
    </row>
    <row r="2069" spans="11:15">
      <c r="K2069" s="1462">
        <v>44126</v>
      </c>
      <c r="L2069" s="1463" t="s">
        <v>2127</v>
      </c>
      <c r="M2069" s="1464">
        <v>7.4689999999999999E-3</v>
      </c>
      <c r="N2069" s="1465">
        <v>1.6110006768984895</v>
      </c>
      <c r="O2069" s="1465"/>
    </row>
    <row r="2070" spans="11:15">
      <c r="K2070" s="1462">
        <v>44127</v>
      </c>
      <c r="L2070" s="1463" t="s">
        <v>2127</v>
      </c>
      <c r="M2070" s="1464">
        <v>7.4689999999999999E-3</v>
      </c>
      <c r="N2070" s="1465">
        <v>1.611121002539047</v>
      </c>
      <c r="O2070" s="1465"/>
    </row>
    <row r="2071" spans="11:15">
      <c r="K2071" s="1462">
        <v>44128</v>
      </c>
      <c r="L2071" s="1463"/>
      <c r="M2071" s="1464">
        <v>0</v>
      </c>
      <c r="N2071" s="1465">
        <v>1.611121002539047</v>
      </c>
      <c r="O2071" s="1465"/>
    </row>
    <row r="2072" spans="11:15">
      <c r="K2072" s="1462">
        <v>44129</v>
      </c>
      <c r="L2072" s="1463"/>
      <c r="M2072" s="1464">
        <v>0</v>
      </c>
      <c r="N2072" s="1465">
        <v>1.611121002539047</v>
      </c>
      <c r="O2072" s="1465"/>
    </row>
    <row r="2073" spans="11:15">
      <c r="K2073" s="1462">
        <v>44130</v>
      </c>
      <c r="L2073" s="1463" t="s">
        <v>2127</v>
      </c>
      <c r="M2073" s="1464">
        <v>7.4689999999999999E-3</v>
      </c>
      <c r="N2073" s="1465">
        <v>1.6112413371667265</v>
      </c>
      <c r="O2073" s="1465"/>
    </row>
    <row r="2074" spans="11:15">
      <c r="K2074" s="1462">
        <v>44131</v>
      </c>
      <c r="L2074" s="1463" t="s">
        <v>2127</v>
      </c>
      <c r="M2074" s="1464">
        <v>7.4689999999999999E-3</v>
      </c>
      <c r="N2074" s="1465">
        <v>1.6113616807821993</v>
      </c>
      <c r="O2074" s="1465"/>
    </row>
    <row r="2075" spans="11:15">
      <c r="K2075" s="1462">
        <v>44132</v>
      </c>
      <c r="L2075" s="1463" t="s">
        <v>2127</v>
      </c>
      <c r="M2075" s="1464">
        <v>7.4689999999999999E-3</v>
      </c>
      <c r="N2075" s="1465">
        <v>1.6114820333861368</v>
      </c>
      <c r="O2075" s="1465"/>
    </row>
    <row r="2076" spans="11:15">
      <c r="K2076" s="1462">
        <v>44133</v>
      </c>
      <c r="L2076" s="1463" t="s">
        <v>2127</v>
      </c>
      <c r="M2076" s="1464">
        <v>7.4689999999999999E-3</v>
      </c>
      <c r="N2076" s="1465">
        <v>1.6116023949792104</v>
      </c>
      <c r="O2076" s="1465"/>
    </row>
    <row r="2077" spans="11:15">
      <c r="K2077" s="1462">
        <v>44134</v>
      </c>
      <c r="L2077" s="1463" t="s">
        <v>2127</v>
      </c>
      <c r="M2077" s="1464">
        <v>7.4689999999999999E-3</v>
      </c>
      <c r="N2077" s="1465">
        <v>1.6117227655620914</v>
      </c>
      <c r="O2077" s="1465"/>
    </row>
    <row r="2078" spans="11:15">
      <c r="K2078" s="1462">
        <v>44135</v>
      </c>
      <c r="L2078" s="1463"/>
      <c r="M2078" s="1464">
        <v>0</v>
      </c>
      <c r="N2078" s="1465">
        <v>1.6117227655620914</v>
      </c>
      <c r="O2078" s="1465"/>
    </row>
    <row r="2079" spans="11:15">
      <c r="K2079" s="1462">
        <v>44136</v>
      </c>
      <c r="L2079" s="1463"/>
      <c r="M2079" s="1464">
        <v>0</v>
      </c>
      <c r="N2079" s="1465">
        <v>1.6117227655620914</v>
      </c>
      <c r="O2079" s="1465"/>
    </row>
    <row r="2080" spans="11:15">
      <c r="K2080" s="1462">
        <v>44137</v>
      </c>
      <c r="L2080" s="1463"/>
      <c r="M2080" s="1464">
        <v>0</v>
      </c>
      <c r="N2080" s="1465">
        <v>1.6117227655620914</v>
      </c>
      <c r="O2080" s="1465"/>
    </row>
    <row r="2081" spans="11:15">
      <c r="K2081" s="1462">
        <v>44138</v>
      </c>
      <c r="L2081" s="1463" t="s">
        <v>2127</v>
      </c>
      <c r="M2081" s="1464">
        <v>7.4689999999999999E-3</v>
      </c>
      <c r="N2081" s="1465">
        <v>1.6118431451354511</v>
      </c>
      <c r="O2081" s="1465"/>
    </row>
    <row r="2082" spans="11:15">
      <c r="K2082" s="1462">
        <v>44139</v>
      </c>
      <c r="L2082" s="1463" t="s">
        <v>2127</v>
      </c>
      <c r="M2082" s="1464">
        <v>7.4689999999999999E-3</v>
      </c>
      <c r="N2082" s="1465">
        <v>1.6119635336999611</v>
      </c>
      <c r="O2082" s="1465"/>
    </row>
    <row r="2083" spans="11:15">
      <c r="K2083" s="1462">
        <v>44140</v>
      </c>
      <c r="L2083" s="1463" t="s">
        <v>2127</v>
      </c>
      <c r="M2083" s="1464">
        <v>7.4689999999999999E-3</v>
      </c>
      <c r="N2083" s="1465">
        <v>1.6120839312562931</v>
      </c>
      <c r="O2083" s="1465"/>
    </row>
    <row r="2084" spans="11:15">
      <c r="K2084" s="1462">
        <v>44141</v>
      </c>
      <c r="L2084" s="1463" t="s">
        <v>2127</v>
      </c>
      <c r="M2084" s="1464">
        <v>7.4689999999999999E-3</v>
      </c>
      <c r="N2084" s="1465">
        <v>1.6122043378051185</v>
      </c>
      <c r="O2084" s="1465"/>
    </row>
    <row r="2085" spans="11:15">
      <c r="K2085" s="1462">
        <v>44142</v>
      </c>
      <c r="L2085" s="1463"/>
      <c r="M2085" s="1464">
        <v>0</v>
      </c>
      <c r="N2085" s="1465">
        <v>1.6122043378051185</v>
      </c>
      <c r="O2085" s="1465"/>
    </row>
    <row r="2086" spans="11:15">
      <c r="K2086" s="1462">
        <v>44143</v>
      </c>
      <c r="L2086" s="1463"/>
      <c r="M2086" s="1464">
        <v>0</v>
      </c>
      <c r="N2086" s="1465">
        <v>1.6122043378051185</v>
      </c>
      <c r="O2086" s="1465"/>
    </row>
    <row r="2087" spans="11:15">
      <c r="K2087" s="1462">
        <v>44144</v>
      </c>
      <c r="L2087" s="1463" t="s">
        <v>2127</v>
      </c>
      <c r="M2087" s="1464">
        <v>7.4689999999999999E-3</v>
      </c>
      <c r="N2087" s="1465">
        <v>1.612324753347109</v>
      </c>
      <c r="O2087" s="1465"/>
    </row>
    <row r="2088" spans="11:15">
      <c r="K2088" s="1462">
        <v>44145</v>
      </c>
      <c r="L2088" s="1463" t="s">
        <v>2127</v>
      </c>
      <c r="M2088" s="1464">
        <v>7.4689999999999999E-3</v>
      </c>
      <c r="N2088" s="1465">
        <v>1.6124451778829363</v>
      </c>
      <c r="O2088" s="1465"/>
    </row>
    <row r="2089" spans="11:15">
      <c r="K2089" s="1462">
        <v>44146</v>
      </c>
      <c r="L2089" s="1463" t="s">
        <v>2127</v>
      </c>
      <c r="M2089" s="1464">
        <v>7.4689999999999999E-3</v>
      </c>
      <c r="N2089" s="1465">
        <v>1.6125656114132723</v>
      </c>
      <c r="O2089" s="1465"/>
    </row>
    <row r="2090" spans="11:15">
      <c r="K2090" s="1462">
        <v>44147</v>
      </c>
      <c r="L2090" s="1463" t="s">
        <v>2127</v>
      </c>
      <c r="M2090" s="1464">
        <v>7.4689999999999999E-3</v>
      </c>
      <c r="N2090" s="1465">
        <v>1.6126860539387886</v>
      </c>
      <c r="O2090" s="1465"/>
    </row>
    <row r="2091" spans="11:15">
      <c r="K2091" s="1462">
        <v>44148</v>
      </c>
      <c r="L2091" s="1463" t="s">
        <v>2127</v>
      </c>
      <c r="M2091" s="1464">
        <v>7.4689999999999999E-3</v>
      </c>
      <c r="N2091" s="1465">
        <v>1.6128065054601572</v>
      </c>
      <c r="O2091" s="1465"/>
    </row>
    <row r="2092" spans="11:15">
      <c r="K2092" s="1462">
        <v>44149</v>
      </c>
      <c r="L2092" s="1463"/>
      <c r="M2092" s="1464">
        <v>0</v>
      </c>
      <c r="N2092" s="1465">
        <v>1.6128065054601572</v>
      </c>
      <c r="O2092" s="1465"/>
    </row>
    <row r="2093" spans="11:15">
      <c r="K2093" s="1462">
        <v>44150</v>
      </c>
      <c r="L2093" s="1463"/>
      <c r="M2093" s="1464">
        <v>0</v>
      </c>
      <c r="N2093" s="1465">
        <v>1.6128065054601572</v>
      </c>
      <c r="O2093" s="1465"/>
    </row>
    <row r="2094" spans="11:15">
      <c r="K2094" s="1462">
        <v>44151</v>
      </c>
      <c r="L2094" s="1463" t="s">
        <v>2127</v>
      </c>
      <c r="M2094" s="1464">
        <v>7.4689999999999999E-3</v>
      </c>
      <c r="N2094" s="1465">
        <v>1.6129269659780499</v>
      </c>
      <c r="O2094" s="1465"/>
    </row>
    <row r="2095" spans="11:15">
      <c r="K2095" s="1462">
        <v>44152</v>
      </c>
      <c r="L2095" s="1463" t="s">
        <v>2127</v>
      </c>
      <c r="M2095" s="1464">
        <v>7.4689999999999999E-3</v>
      </c>
      <c r="N2095" s="1465">
        <v>1.6130474354931386</v>
      </c>
      <c r="O2095" s="1465"/>
    </row>
    <row r="2096" spans="11:15">
      <c r="K2096" s="1462">
        <v>44153</v>
      </c>
      <c r="L2096" s="1463" t="s">
        <v>2127</v>
      </c>
      <c r="M2096" s="1464">
        <v>7.4689999999999999E-3</v>
      </c>
      <c r="N2096" s="1465">
        <v>1.6131679140060955</v>
      </c>
      <c r="O2096" s="1465"/>
    </row>
    <row r="2097" spans="11:15">
      <c r="K2097" s="1462">
        <v>44154</v>
      </c>
      <c r="L2097" s="1463" t="s">
        <v>2127</v>
      </c>
      <c r="M2097" s="1464">
        <v>7.4689999999999999E-3</v>
      </c>
      <c r="N2097" s="1465">
        <v>1.6132884015175926</v>
      </c>
      <c r="O2097" s="1465"/>
    </row>
    <row r="2098" spans="11:15">
      <c r="K2098" s="1462">
        <v>44155</v>
      </c>
      <c r="L2098" s="1463" t="s">
        <v>2127</v>
      </c>
      <c r="M2098" s="1464">
        <v>7.4689999999999999E-3</v>
      </c>
      <c r="N2098" s="1465">
        <v>1.6134088980283019</v>
      </c>
      <c r="O2098" s="1465"/>
    </row>
    <row r="2099" spans="11:15">
      <c r="K2099" s="1462">
        <v>44156</v>
      </c>
      <c r="L2099" s="1463"/>
      <c r="M2099" s="1464">
        <v>0</v>
      </c>
      <c r="N2099" s="1465">
        <v>1.6134088980283019</v>
      </c>
      <c r="O2099" s="1465"/>
    </row>
    <row r="2100" spans="11:15">
      <c r="K2100" s="1462">
        <v>44157</v>
      </c>
      <c r="L2100" s="1463"/>
      <c r="M2100" s="1464">
        <v>0</v>
      </c>
      <c r="N2100" s="1465">
        <v>1.6134088980283019</v>
      </c>
      <c r="O2100" s="1465"/>
    </row>
    <row r="2101" spans="11:15">
      <c r="K2101" s="1462">
        <v>44158</v>
      </c>
      <c r="L2101" s="1463" t="s">
        <v>2127</v>
      </c>
      <c r="M2101" s="1464">
        <v>7.4689999999999999E-3</v>
      </c>
      <c r="N2101" s="1465">
        <v>1.6135294035388956</v>
      </c>
      <c r="O2101" s="1465"/>
    </row>
    <row r="2102" spans="11:15">
      <c r="K2102" s="1462">
        <v>44159</v>
      </c>
      <c r="L2102" s="1463" t="s">
        <v>2127</v>
      </c>
      <c r="M2102" s="1464">
        <v>7.4689999999999999E-3</v>
      </c>
      <c r="N2102" s="1465">
        <v>1.6136499180500459</v>
      </c>
      <c r="O2102" s="1465"/>
    </row>
    <row r="2103" spans="11:15">
      <c r="K2103" s="1462">
        <v>44160</v>
      </c>
      <c r="L2103" s="1463" t="s">
        <v>2127</v>
      </c>
      <c r="M2103" s="1464">
        <v>7.4689999999999999E-3</v>
      </c>
      <c r="N2103" s="1465">
        <v>1.613770441562425</v>
      </c>
      <c r="O2103" s="1465"/>
    </row>
    <row r="2104" spans="11:15">
      <c r="K2104" s="1462">
        <v>44161</v>
      </c>
      <c r="L2104" s="1463" t="s">
        <v>2127</v>
      </c>
      <c r="M2104" s="1464">
        <v>7.4689999999999999E-3</v>
      </c>
      <c r="N2104" s="1465">
        <v>1.6138909740767051</v>
      </c>
      <c r="O2104" s="1465"/>
    </row>
    <row r="2105" spans="11:15">
      <c r="K2105" s="1462">
        <v>44162</v>
      </c>
      <c r="L2105" s="1463" t="s">
        <v>2127</v>
      </c>
      <c r="M2105" s="1464">
        <v>7.4689999999999999E-3</v>
      </c>
      <c r="N2105" s="1465">
        <v>1.6140115155935588</v>
      </c>
      <c r="O2105" s="1465"/>
    </row>
    <row r="2106" spans="11:15">
      <c r="K2106" s="1462">
        <v>44163</v>
      </c>
      <c r="L2106" s="1463"/>
      <c r="M2106" s="1464">
        <v>0</v>
      </c>
      <c r="N2106" s="1465">
        <v>1.6140115155935588</v>
      </c>
      <c r="O2106" s="1465"/>
    </row>
    <row r="2107" spans="11:15">
      <c r="K2107" s="1462">
        <v>44164</v>
      </c>
      <c r="L2107" s="1463"/>
      <c r="M2107" s="1464">
        <v>0</v>
      </c>
      <c r="N2107" s="1465">
        <v>1.6140115155935588</v>
      </c>
      <c r="O2107" s="1465"/>
    </row>
    <row r="2108" spans="11:15">
      <c r="K2108" s="1462">
        <v>44165</v>
      </c>
      <c r="L2108" s="1463" t="s">
        <v>2127</v>
      </c>
      <c r="M2108" s="1464">
        <v>7.4689999999999999E-3</v>
      </c>
      <c r="N2108" s="1465">
        <v>1.6141320661136584</v>
      </c>
      <c r="O2108" s="1465"/>
    </row>
    <row r="2109" spans="11:15">
      <c r="K2109" s="1462">
        <v>44166</v>
      </c>
      <c r="L2109" s="1463" t="s">
        <v>2127</v>
      </c>
      <c r="M2109" s="1464">
        <v>7.4689999999999999E-3</v>
      </c>
      <c r="N2109" s="1465">
        <v>1.6142526256376764</v>
      </c>
      <c r="O2109" s="1465"/>
    </row>
    <row r="2110" spans="11:15">
      <c r="K2110" s="1462">
        <v>44167</v>
      </c>
      <c r="L2110" s="1463" t="s">
        <v>2127</v>
      </c>
      <c r="M2110" s="1464">
        <v>7.4689999999999999E-3</v>
      </c>
      <c r="N2110" s="1465">
        <v>1.6143731941662851</v>
      </c>
      <c r="O2110" s="1465"/>
    </row>
    <row r="2111" spans="11:15">
      <c r="K2111" s="1462">
        <v>44168</v>
      </c>
      <c r="L2111" s="1463" t="s">
        <v>2127</v>
      </c>
      <c r="M2111" s="1464">
        <v>7.4689999999999999E-3</v>
      </c>
      <c r="N2111" s="1465">
        <v>1.6144937717001573</v>
      </c>
      <c r="O2111" s="1465"/>
    </row>
    <row r="2112" spans="11:15">
      <c r="K2112" s="1462">
        <v>44169</v>
      </c>
      <c r="L2112" s="1463" t="s">
        <v>2127</v>
      </c>
      <c r="M2112" s="1464">
        <v>7.4689999999999999E-3</v>
      </c>
      <c r="N2112" s="1465">
        <v>1.6146143582399655</v>
      </c>
      <c r="O2112" s="1465"/>
    </row>
    <row r="2113" spans="11:15">
      <c r="K2113" s="1462">
        <v>44170</v>
      </c>
      <c r="L2113" s="1463"/>
      <c r="M2113" s="1464">
        <v>0</v>
      </c>
      <c r="N2113" s="1465">
        <v>1.6146143582399655</v>
      </c>
      <c r="O2113" s="1465"/>
    </row>
    <row r="2114" spans="11:15">
      <c r="K2114" s="1462">
        <v>44171</v>
      </c>
      <c r="L2114" s="1463"/>
      <c r="M2114" s="1464">
        <v>0</v>
      </c>
      <c r="N2114" s="1465">
        <v>1.6146143582399655</v>
      </c>
      <c r="O2114" s="1465"/>
    </row>
    <row r="2115" spans="11:15">
      <c r="K2115" s="1462">
        <v>44172</v>
      </c>
      <c r="L2115" s="1463" t="s">
        <v>2127</v>
      </c>
      <c r="M2115" s="1464">
        <v>7.4689999999999999E-3</v>
      </c>
      <c r="N2115" s="1465">
        <v>1.6147349537863822</v>
      </c>
      <c r="O2115" s="1465"/>
    </row>
    <row r="2116" spans="11:15">
      <c r="K2116" s="1462">
        <v>44173</v>
      </c>
      <c r="L2116" s="1463" t="s">
        <v>2127</v>
      </c>
      <c r="M2116" s="1464">
        <v>7.4689999999999999E-3</v>
      </c>
      <c r="N2116" s="1465">
        <v>1.6148555583400803</v>
      </c>
      <c r="O2116" s="1465"/>
    </row>
    <row r="2117" spans="11:15">
      <c r="K2117" s="1462">
        <v>44174</v>
      </c>
      <c r="L2117" s="1463" t="s">
        <v>2127</v>
      </c>
      <c r="M2117" s="1464">
        <v>7.4689999999999999E-3</v>
      </c>
      <c r="N2117" s="1465">
        <v>1.6149761719017326</v>
      </c>
      <c r="O2117" s="1465"/>
    </row>
    <row r="2118" spans="11:15">
      <c r="K2118" s="1462">
        <v>44175</v>
      </c>
      <c r="L2118" s="1463" t="s">
        <v>2127</v>
      </c>
      <c r="M2118" s="1464">
        <v>7.4689999999999999E-3</v>
      </c>
      <c r="N2118" s="1465">
        <v>1.6150967944720118</v>
      </c>
      <c r="O2118" s="1465"/>
    </row>
    <row r="2119" spans="11:15">
      <c r="K2119" s="1462">
        <v>44176</v>
      </c>
      <c r="L2119" s="1463" t="s">
        <v>2127</v>
      </c>
      <c r="M2119" s="1464">
        <v>7.4689999999999999E-3</v>
      </c>
      <c r="N2119" s="1465">
        <v>1.6152174260515908</v>
      </c>
      <c r="O2119" s="1465"/>
    </row>
    <row r="2120" spans="11:15">
      <c r="K2120" s="1462">
        <v>44177</v>
      </c>
      <c r="L2120" s="1463"/>
      <c r="M2120" s="1464">
        <v>0</v>
      </c>
      <c r="N2120" s="1465">
        <v>1.6152174260515908</v>
      </c>
      <c r="O2120" s="1465"/>
    </row>
    <row r="2121" spans="11:15">
      <c r="K2121" s="1462">
        <v>44178</v>
      </c>
      <c r="L2121" s="1463"/>
      <c r="M2121" s="1464">
        <v>0</v>
      </c>
      <c r="N2121" s="1465">
        <v>1.6152174260515908</v>
      </c>
      <c r="O2121" s="1465"/>
    </row>
    <row r="2122" spans="11:15">
      <c r="K2122" s="1462">
        <v>44179</v>
      </c>
      <c r="L2122" s="1463" t="s">
        <v>2127</v>
      </c>
      <c r="M2122" s="1464">
        <v>7.4689999999999999E-3</v>
      </c>
      <c r="N2122" s="1465">
        <v>1.6153380666411425</v>
      </c>
      <c r="O2122" s="1465"/>
    </row>
    <row r="2123" spans="11:15">
      <c r="K2123" s="1462">
        <v>44180</v>
      </c>
      <c r="L2123" s="1463" t="s">
        <v>2127</v>
      </c>
      <c r="M2123" s="1464">
        <v>7.4689999999999999E-3</v>
      </c>
      <c r="N2123" s="1465">
        <v>1.6154587162413399</v>
      </c>
      <c r="O2123" s="1465"/>
    </row>
    <row r="2124" spans="11:15">
      <c r="K2124" s="1462">
        <v>44181</v>
      </c>
      <c r="L2124" s="1463" t="s">
        <v>2127</v>
      </c>
      <c r="M2124" s="1464">
        <v>7.4689999999999999E-3</v>
      </c>
      <c r="N2124" s="1465">
        <v>1.6155793748528557</v>
      </c>
      <c r="O2124" s="1465"/>
    </row>
    <row r="2125" spans="11:15">
      <c r="K2125" s="1462">
        <v>44182</v>
      </c>
      <c r="L2125" s="1463" t="s">
        <v>2127</v>
      </c>
      <c r="M2125" s="1464">
        <v>7.4689999999999999E-3</v>
      </c>
      <c r="N2125" s="1465">
        <v>1.6157000424763635</v>
      </c>
      <c r="O2125" s="1465"/>
    </row>
    <row r="2126" spans="11:15">
      <c r="K2126" s="1462">
        <v>44183</v>
      </c>
      <c r="L2126" s="1463" t="s">
        <v>2127</v>
      </c>
      <c r="M2126" s="1464">
        <v>7.4689999999999999E-3</v>
      </c>
      <c r="N2126" s="1465">
        <v>1.615820719112536</v>
      </c>
      <c r="O2126" s="1465"/>
    </row>
    <row r="2127" spans="11:15">
      <c r="K2127" s="1462">
        <v>44184</v>
      </c>
      <c r="L2127" s="1463"/>
      <c r="M2127" s="1464">
        <v>0</v>
      </c>
      <c r="N2127" s="1465">
        <v>1.615820719112536</v>
      </c>
      <c r="O2127" s="1465"/>
    </row>
    <row r="2128" spans="11:15">
      <c r="K2128" s="1462">
        <v>44185</v>
      </c>
      <c r="L2128" s="1463"/>
      <c r="M2128" s="1464">
        <v>0</v>
      </c>
      <c r="N2128" s="1465">
        <v>1.615820719112536</v>
      </c>
      <c r="O2128" s="1465"/>
    </row>
    <row r="2129" spans="11:15">
      <c r="K2129" s="1462">
        <v>44186</v>
      </c>
      <c r="L2129" s="1463" t="s">
        <v>2127</v>
      </c>
      <c r="M2129" s="1464">
        <v>7.4689999999999999E-3</v>
      </c>
      <c r="N2129" s="1465">
        <v>1.6159414047620464</v>
      </c>
      <c r="O2129" s="1465"/>
    </row>
    <row r="2130" spans="11:15">
      <c r="K2130" s="1462">
        <v>44187</v>
      </c>
      <c r="L2130" s="1463" t="s">
        <v>2127</v>
      </c>
      <c r="M2130" s="1464">
        <v>7.4689999999999999E-3</v>
      </c>
      <c r="N2130" s="1465">
        <v>1.6160620994255679</v>
      </c>
      <c r="O2130" s="1465"/>
    </row>
    <row r="2131" spans="11:15">
      <c r="K2131" s="1462">
        <v>44188</v>
      </c>
      <c r="L2131" s="1463" t="s">
        <v>2127</v>
      </c>
      <c r="M2131" s="1464">
        <v>7.4689999999999999E-3</v>
      </c>
      <c r="N2131" s="1465">
        <v>1.6161828031037739</v>
      </c>
      <c r="O2131" s="1465"/>
    </row>
    <row r="2132" spans="11:15">
      <c r="K2132" s="1462">
        <v>44189</v>
      </c>
      <c r="L2132" s="1463" t="s">
        <v>2127</v>
      </c>
      <c r="M2132" s="1464">
        <v>7.4689999999999999E-3</v>
      </c>
      <c r="N2132" s="1465">
        <v>1.6163035157973376</v>
      </c>
      <c r="O2132" s="1465"/>
    </row>
    <row r="2133" spans="11:15">
      <c r="K2133" s="1462">
        <v>44190</v>
      </c>
      <c r="L2133" s="1463"/>
      <c r="M2133" s="1464">
        <v>0</v>
      </c>
      <c r="N2133" s="1465">
        <v>1.6163035157973376</v>
      </c>
      <c r="O2133" s="1465"/>
    </row>
    <row r="2134" spans="11:15">
      <c r="K2134" s="1462">
        <v>44191</v>
      </c>
      <c r="L2134" s="1463"/>
      <c r="M2134" s="1464">
        <v>0</v>
      </c>
      <c r="N2134" s="1465">
        <v>1.6163035157973376</v>
      </c>
      <c r="O2134" s="1465"/>
    </row>
    <row r="2135" spans="11:15">
      <c r="K2135" s="1462">
        <v>44192</v>
      </c>
      <c r="L2135" s="1463"/>
      <c r="M2135" s="1464">
        <v>0</v>
      </c>
      <c r="N2135" s="1465">
        <v>1.6163035157973376</v>
      </c>
      <c r="O2135" s="1465"/>
    </row>
    <row r="2136" spans="11:15">
      <c r="K2136" s="1462">
        <v>44193</v>
      </c>
      <c r="L2136" s="1463" t="s">
        <v>2127</v>
      </c>
      <c r="M2136" s="1464">
        <v>7.4689999999999999E-3</v>
      </c>
      <c r="N2136" s="1465">
        <v>1.6164242375069324</v>
      </c>
      <c r="O2136" s="1465"/>
    </row>
    <row r="2137" spans="11:15">
      <c r="K2137" s="1462">
        <v>44194</v>
      </c>
      <c r="L2137" s="1463" t="s">
        <v>2127</v>
      </c>
      <c r="M2137" s="1464">
        <v>7.4689999999999999E-3</v>
      </c>
      <c r="N2137" s="1465">
        <v>1.6165449682332318</v>
      </c>
      <c r="O2137" s="1465"/>
    </row>
    <row r="2138" spans="11:15">
      <c r="K2138" s="1462">
        <v>44195</v>
      </c>
      <c r="L2138" s="1463" t="s">
        <v>2127</v>
      </c>
      <c r="M2138" s="1464">
        <v>7.4689999999999999E-3</v>
      </c>
      <c r="N2138" s="1465">
        <v>1.6166657079769091</v>
      </c>
      <c r="O2138" s="1465"/>
    </row>
    <row r="2139" spans="11:15">
      <c r="K2139" s="1462">
        <v>44196</v>
      </c>
      <c r="L2139" s="1463" t="s">
        <v>2127</v>
      </c>
      <c r="M2139" s="1464">
        <v>7.4689999999999999E-3</v>
      </c>
      <c r="N2139" s="1465">
        <v>1.6167864567386379</v>
      </c>
      <c r="O2139" s="1465"/>
    </row>
    <row r="2140" spans="11:15">
      <c r="K2140" s="1462">
        <v>44197</v>
      </c>
      <c r="L2140" s="1463"/>
      <c r="M2140" s="1464">
        <v>0</v>
      </c>
      <c r="N2140" s="1465">
        <v>1.6167864567386379</v>
      </c>
      <c r="O2140" s="1465"/>
    </row>
    <row r="2141" spans="11:15">
      <c r="K2141" s="1462">
        <v>44198</v>
      </c>
      <c r="L2141" s="1463"/>
      <c r="M2141" s="1464">
        <v>0</v>
      </c>
      <c r="N2141" s="1465">
        <v>1.6167864567386379</v>
      </c>
      <c r="O2141" s="1465"/>
    </row>
    <row r="2142" spans="11:15">
      <c r="K2142" s="1462">
        <v>44199</v>
      </c>
      <c r="L2142" s="1463"/>
      <c r="M2142" s="1464">
        <v>0</v>
      </c>
      <c r="N2142" s="1465">
        <v>1.6167864567386379</v>
      </c>
      <c r="O2142" s="1465"/>
    </row>
    <row r="2143" spans="11:15">
      <c r="K2143" s="1462">
        <v>44200</v>
      </c>
      <c r="L2143" s="1463" t="s">
        <v>2127</v>
      </c>
      <c r="M2143" s="1464">
        <v>7.4689999999999999E-3</v>
      </c>
      <c r="N2143" s="1465">
        <v>1.6169072145190915</v>
      </c>
      <c r="O2143" s="1465"/>
    </row>
    <row r="2144" spans="11:15">
      <c r="K2144" s="1462">
        <v>44201</v>
      </c>
      <c r="L2144" s="1463" t="s">
        <v>2127</v>
      </c>
      <c r="M2144" s="1464">
        <v>7.4689999999999999E-3</v>
      </c>
      <c r="N2144" s="1465">
        <v>1.6170279813189439</v>
      </c>
      <c r="O2144" s="1465"/>
    </row>
    <row r="2145" spans="11:15">
      <c r="K2145" s="1462">
        <v>44202</v>
      </c>
      <c r="L2145" s="1463" t="s">
        <v>2127</v>
      </c>
      <c r="M2145" s="1464">
        <v>7.4689999999999999E-3</v>
      </c>
      <c r="N2145" s="1465">
        <v>1.6171487571388685</v>
      </c>
      <c r="O2145" s="1465"/>
    </row>
    <row r="2146" spans="11:15">
      <c r="K2146" s="1462">
        <v>44203</v>
      </c>
      <c r="L2146" s="1463" t="s">
        <v>2127</v>
      </c>
      <c r="M2146" s="1464">
        <v>7.4689999999999999E-3</v>
      </c>
      <c r="N2146" s="1465">
        <v>1.6172695419795391</v>
      </c>
      <c r="O2146" s="1465"/>
    </row>
    <row r="2147" spans="11:15">
      <c r="K2147" s="1462">
        <v>44204</v>
      </c>
      <c r="L2147" s="1463" t="s">
        <v>2127</v>
      </c>
      <c r="M2147" s="1464">
        <v>7.4689999999999999E-3</v>
      </c>
      <c r="N2147" s="1465">
        <v>1.6173903358416295</v>
      </c>
      <c r="O2147" s="1465"/>
    </row>
    <row r="2148" spans="11:15">
      <c r="K2148" s="1462">
        <v>44205</v>
      </c>
      <c r="L2148" s="1463"/>
      <c r="M2148" s="1464">
        <v>0</v>
      </c>
      <c r="N2148" s="1465">
        <v>1.6173903358416295</v>
      </c>
      <c r="O2148" s="1465"/>
    </row>
    <row r="2149" spans="11:15">
      <c r="K2149" s="1462">
        <v>44206</v>
      </c>
      <c r="L2149" s="1463"/>
      <c r="M2149" s="1464">
        <v>0</v>
      </c>
      <c r="N2149" s="1465">
        <v>1.6173903358416295</v>
      </c>
      <c r="O2149" s="1465"/>
    </row>
    <row r="2150" spans="11:15">
      <c r="K2150" s="1462">
        <v>44207</v>
      </c>
      <c r="L2150" s="1463" t="s">
        <v>2127</v>
      </c>
      <c r="M2150" s="1464">
        <v>7.4689999999999999E-3</v>
      </c>
      <c r="N2150" s="1465">
        <v>1.6175111387258134</v>
      </c>
      <c r="O2150" s="1465"/>
    </row>
    <row r="2151" spans="11:15">
      <c r="K2151" s="1462">
        <v>44208</v>
      </c>
      <c r="L2151" s="1463" t="s">
        <v>2127</v>
      </c>
      <c r="M2151" s="1464">
        <v>7.4689999999999999E-3</v>
      </c>
      <c r="N2151" s="1465">
        <v>1.6176319506327648</v>
      </c>
      <c r="O2151" s="1465"/>
    </row>
    <row r="2152" spans="11:15">
      <c r="K2152" s="1462">
        <v>44209</v>
      </c>
      <c r="L2152" s="1463" t="s">
        <v>2127</v>
      </c>
      <c r="M2152" s="1464">
        <v>7.4689999999999999E-3</v>
      </c>
      <c r="N2152" s="1465">
        <v>1.6177527715631574</v>
      </c>
      <c r="O2152" s="1465"/>
    </row>
    <row r="2153" spans="11:15">
      <c r="K2153" s="1462">
        <v>44210</v>
      </c>
      <c r="L2153" s="1463" t="s">
        <v>2127</v>
      </c>
      <c r="M2153" s="1464">
        <v>7.4689999999999999E-3</v>
      </c>
      <c r="N2153" s="1465">
        <v>1.6178736015176653</v>
      </c>
      <c r="O2153" s="1465"/>
    </row>
    <row r="2154" spans="11:15">
      <c r="K2154" s="1462">
        <v>44211</v>
      </c>
      <c r="L2154" s="1463" t="s">
        <v>2127</v>
      </c>
      <c r="M2154" s="1464">
        <v>7.4689999999999999E-3</v>
      </c>
      <c r="N2154" s="1465">
        <v>1.6179944404969626</v>
      </c>
      <c r="O2154" s="1465"/>
    </row>
    <row r="2155" spans="11:15">
      <c r="K2155" s="1462">
        <v>44212</v>
      </c>
      <c r="L2155" s="1463"/>
      <c r="M2155" s="1464">
        <v>0</v>
      </c>
      <c r="N2155" s="1465">
        <v>1.6179944404969626</v>
      </c>
      <c r="O2155" s="1465"/>
    </row>
    <row r="2156" spans="11:15">
      <c r="K2156" s="1462">
        <v>44213</v>
      </c>
      <c r="L2156" s="1463"/>
      <c r="M2156" s="1464">
        <v>0</v>
      </c>
      <c r="N2156" s="1465">
        <v>1.6179944404969626</v>
      </c>
      <c r="O2156" s="1465"/>
    </row>
    <row r="2157" spans="11:15">
      <c r="K2157" s="1462">
        <v>44214</v>
      </c>
      <c r="L2157" s="1463" t="s">
        <v>2127</v>
      </c>
      <c r="M2157" s="1464">
        <v>7.4689999999999999E-3</v>
      </c>
      <c r="N2157" s="1465">
        <v>1.6181152885017231</v>
      </c>
      <c r="O2157" s="1465"/>
    </row>
    <row r="2158" spans="11:15">
      <c r="K2158" s="1462">
        <v>44215</v>
      </c>
      <c r="L2158" s="1463" t="s">
        <v>2127</v>
      </c>
      <c r="M2158" s="1464">
        <v>7.4689999999999999E-3</v>
      </c>
      <c r="N2158" s="1465">
        <v>1.6182361455326213</v>
      </c>
      <c r="O2158" s="1465"/>
    </row>
    <row r="2159" spans="11:15">
      <c r="K2159" s="1462">
        <v>44216</v>
      </c>
      <c r="L2159" s="1463" t="s">
        <v>2127</v>
      </c>
      <c r="M2159" s="1464">
        <v>7.4689999999999999E-3</v>
      </c>
      <c r="N2159" s="1465">
        <v>1.618357011590331</v>
      </c>
      <c r="O2159" s="1465"/>
    </row>
    <row r="2160" spans="11:15">
      <c r="K2160" s="1462">
        <v>44217</v>
      </c>
      <c r="L2160" s="1463" t="s">
        <v>2127</v>
      </c>
      <c r="M2160" s="1464">
        <v>7.4689999999999999E-3</v>
      </c>
      <c r="N2160" s="1465">
        <v>1.6184778866755265</v>
      </c>
      <c r="O2160" s="1465"/>
    </row>
    <row r="2161" spans="11:15">
      <c r="K2161" s="1462">
        <v>44218</v>
      </c>
      <c r="L2161" s="1463" t="s">
        <v>2127</v>
      </c>
      <c r="M2161" s="1464">
        <v>7.4689999999999999E-3</v>
      </c>
      <c r="N2161" s="1465">
        <v>1.6185987707888823</v>
      </c>
      <c r="O2161" s="1465"/>
    </row>
    <row r="2162" spans="11:15">
      <c r="K2162" s="1462">
        <v>44219</v>
      </c>
      <c r="L2162" s="1463"/>
      <c r="M2162" s="1464">
        <v>0</v>
      </c>
      <c r="N2162" s="1465">
        <v>1.6185987707888823</v>
      </c>
      <c r="O2162" s="1465"/>
    </row>
    <row r="2163" spans="11:15">
      <c r="K2163" s="1462">
        <v>44220</v>
      </c>
      <c r="L2163" s="1463"/>
      <c r="M2163" s="1464">
        <v>0</v>
      </c>
      <c r="N2163" s="1465">
        <v>1.6185987707888823</v>
      </c>
      <c r="O2163" s="1465"/>
    </row>
    <row r="2164" spans="11:15">
      <c r="K2164" s="1462">
        <v>44221</v>
      </c>
      <c r="L2164" s="1463" t="s">
        <v>2127</v>
      </c>
      <c r="M2164" s="1464">
        <v>7.4689999999999999E-3</v>
      </c>
      <c r="N2164" s="1465">
        <v>1.6187196639310724</v>
      </c>
      <c r="O2164" s="1465"/>
    </row>
    <row r="2165" spans="11:15">
      <c r="K2165" s="1462">
        <v>44222</v>
      </c>
      <c r="L2165" s="1463" t="s">
        <v>2127</v>
      </c>
      <c r="M2165" s="1464">
        <v>7.4689999999999999E-3</v>
      </c>
      <c r="N2165" s="1465">
        <v>1.6188405661027712</v>
      </c>
      <c r="O2165" s="1465"/>
    </row>
    <row r="2166" spans="11:15">
      <c r="K2166" s="1462">
        <v>44223</v>
      </c>
      <c r="L2166" s="1463" t="s">
        <v>2127</v>
      </c>
      <c r="M2166" s="1464">
        <v>7.4689999999999999E-3</v>
      </c>
      <c r="N2166" s="1465">
        <v>1.6189614773046532</v>
      </c>
      <c r="O2166" s="1465"/>
    </row>
    <row r="2167" spans="11:15">
      <c r="K2167" s="1462">
        <v>44224</v>
      </c>
      <c r="L2167" s="1463" t="s">
        <v>2127</v>
      </c>
      <c r="M2167" s="1464">
        <v>7.4689999999999999E-3</v>
      </c>
      <c r="N2167" s="1465">
        <v>1.6190823975373929</v>
      </c>
      <c r="O2167" s="1465"/>
    </row>
    <row r="2168" spans="11:15">
      <c r="K2168" s="1462">
        <v>44225</v>
      </c>
      <c r="L2168" s="1463" t="s">
        <v>2127</v>
      </c>
      <c r="M2168" s="1464">
        <v>7.4689999999999999E-3</v>
      </c>
      <c r="N2168" s="1465">
        <v>1.6192033268016648</v>
      </c>
      <c r="O2168" s="1465"/>
    </row>
    <row r="2169" spans="11:15">
      <c r="K2169" s="1462">
        <v>44226</v>
      </c>
      <c r="L2169" s="1463"/>
      <c r="M2169" s="1464">
        <v>0</v>
      </c>
      <c r="N2169" s="1465">
        <v>1.6192033268016648</v>
      </c>
      <c r="O2169" s="1465"/>
    </row>
    <row r="2170" spans="11:15">
      <c r="K2170" s="1462">
        <v>44227</v>
      </c>
      <c r="L2170" s="1463"/>
      <c r="M2170" s="1464">
        <v>0</v>
      </c>
      <c r="N2170" s="1465">
        <v>1.6192033268016648</v>
      </c>
      <c r="O2170" s="1465"/>
    </row>
    <row r="2171" spans="11:15">
      <c r="K2171" s="1462">
        <v>44228</v>
      </c>
      <c r="L2171" s="1463" t="s">
        <v>2127</v>
      </c>
      <c r="M2171" s="1464">
        <v>7.4689999999999999E-3</v>
      </c>
      <c r="N2171" s="1465">
        <v>1.6193242650981434</v>
      </c>
      <c r="O2171" s="1465"/>
    </row>
    <row r="2172" spans="11:15">
      <c r="K2172" s="1462">
        <v>44229</v>
      </c>
      <c r="L2172" s="1463" t="s">
        <v>2127</v>
      </c>
      <c r="M2172" s="1464">
        <v>7.4689999999999999E-3</v>
      </c>
      <c r="N2172" s="1465">
        <v>1.6194452124275034</v>
      </c>
      <c r="O2172" s="1465"/>
    </row>
    <row r="2173" spans="11:15">
      <c r="K2173" s="1462">
        <v>44230</v>
      </c>
      <c r="L2173" s="1463" t="s">
        <v>2127</v>
      </c>
      <c r="M2173" s="1464">
        <v>7.4689999999999999E-3</v>
      </c>
      <c r="N2173" s="1465">
        <v>1.6195661687904195</v>
      </c>
      <c r="O2173" s="1465"/>
    </row>
    <row r="2174" spans="11:15">
      <c r="K2174" s="1462">
        <v>44231</v>
      </c>
      <c r="L2174" s="1463" t="s">
        <v>2127</v>
      </c>
      <c r="M2174" s="1464">
        <v>7.4689999999999999E-3</v>
      </c>
      <c r="N2174" s="1465">
        <v>1.6196871341875663</v>
      </c>
      <c r="O2174" s="1465"/>
    </row>
    <row r="2175" spans="11:15">
      <c r="K2175" s="1462">
        <v>44232</v>
      </c>
      <c r="L2175" s="1463" t="s">
        <v>2127</v>
      </c>
      <c r="M2175" s="1464">
        <v>7.4689999999999999E-3</v>
      </c>
      <c r="N2175" s="1465">
        <v>1.6198081086196185</v>
      </c>
      <c r="O2175" s="1465"/>
    </row>
    <row r="2176" spans="11:15">
      <c r="K2176" s="1462">
        <v>44233</v>
      </c>
      <c r="L2176" s="1463"/>
      <c r="M2176" s="1464">
        <v>0</v>
      </c>
      <c r="N2176" s="1465">
        <v>1.6198081086196185</v>
      </c>
      <c r="O2176" s="1465"/>
    </row>
    <row r="2177" spans="11:15">
      <c r="K2177" s="1462">
        <v>44234</v>
      </c>
      <c r="L2177" s="1463"/>
      <c r="M2177" s="1464">
        <v>0</v>
      </c>
      <c r="N2177" s="1465">
        <v>1.6198081086196185</v>
      </c>
      <c r="O2177" s="1465"/>
    </row>
    <row r="2178" spans="11:15">
      <c r="K2178" s="1462">
        <v>44235</v>
      </c>
      <c r="L2178" s="1463" t="s">
        <v>2127</v>
      </c>
      <c r="M2178" s="1464">
        <v>7.4689999999999999E-3</v>
      </c>
      <c r="N2178" s="1465">
        <v>1.6199290920872513</v>
      </c>
      <c r="O2178" s="1465"/>
    </row>
    <row r="2179" spans="11:15">
      <c r="K2179" s="1462">
        <v>44236</v>
      </c>
      <c r="L2179" s="1463" t="s">
        <v>2127</v>
      </c>
      <c r="M2179" s="1464">
        <v>7.4689999999999999E-3</v>
      </c>
      <c r="N2179" s="1465">
        <v>1.6200500845911392</v>
      </c>
      <c r="O2179" s="1465"/>
    </row>
    <row r="2180" spans="11:15">
      <c r="K2180" s="1462">
        <v>44237</v>
      </c>
      <c r="L2180" s="1463" t="s">
        <v>2127</v>
      </c>
      <c r="M2180" s="1464">
        <v>7.4689999999999999E-3</v>
      </c>
      <c r="N2180" s="1465">
        <v>1.6201710861319571</v>
      </c>
      <c r="O2180" s="1465"/>
    </row>
    <row r="2181" spans="11:15">
      <c r="K2181" s="1462">
        <v>44238</v>
      </c>
      <c r="L2181" s="1463" t="s">
        <v>2127</v>
      </c>
      <c r="M2181" s="1464">
        <v>7.4689999999999999E-3</v>
      </c>
      <c r="N2181" s="1465">
        <v>1.6202920967103802</v>
      </c>
      <c r="O2181" s="1465"/>
    </row>
    <row r="2182" spans="11:15">
      <c r="K2182" s="1462">
        <v>44239</v>
      </c>
      <c r="L2182" s="1463" t="s">
        <v>2127</v>
      </c>
      <c r="M2182" s="1464">
        <v>7.4689999999999999E-3</v>
      </c>
      <c r="N2182" s="1465">
        <v>1.6204131163270834</v>
      </c>
      <c r="O2182" s="1465"/>
    </row>
    <row r="2183" spans="11:15">
      <c r="K2183" s="1462">
        <v>44240</v>
      </c>
      <c r="L2183" s="1463"/>
      <c r="M2183" s="1464">
        <v>0</v>
      </c>
      <c r="N2183" s="1465">
        <v>1.6204131163270834</v>
      </c>
      <c r="O2183" s="1465"/>
    </row>
    <row r="2184" spans="11:15">
      <c r="K2184" s="1462">
        <v>44241</v>
      </c>
      <c r="L2184" s="1463"/>
      <c r="M2184" s="1464">
        <v>0</v>
      </c>
      <c r="N2184" s="1465">
        <v>1.6204131163270834</v>
      </c>
      <c r="O2184" s="1465"/>
    </row>
    <row r="2185" spans="11:15">
      <c r="K2185" s="1462">
        <v>44242</v>
      </c>
      <c r="L2185" s="1463"/>
      <c r="M2185" s="1464">
        <v>0</v>
      </c>
      <c r="N2185" s="1465">
        <v>1.6204131163270834</v>
      </c>
      <c r="O2185" s="1465"/>
    </row>
    <row r="2186" spans="11:15">
      <c r="K2186" s="1462">
        <v>44243</v>
      </c>
      <c r="L2186" s="1463"/>
      <c r="M2186" s="1464">
        <v>0</v>
      </c>
      <c r="N2186" s="1465">
        <v>1.6204131163270834</v>
      </c>
      <c r="O2186" s="1465"/>
    </row>
    <row r="2187" spans="11:15">
      <c r="K2187" s="1462">
        <v>44244</v>
      </c>
      <c r="L2187" s="1463" t="s">
        <v>2127</v>
      </c>
      <c r="M2187" s="1464">
        <v>7.4689999999999999E-3</v>
      </c>
      <c r="N2187" s="1465">
        <v>1.6205341449827417</v>
      </c>
      <c r="O2187" s="1465"/>
    </row>
    <row r="2188" spans="11:15">
      <c r="K2188" s="1462">
        <v>44245</v>
      </c>
      <c r="L2188" s="1463" t="s">
        <v>2127</v>
      </c>
      <c r="M2188" s="1464">
        <v>7.4689999999999999E-3</v>
      </c>
      <c r="N2188" s="1465">
        <v>1.6206551826780304</v>
      </c>
      <c r="O2188" s="1465"/>
    </row>
    <row r="2189" spans="11:15">
      <c r="K2189" s="1462">
        <v>44246</v>
      </c>
      <c r="L2189" s="1463" t="s">
        <v>2127</v>
      </c>
      <c r="M2189" s="1464">
        <v>7.4689999999999999E-3</v>
      </c>
      <c r="N2189" s="1465">
        <v>1.6207762294136245</v>
      </c>
      <c r="O2189" s="1465"/>
    </row>
    <row r="2190" spans="11:15">
      <c r="K2190" s="1462">
        <v>44247</v>
      </c>
      <c r="L2190" s="1463"/>
      <c r="M2190" s="1464">
        <v>0</v>
      </c>
      <c r="N2190" s="1465">
        <v>1.6207762294136245</v>
      </c>
      <c r="O2190" s="1465"/>
    </row>
    <row r="2191" spans="11:15">
      <c r="K2191" s="1462">
        <v>44248</v>
      </c>
      <c r="L2191" s="1463"/>
      <c r="M2191" s="1464">
        <v>0</v>
      </c>
      <c r="N2191" s="1465">
        <v>1.6207762294136245</v>
      </c>
      <c r="O2191" s="1465"/>
    </row>
    <row r="2192" spans="11:15">
      <c r="K2192" s="1462">
        <v>44249</v>
      </c>
      <c r="L2192" s="1463" t="s">
        <v>2127</v>
      </c>
      <c r="M2192" s="1464">
        <v>7.4689999999999999E-3</v>
      </c>
      <c r="N2192" s="1465">
        <v>1.6208972851901993</v>
      </c>
      <c r="O2192" s="1465"/>
    </row>
    <row r="2193" spans="11:15">
      <c r="K2193" s="1462">
        <v>44250</v>
      </c>
      <c r="L2193" s="1463" t="s">
        <v>2127</v>
      </c>
      <c r="M2193" s="1464">
        <v>7.4689999999999999E-3</v>
      </c>
      <c r="N2193" s="1465">
        <v>1.6210183500084301</v>
      </c>
      <c r="O2193" s="1465"/>
    </row>
    <row r="2194" spans="11:15">
      <c r="K2194" s="1462">
        <v>44251</v>
      </c>
      <c r="L2194" s="1463" t="s">
        <v>2127</v>
      </c>
      <c r="M2194" s="1464">
        <v>7.4689999999999999E-3</v>
      </c>
      <c r="N2194" s="1465">
        <v>1.621139423868992</v>
      </c>
      <c r="O2194" s="1465"/>
    </row>
    <row r="2195" spans="11:15">
      <c r="K2195" s="1462">
        <v>44252</v>
      </c>
      <c r="L2195" s="1463" t="s">
        <v>2127</v>
      </c>
      <c r="M2195" s="1464">
        <v>7.4689999999999999E-3</v>
      </c>
      <c r="N2195" s="1465">
        <v>1.6212605067725607</v>
      </c>
      <c r="O2195" s="1465"/>
    </row>
    <row r="2196" spans="11:15">
      <c r="K2196" s="1462">
        <v>44253</v>
      </c>
      <c r="L2196" s="1463" t="s">
        <v>2127</v>
      </c>
      <c r="M2196" s="1464">
        <v>7.4689999999999999E-3</v>
      </c>
      <c r="N2196" s="1465">
        <v>1.6213815987198115</v>
      </c>
      <c r="O2196" s="1465"/>
    </row>
    <row r="2197" spans="11:15">
      <c r="K2197" s="1462">
        <v>44254</v>
      </c>
      <c r="L2197" s="1463"/>
      <c r="M2197" s="1464">
        <v>0</v>
      </c>
      <c r="N2197" s="1465">
        <v>1.6213815987198115</v>
      </c>
      <c r="O2197" s="1465"/>
    </row>
    <row r="2198" spans="11:15">
      <c r="K2198" s="1462">
        <v>44255</v>
      </c>
      <c r="L2198" s="1463"/>
      <c r="M2198" s="1464">
        <v>0</v>
      </c>
      <c r="N2198" s="1465">
        <v>1.6213815987198115</v>
      </c>
      <c r="O2198" s="1465"/>
    </row>
    <row r="2199" spans="11:15">
      <c r="K2199" s="1462">
        <v>44256</v>
      </c>
      <c r="L2199" s="1463" t="s">
        <v>2127</v>
      </c>
      <c r="M2199" s="1464">
        <v>7.4689999999999999E-3</v>
      </c>
      <c r="N2199" s="1465">
        <v>1.6215026997114197</v>
      </c>
      <c r="O2199" s="1465"/>
    </row>
    <row r="2200" spans="11:15">
      <c r="K2200" s="1462">
        <v>44257</v>
      </c>
      <c r="L2200" s="1463" t="s">
        <v>2127</v>
      </c>
      <c r="M2200" s="1464">
        <v>7.4689999999999999E-3</v>
      </c>
      <c r="N2200" s="1465">
        <v>1.6216238097480611</v>
      </c>
      <c r="O2200" s="1465"/>
    </row>
    <row r="2201" spans="11:15">
      <c r="K2201" s="1462">
        <v>44258</v>
      </c>
      <c r="L2201" s="1463" t="s">
        <v>2127</v>
      </c>
      <c r="M2201" s="1464">
        <v>7.4689999999999999E-3</v>
      </c>
      <c r="N2201" s="1465">
        <v>1.6217449288304111</v>
      </c>
      <c r="O2201" s="1465"/>
    </row>
    <row r="2202" spans="11:15">
      <c r="K2202" s="1462">
        <v>44259</v>
      </c>
      <c r="L2202" s="1463" t="s">
        <v>2127</v>
      </c>
      <c r="M2202" s="1464">
        <v>7.4689999999999999E-3</v>
      </c>
      <c r="N2202" s="1465">
        <v>1.6218660569591454</v>
      </c>
      <c r="O2202" s="1465"/>
    </row>
    <row r="2203" spans="11:15">
      <c r="K2203" s="1462">
        <v>44260</v>
      </c>
      <c r="L2203" s="1463" t="s">
        <v>2127</v>
      </c>
      <c r="M2203" s="1464">
        <v>7.4689999999999999E-3</v>
      </c>
      <c r="N2203" s="1465">
        <v>1.6219871941349395</v>
      </c>
      <c r="O2203" s="1465"/>
    </row>
    <row r="2204" spans="11:15">
      <c r="K2204" s="1462">
        <v>44261</v>
      </c>
      <c r="L2204" s="1463"/>
      <c r="M2204" s="1464">
        <v>0</v>
      </c>
      <c r="N2204" s="1465">
        <v>1.6219871941349395</v>
      </c>
      <c r="O2204" s="1465"/>
    </row>
    <row r="2205" spans="11:15">
      <c r="K2205" s="1462">
        <v>44262</v>
      </c>
      <c r="L2205" s="1463"/>
      <c r="M2205" s="1464">
        <v>0</v>
      </c>
      <c r="N2205" s="1465">
        <v>1.6219871941349395</v>
      </c>
      <c r="O2205" s="1465"/>
    </row>
    <row r="2206" spans="11:15">
      <c r="K2206" s="1462">
        <v>44263</v>
      </c>
      <c r="L2206" s="1463" t="s">
        <v>2127</v>
      </c>
      <c r="M2206" s="1464">
        <v>7.4689999999999999E-3</v>
      </c>
      <c r="N2206" s="1465">
        <v>1.6221083403584693</v>
      </c>
      <c r="O2206" s="1465"/>
    </row>
    <row r="2207" spans="11:15">
      <c r="K2207" s="1462">
        <v>44264</v>
      </c>
      <c r="L2207" s="1463" t="s">
        <v>2127</v>
      </c>
      <c r="M2207" s="1464">
        <v>7.4689999999999999E-3</v>
      </c>
      <c r="N2207" s="1465">
        <v>1.6222294956304106</v>
      </c>
      <c r="O2207" s="1465"/>
    </row>
    <row r="2208" spans="11:15">
      <c r="K2208" s="1462">
        <v>44265</v>
      </c>
      <c r="L2208" s="1463" t="s">
        <v>2127</v>
      </c>
      <c r="M2208" s="1464">
        <v>7.4689999999999999E-3</v>
      </c>
      <c r="N2208" s="1465">
        <v>1.6223506599514392</v>
      </c>
      <c r="O2208" s="1465"/>
    </row>
    <row r="2209" spans="11:15">
      <c r="K2209" s="1462">
        <v>44266</v>
      </c>
      <c r="L2209" s="1463" t="s">
        <v>2127</v>
      </c>
      <c r="M2209" s="1464">
        <v>7.4689999999999999E-3</v>
      </c>
      <c r="N2209" s="1465">
        <v>1.622471833322231</v>
      </c>
      <c r="O2209" s="1465"/>
    </row>
    <row r="2210" spans="11:15">
      <c r="K2210" s="1462">
        <v>44267</v>
      </c>
      <c r="L2210" s="1463" t="s">
        <v>2127</v>
      </c>
      <c r="M2210" s="1464">
        <v>7.4689999999999999E-3</v>
      </c>
      <c r="N2210" s="1465">
        <v>1.6225930157434618</v>
      </c>
      <c r="O2210" s="1465"/>
    </row>
    <row r="2211" spans="11:15">
      <c r="K2211" s="1462">
        <v>44268</v>
      </c>
      <c r="L2211" s="1463"/>
      <c r="M2211" s="1464">
        <v>0</v>
      </c>
      <c r="N2211" s="1465">
        <v>1.6225930157434618</v>
      </c>
      <c r="O2211" s="1465"/>
    </row>
    <row r="2212" spans="11:15">
      <c r="K2212" s="1462">
        <v>44269</v>
      </c>
      <c r="L2212" s="1463"/>
      <c r="M2212" s="1464">
        <v>0</v>
      </c>
      <c r="N2212" s="1465">
        <v>1.6225930157434618</v>
      </c>
      <c r="O2212" s="1465"/>
    </row>
    <row r="2213" spans="11:15">
      <c r="K2213" s="1462">
        <v>44270</v>
      </c>
      <c r="L2213" s="1463" t="s">
        <v>2127</v>
      </c>
      <c r="M2213" s="1464">
        <v>7.4689999999999999E-3</v>
      </c>
      <c r="N2213" s="1465">
        <v>1.6227142072158076</v>
      </c>
      <c r="O2213" s="1465"/>
    </row>
    <row r="2214" spans="11:15">
      <c r="K2214" s="1462">
        <v>44271</v>
      </c>
      <c r="L2214" s="1463" t="s">
        <v>2127</v>
      </c>
      <c r="M2214" s="1464">
        <v>7.4689999999999999E-3</v>
      </c>
      <c r="N2214" s="1465">
        <v>1.6228354077399445</v>
      </c>
      <c r="O2214" s="1465"/>
    </row>
    <row r="2215" spans="11:15">
      <c r="K2215" s="1462">
        <v>44272</v>
      </c>
      <c r="L2215" s="1463" t="s">
        <v>2127</v>
      </c>
      <c r="M2215" s="1464">
        <v>7.4689999999999999E-3</v>
      </c>
      <c r="N2215" s="1465">
        <v>1.6229566173165484</v>
      </c>
      <c r="O2215" s="1465"/>
    </row>
    <row r="2216" spans="11:15">
      <c r="K2216" s="1462">
        <v>44273</v>
      </c>
      <c r="L2216" s="1463" t="s">
        <v>2127</v>
      </c>
      <c r="M2216" s="1464">
        <v>1.0378999999999999E-2</v>
      </c>
      <c r="N2216" s="1465">
        <v>1.6231250639838597</v>
      </c>
      <c r="O2216" s="1465"/>
    </row>
    <row r="2217" spans="11:15">
      <c r="K2217" s="1462">
        <v>44274</v>
      </c>
      <c r="L2217" s="1463" t="s">
        <v>2127</v>
      </c>
      <c r="M2217" s="1464">
        <v>1.0378999999999999E-2</v>
      </c>
      <c r="N2217" s="1465">
        <v>1.6232935281342507</v>
      </c>
      <c r="O2217" s="1465"/>
    </row>
    <row r="2218" spans="11:15">
      <c r="K2218" s="1462">
        <v>44275</v>
      </c>
      <c r="L2218" s="1463"/>
      <c r="M2218" s="1464">
        <v>0</v>
      </c>
      <c r="N2218" s="1465">
        <v>1.6232935281342507</v>
      </c>
      <c r="O2218" s="1465"/>
    </row>
    <row r="2219" spans="11:15">
      <c r="K2219" s="1462">
        <v>44276</v>
      </c>
      <c r="L2219" s="1463"/>
      <c r="M2219" s="1464">
        <v>0</v>
      </c>
      <c r="N2219" s="1465">
        <v>1.6232935281342507</v>
      </c>
      <c r="O2219" s="1465"/>
    </row>
    <row r="2220" spans="11:15">
      <c r="K2220" s="1462">
        <v>44277</v>
      </c>
      <c r="L2220" s="1463" t="s">
        <v>2127</v>
      </c>
      <c r="M2220" s="1464">
        <v>1.0378999999999999E-2</v>
      </c>
      <c r="N2220" s="1465">
        <v>1.6234620097695358</v>
      </c>
      <c r="O2220" s="1465"/>
    </row>
    <row r="2221" spans="11:15">
      <c r="K2221" s="1462">
        <v>44278</v>
      </c>
      <c r="L2221" s="1463" t="s">
        <v>2127</v>
      </c>
      <c r="M2221" s="1464">
        <v>1.0378999999999999E-2</v>
      </c>
      <c r="N2221" s="1465">
        <v>1.6236305088915299</v>
      </c>
      <c r="O2221" s="1465"/>
    </row>
    <row r="2222" spans="11:15">
      <c r="K2222" s="1462">
        <v>44279</v>
      </c>
      <c r="L2222" s="1463" t="s">
        <v>2127</v>
      </c>
      <c r="M2222" s="1464">
        <v>1.0378999999999999E-2</v>
      </c>
      <c r="N2222" s="1465">
        <v>1.6237990255020478</v>
      </c>
      <c r="O2222" s="1465"/>
    </row>
    <row r="2223" spans="11:15">
      <c r="K2223" s="1462">
        <v>44280</v>
      </c>
      <c r="L2223" s="1463" t="s">
        <v>2127</v>
      </c>
      <c r="M2223" s="1464">
        <v>1.0378999999999999E-2</v>
      </c>
      <c r="N2223" s="1465">
        <v>1.6239675596029048</v>
      </c>
      <c r="O2223" s="1465"/>
    </row>
    <row r="2224" spans="11:15">
      <c r="K2224" s="1462">
        <v>44281</v>
      </c>
      <c r="L2224" s="1463" t="s">
        <v>2127</v>
      </c>
      <c r="M2224" s="1464">
        <v>1.0378999999999999E-2</v>
      </c>
      <c r="N2224" s="1465">
        <v>1.6241361111959161</v>
      </c>
      <c r="O2224" s="1465"/>
    </row>
    <row r="2225" spans="11:15">
      <c r="K2225" s="1462">
        <v>44282</v>
      </c>
      <c r="L2225" s="1463"/>
      <c r="M2225" s="1464">
        <v>0</v>
      </c>
      <c r="N2225" s="1465">
        <v>1.6241361111959161</v>
      </c>
      <c r="O2225" s="1465"/>
    </row>
    <row r="2226" spans="11:15">
      <c r="K2226" s="1462">
        <v>44283</v>
      </c>
      <c r="L2226" s="1463"/>
      <c r="M2226" s="1464">
        <v>0</v>
      </c>
      <c r="N2226" s="1465">
        <v>1.6241361111959161</v>
      </c>
      <c r="O2226" s="1465"/>
    </row>
    <row r="2227" spans="11:15">
      <c r="K2227" s="1462">
        <v>44284</v>
      </c>
      <c r="L2227" s="1463" t="s">
        <v>2127</v>
      </c>
      <c r="M2227" s="1464">
        <v>1.0378999999999999E-2</v>
      </c>
      <c r="N2227" s="1465">
        <v>1.6243046802828971</v>
      </c>
      <c r="O2227" s="1465"/>
    </row>
    <row r="2228" spans="11:15">
      <c r="K2228" s="1462">
        <v>44285</v>
      </c>
      <c r="L2228" s="1463" t="s">
        <v>2127</v>
      </c>
      <c r="M2228" s="1464">
        <v>1.0378999999999999E-2</v>
      </c>
      <c r="N2228" s="1465">
        <v>1.6244732668656638</v>
      </c>
      <c r="O2228" s="1465"/>
    </row>
    <row r="2229" spans="11:15">
      <c r="K2229" s="1462">
        <v>44286</v>
      </c>
      <c r="L2229" s="1463" t="s">
        <v>2127</v>
      </c>
      <c r="M2229" s="1464">
        <v>1.0378999999999999E-2</v>
      </c>
      <c r="N2229" s="1465">
        <v>1.624641870946032</v>
      </c>
      <c r="O2229" s="1465"/>
    </row>
    <row r="2230" spans="11:15">
      <c r="K2230" s="1462">
        <v>44287</v>
      </c>
      <c r="L2230" s="1463" t="s">
        <v>2127</v>
      </c>
      <c r="M2230" s="1464">
        <v>1.0378999999999999E-2</v>
      </c>
      <c r="N2230" s="1465">
        <v>1.6248104925258176</v>
      </c>
      <c r="O2230" s="1465"/>
    </row>
    <row r="2231" spans="11:15">
      <c r="K2231" s="1462">
        <v>44288</v>
      </c>
      <c r="L2231" s="1463"/>
      <c r="M2231" s="1464">
        <v>0</v>
      </c>
      <c r="N2231" s="1465">
        <v>1.6248104925258176</v>
      </c>
      <c r="O2231" s="1465"/>
    </row>
    <row r="2232" spans="11:15">
      <c r="K2232" s="1462">
        <v>44289</v>
      </c>
      <c r="L2232" s="1463"/>
      <c r="M2232" s="1464">
        <v>0</v>
      </c>
      <c r="N2232" s="1465">
        <v>1.6248104925258176</v>
      </c>
      <c r="O2232" s="1465"/>
    </row>
    <row r="2233" spans="11:15">
      <c r="K2233" s="1462">
        <v>44290</v>
      </c>
      <c r="L2233" s="1463"/>
      <c r="M2233" s="1464">
        <v>0</v>
      </c>
      <c r="N2233" s="1465">
        <v>1.6248104925258176</v>
      </c>
      <c r="O2233" s="1465"/>
    </row>
    <row r="2234" spans="11:15">
      <c r="K2234" s="1462">
        <v>44291</v>
      </c>
      <c r="L2234" s="1463" t="s">
        <v>2127</v>
      </c>
      <c r="M2234" s="1464">
        <v>1.0378999999999999E-2</v>
      </c>
      <c r="N2234" s="1465">
        <v>1.6249791316068369</v>
      </c>
      <c r="O2234" s="1465"/>
    </row>
    <row r="2235" spans="11:15">
      <c r="K2235" s="1462">
        <v>44292</v>
      </c>
      <c r="L2235" s="1463" t="s">
        <v>2127</v>
      </c>
      <c r="M2235" s="1464">
        <v>1.0378999999999999E-2</v>
      </c>
      <c r="N2235" s="1465">
        <v>1.6251477881909064</v>
      </c>
      <c r="O2235" s="1465"/>
    </row>
    <row r="2236" spans="11:15">
      <c r="K2236" s="1462">
        <v>44293</v>
      </c>
      <c r="L2236" s="1463" t="s">
        <v>2127</v>
      </c>
      <c r="M2236" s="1464">
        <v>1.0378999999999999E-2</v>
      </c>
      <c r="N2236" s="1465">
        <v>1.6253164622798428</v>
      </c>
      <c r="O2236" s="1465"/>
    </row>
    <row r="2237" spans="11:15">
      <c r="K2237" s="1462">
        <v>44294</v>
      </c>
      <c r="L2237" s="1463" t="s">
        <v>2127</v>
      </c>
      <c r="M2237" s="1464">
        <v>1.0378999999999999E-2</v>
      </c>
      <c r="N2237" s="1465">
        <v>1.6254851538754629</v>
      </c>
      <c r="O2237" s="1465"/>
    </row>
    <row r="2238" spans="11:15">
      <c r="K2238" s="1462">
        <v>44295</v>
      </c>
      <c r="L2238" s="1463" t="s">
        <v>2127</v>
      </c>
      <c r="M2238" s="1464">
        <v>1.0378999999999999E-2</v>
      </c>
      <c r="N2238" s="1465">
        <v>1.6256538629795838</v>
      </c>
      <c r="O2238" s="1465"/>
    </row>
    <row r="2239" spans="11:15">
      <c r="K2239" s="1462">
        <v>44296</v>
      </c>
      <c r="L2239" s="1463"/>
      <c r="M2239" s="1464">
        <v>0</v>
      </c>
      <c r="N2239" s="1465">
        <v>1.6256538629795838</v>
      </c>
      <c r="O2239" s="1465"/>
    </row>
    <row r="2240" spans="11:15">
      <c r="K2240" s="1462">
        <v>44297</v>
      </c>
      <c r="L2240" s="1463"/>
      <c r="M2240" s="1464">
        <v>0</v>
      </c>
      <c r="N2240" s="1465">
        <v>1.6256538629795838</v>
      </c>
      <c r="O2240" s="1465"/>
    </row>
    <row r="2241" spans="11:15">
      <c r="K2241" s="1462">
        <v>44298</v>
      </c>
      <c r="L2241" s="1463" t="s">
        <v>2127</v>
      </c>
      <c r="M2241" s="1464">
        <v>1.0378999999999999E-2</v>
      </c>
      <c r="N2241" s="1465">
        <v>1.6258225895940226</v>
      </c>
      <c r="O2241" s="1465"/>
    </row>
    <row r="2242" spans="11:15">
      <c r="K2242" s="1462">
        <v>44299</v>
      </c>
      <c r="L2242" s="1463" t="s">
        <v>2127</v>
      </c>
      <c r="M2242" s="1464">
        <v>1.0378999999999999E-2</v>
      </c>
      <c r="N2242" s="1465">
        <v>1.6259913337205967</v>
      </c>
      <c r="O2242" s="1465"/>
    </row>
    <row r="2243" spans="11:15">
      <c r="K2243" s="1462">
        <v>44300</v>
      </c>
      <c r="L2243" s="1463" t="s">
        <v>2127</v>
      </c>
      <c r="M2243" s="1464">
        <v>1.0378999999999999E-2</v>
      </c>
      <c r="N2243" s="1465">
        <v>1.6261600953611237</v>
      </c>
      <c r="O2243" s="1465"/>
    </row>
    <row r="2244" spans="11:15">
      <c r="K2244" s="1462">
        <v>44301</v>
      </c>
      <c r="L2244" s="1463" t="s">
        <v>2127</v>
      </c>
      <c r="M2244" s="1464">
        <v>1.0378999999999999E-2</v>
      </c>
      <c r="N2244" s="1465">
        <v>1.6263288745174214</v>
      </c>
      <c r="O2244" s="1465"/>
    </row>
    <row r="2245" spans="11:15">
      <c r="K2245" s="1462">
        <v>44302</v>
      </c>
      <c r="L2245" s="1463" t="s">
        <v>2127</v>
      </c>
      <c r="M2245" s="1464">
        <v>1.0378999999999999E-2</v>
      </c>
      <c r="N2245" s="1465">
        <v>1.6264976711913075</v>
      </c>
      <c r="O2245" s="1465"/>
    </row>
    <row r="2246" spans="11:15">
      <c r="K2246" s="1462">
        <v>44303</v>
      </c>
      <c r="L2246" s="1463"/>
      <c r="M2246" s="1464">
        <v>0</v>
      </c>
      <c r="N2246" s="1465">
        <v>1.6264976711913075</v>
      </c>
      <c r="O2246" s="1465"/>
    </row>
    <row r="2247" spans="11:15">
      <c r="K2247" s="1462">
        <v>44304</v>
      </c>
      <c r="L2247" s="1463"/>
      <c r="M2247" s="1464">
        <v>0</v>
      </c>
      <c r="N2247" s="1465">
        <v>1.6264976711913075</v>
      </c>
      <c r="O2247" s="1465"/>
    </row>
    <row r="2248" spans="11:15">
      <c r="K2248" s="1462">
        <v>44305</v>
      </c>
      <c r="L2248" s="1463" t="s">
        <v>2127</v>
      </c>
      <c r="M2248" s="1464">
        <v>1.0378999999999999E-2</v>
      </c>
      <c r="N2248" s="1465">
        <v>1.6266664853846005</v>
      </c>
      <c r="O2248" s="1465"/>
    </row>
    <row r="2249" spans="11:15">
      <c r="K2249" s="1462">
        <v>44306</v>
      </c>
      <c r="L2249" s="1463" t="s">
        <v>2127</v>
      </c>
      <c r="M2249" s="1464">
        <v>1.0378999999999999E-2</v>
      </c>
      <c r="N2249" s="1465">
        <v>1.6268353170991185</v>
      </c>
      <c r="O2249" s="1465"/>
    </row>
    <row r="2250" spans="11:15">
      <c r="K2250" s="1462">
        <v>44307</v>
      </c>
      <c r="L2250" s="1463"/>
      <c r="M2250" s="1464">
        <v>0</v>
      </c>
      <c r="N2250" s="1465">
        <v>1.6268353170991185</v>
      </c>
      <c r="O2250" s="1465"/>
    </row>
    <row r="2251" spans="11:15">
      <c r="K2251" s="1462">
        <v>44308</v>
      </c>
      <c r="L2251" s="1463" t="s">
        <v>2127</v>
      </c>
      <c r="M2251" s="1464">
        <v>1.0378999999999999E-2</v>
      </c>
      <c r="N2251" s="1465">
        <v>1.6270041663366803</v>
      </c>
      <c r="O2251" s="1465"/>
    </row>
    <row r="2252" spans="11:15">
      <c r="K2252" s="1462">
        <v>44309</v>
      </c>
      <c r="L2252" s="1463" t="s">
        <v>2127</v>
      </c>
      <c r="M2252" s="1464">
        <v>1.0378999999999999E-2</v>
      </c>
      <c r="N2252" s="1465">
        <v>1.6271730330991045</v>
      </c>
      <c r="O2252" s="1465"/>
    </row>
    <row r="2253" spans="11:15">
      <c r="K2253" s="1462">
        <v>44310</v>
      </c>
      <c r="L2253" s="1463"/>
      <c r="M2253" s="1464">
        <v>0</v>
      </c>
      <c r="N2253" s="1465">
        <v>1.6271730330991045</v>
      </c>
      <c r="O2253" s="1465"/>
    </row>
    <row r="2254" spans="11:15">
      <c r="K2254" s="1462">
        <v>44311</v>
      </c>
      <c r="L2254" s="1463"/>
      <c r="M2254" s="1464">
        <v>0</v>
      </c>
      <c r="N2254" s="1465">
        <v>1.6271730330991045</v>
      </c>
      <c r="O2254" s="1465"/>
    </row>
    <row r="2255" spans="11:15">
      <c r="K2255" s="1462">
        <v>44312</v>
      </c>
      <c r="L2255" s="1463" t="s">
        <v>2127</v>
      </c>
      <c r="M2255" s="1464">
        <v>1.0378999999999999E-2</v>
      </c>
      <c r="N2255" s="1465">
        <v>1.62734191738821</v>
      </c>
      <c r="O2255" s="1465"/>
    </row>
    <row r="2256" spans="11:15">
      <c r="K2256" s="1462">
        <v>44313</v>
      </c>
      <c r="L2256" s="1463" t="s">
        <v>2127</v>
      </c>
      <c r="M2256" s="1464">
        <v>1.0378999999999999E-2</v>
      </c>
      <c r="N2256" s="1465">
        <v>1.6275108192058159</v>
      </c>
      <c r="O2256" s="1465"/>
    </row>
    <row r="2257" spans="11:15">
      <c r="K2257" s="1462">
        <v>44314</v>
      </c>
      <c r="L2257" s="1463" t="s">
        <v>2127</v>
      </c>
      <c r="M2257" s="1464">
        <v>1.0378999999999999E-2</v>
      </c>
      <c r="N2257" s="1465">
        <v>1.6276797385537414</v>
      </c>
      <c r="O2257" s="1465"/>
    </row>
    <row r="2258" spans="11:15">
      <c r="K2258" s="1462">
        <v>44315</v>
      </c>
      <c r="L2258" s="1463" t="s">
        <v>2127</v>
      </c>
      <c r="M2258" s="1464">
        <v>1.0378999999999999E-2</v>
      </c>
      <c r="N2258" s="1465">
        <v>1.627848675433806</v>
      </c>
      <c r="O2258" s="1465"/>
    </row>
    <row r="2259" spans="11:15">
      <c r="K2259" s="1462">
        <v>44316</v>
      </c>
      <c r="L2259" s="1463" t="s">
        <v>2127</v>
      </c>
      <c r="M2259" s="1464">
        <v>1.0378999999999999E-2</v>
      </c>
      <c r="N2259" s="1465">
        <v>1.6280176298478293</v>
      </c>
      <c r="O2259" s="1465"/>
    </row>
    <row r="2260" spans="11:15">
      <c r="K2260" s="1462">
        <v>44317</v>
      </c>
      <c r="L2260" s="1463"/>
      <c r="M2260" s="1464">
        <v>0</v>
      </c>
      <c r="N2260" s="1465">
        <v>1.6280176298478293</v>
      </c>
      <c r="O2260" s="1465"/>
    </row>
    <row r="2261" spans="11:15">
      <c r="K2261" s="1462">
        <v>44318</v>
      </c>
      <c r="L2261" s="1463"/>
      <c r="M2261" s="1464">
        <v>0</v>
      </c>
      <c r="N2261" s="1465">
        <v>1.6280176298478293</v>
      </c>
      <c r="O2261" s="1465"/>
    </row>
    <row r="2262" spans="11:15">
      <c r="K2262" s="1462">
        <v>44319</v>
      </c>
      <c r="L2262" s="1463" t="s">
        <v>2127</v>
      </c>
      <c r="M2262" s="1464">
        <v>1.0378999999999999E-2</v>
      </c>
      <c r="N2262" s="1465">
        <v>1.6281866017976312</v>
      </c>
      <c r="O2262" s="1465"/>
    </row>
    <row r="2263" spans="11:15">
      <c r="K2263" s="1462">
        <v>44320</v>
      </c>
      <c r="L2263" s="1463" t="s">
        <v>2127</v>
      </c>
      <c r="M2263" s="1464">
        <v>1.0378999999999999E-2</v>
      </c>
      <c r="N2263" s="1465">
        <v>1.6283555912850318</v>
      </c>
      <c r="O2263" s="1465"/>
    </row>
    <row r="2264" spans="11:15">
      <c r="K2264" s="1462">
        <v>44321</v>
      </c>
      <c r="L2264" s="1463" t="s">
        <v>2127</v>
      </c>
      <c r="M2264" s="1464">
        <v>1.0378999999999999E-2</v>
      </c>
      <c r="N2264" s="1465">
        <v>1.6285245983118515</v>
      </c>
      <c r="O2264" s="1465"/>
    </row>
    <row r="2265" spans="11:15">
      <c r="K2265" s="1462">
        <v>44322</v>
      </c>
      <c r="L2265" s="1463" t="s">
        <v>2127</v>
      </c>
      <c r="M2265" s="1464">
        <v>1.3269E-2</v>
      </c>
      <c r="N2265" s="1465">
        <v>1.6287406872408015</v>
      </c>
      <c r="O2265" s="1465"/>
    </row>
    <row r="2266" spans="11:15">
      <c r="K2266" s="1462">
        <v>44323</v>
      </c>
      <c r="L2266" s="1463" t="s">
        <v>2127</v>
      </c>
      <c r="M2266" s="1464">
        <v>1.3269E-2</v>
      </c>
      <c r="N2266" s="1465">
        <v>1.6289568048425915</v>
      </c>
      <c r="O2266" s="1465"/>
    </row>
    <row r="2267" spans="11:15">
      <c r="K2267" s="1462">
        <v>44324</v>
      </c>
      <c r="L2267" s="1463"/>
      <c r="M2267" s="1464">
        <v>0</v>
      </c>
      <c r="N2267" s="1465">
        <v>1.6289568048425915</v>
      </c>
      <c r="O2267" s="1465"/>
    </row>
    <row r="2268" spans="11:15">
      <c r="K2268" s="1462">
        <v>44325</v>
      </c>
      <c r="L2268" s="1463"/>
      <c r="M2268" s="1464">
        <v>0</v>
      </c>
      <c r="N2268" s="1465">
        <v>1.6289568048425915</v>
      </c>
      <c r="O2268" s="1465"/>
    </row>
    <row r="2269" spans="11:15">
      <c r="K2269" s="1462">
        <v>44326</v>
      </c>
      <c r="L2269" s="1463" t="s">
        <v>2127</v>
      </c>
      <c r="M2269" s="1464">
        <v>1.3269E-2</v>
      </c>
      <c r="N2269" s="1465">
        <v>1.6291729511210262</v>
      </c>
      <c r="O2269" s="1465"/>
    </row>
    <row r="2270" spans="11:15">
      <c r="K2270" s="1462">
        <v>44327</v>
      </c>
      <c r="L2270" s="1463" t="s">
        <v>2127</v>
      </c>
      <c r="M2270" s="1464">
        <v>1.3269E-2</v>
      </c>
      <c r="N2270" s="1465">
        <v>1.6293891260799105</v>
      </c>
      <c r="O2270" s="1465"/>
    </row>
    <row r="2271" spans="11:15">
      <c r="K2271" s="1462">
        <v>44328</v>
      </c>
      <c r="L2271" s="1463" t="s">
        <v>2127</v>
      </c>
      <c r="M2271" s="1464">
        <v>1.3269E-2</v>
      </c>
      <c r="N2271" s="1465">
        <v>1.6296053297230502</v>
      </c>
      <c r="O2271" s="1465"/>
    </row>
    <row r="2272" spans="11:15">
      <c r="K2272" s="1462">
        <v>44329</v>
      </c>
      <c r="L2272" s="1463" t="s">
        <v>2127</v>
      </c>
      <c r="M2272" s="1464">
        <v>1.3269E-2</v>
      </c>
      <c r="N2272" s="1465">
        <v>1.6298215620542511</v>
      </c>
      <c r="O2272" s="1465"/>
    </row>
    <row r="2273" spans="11:15">
      <c r="K2273" s="1462">
        <v>44330</v>
      </c>
      <c r="L2273" s="1463" t="s">
        <v>2127</v>
      </c>
      <c r="M2273" s="1464">
        <v>1.3269E-2</v>
      </c>
      <c r="N2273" s="1465">
        <v>1.6300378230773203</v>
      </c>
      <c r="O2273" s="1465"/>
    </row>
    <row r="2274" spans="11:15">
      <c r="K2274" s="1462">
        <v>44331</v>
      </c>
      <c r="L2274" s="1463"/>
      <c r="M2274" s="1464">
        <v>0</v>
      </c>
      <c r="N2274" s="1465">
        <v>1.6300378230773203</v>
      </c>
      <c r="O2274" s="1465"/>
    </row>
    <row r="2275" spans="11:15">
      <c r="K2275" s="1462">
        <v>44332</v>
      </c>
      <c r="L2275" s="1463"/>
      <c r="M2275" s="1464">
        <v>0</v>
      </c>
      <c r="N2275" s="1465">
        <v>1.6300378230773203</v>
      </c>
      <c r="O2275" s="1465"/>
    </row>
    <row r="2276" spans="11:15">
      <c r="K2276" s="1462">
        <v>44333</v>
      </c>
      <c r="L2276" s="1463" t="s">
        <v>2127</v>
      </c>
      <c r="M2276" s="1464">
        <v>1.3269E-2</v>
      </c>
      <c r="N2276" s="1465">
        <v>1.6302541127960644</v>
      </c>
      <c r="O2276" s="1465"/>
    </row>
    <row r="2277" spans="11:15">
      <c r="K2277" s="1462">
        <v>44334</v>
      </c>
      <c r="L2277" s="1463" t="s">
        <v>2127</v>
      </c>
      <c r="M2277" s="1464">
        <v>1.3269E-2</v>
      </c>
      <c r="N2277" s="1465">
        <v>1.6304704312142912</v>
      </c>
      <c r="O2277" s="1465"/>
    </row>
    <row r="2278" spans="11:15">
      <c r="K2278" s="1462">
        <v>44335</v>
      </c>
      <c r="L2278" s="1463" t="s">
        <v>2127</v>
      </c>
      <c r="M2278" s="1464">
        <v>1.3269E-2</v>
      </c>
      <c r="N2278" s="1465">
        <v>1.6306867783358092</v>
      </c>
      <c r="O2278" s="1465"/>
    </row>
    <row r="2279" spans="11:15">
      <c r="K2279" s="1462">
        <v>44336</v>
      </c>
      <c r="L2279" s="1463" t="s">
        <v>2127</v>
      </c>
      <c r="M2279" s="1464">
        <v>1.3269E-2</v>
      </c>
      <c r="N2279" s="1465">
        <v>1.6309031541644268</v>
      </c>
      <c r="O2279" s="1465"/>
    </row>
    <row r="2280" spans="11:15">
      <c r="K2280" s="1462">
        <v>44337</v>
      </c>
      <c r="L2280" s="1463" t="s">
        <v>2127</v>
      </c>
      <c r="M2280" s="1464">
        <v>1.3269E-2</v>
      </c>
      <c r="N2280" s="1465">
        <v>1.6311195587039529</v>
      </c>
      <c r="O2280" s="1465"/>
    </row>
    <row r="2281" spans="11:15">
      <c r="K2281" s="1462">
        <v>44338</v>
      </c>
      <c r="L2281" s="1463"/>
      <c r="M2281" s="1464">
        <v>0</v>
      </c>
      <c r="N2281" s="1465">
        <v>1.6311195587039529</v>
      </c>
      <c r="O2281" s="1465"/>
    </row>
    <row r="2282" spans="11:15">
      <c r="K2282" s="1462">
        <v>44339</v>
      </c>
      <c r="L2282" s="1463"/>
      <c r="M2282" s="1464">
        <v>0</v>
      </c>
      <c r="N2282" s="1465">
        <v>1.6311195587039529</v>
      </c>
      <c r="O2282" s="1465"/>
    </row>
    <row r="2283" spans="11:15">
      <c r="K2283" s="1462">
        <v>44340</v>
      </c>
      <c r="L2283" s="1463" t="s">
        <v>2127</v>
      </c>
      <c r="M2283" s="1464">
        <v>1.3269E-2</v>
      </c>
      <c r="N2283" s="1465">
        <v>1.6313359919581973</v>
      </c>
      <c r="O2283" s="1465"/>
    </row>
    <row r="2284" spans="11:15">
      <c r="K2284" s="1462">
        <v>44341</v>
      </c>
      <c r="L2284" s="1463" t="s">
        <v>2127</v>
      </c>
      <c r="M2284" s="1464">
        <v>1.3269E-2</v>
      </c>
      <c r="N2284" s="1465">
        <v>1.6315524539309703</v>
      </c>
      <c r="O2284" s="1465"/>
    </row>
    <row r="2285" spans="11:15">
      <c r="K2285" s="1462">
        <v>44342</v>
      </c>
      <c r="L2285" s="1463" t="s">
        <v>2127</v>
      </c>
      <c r="M2285" s="1464">
        <v>1.3269E-2</v>
      </c>
      <c r="N2285" s="1465">
        <v>1.6317689446260824</v>
      </c>
      <c r="O2285" s="1465"/>
    </row>
    <row r="2286" spans="11:15">
      <c r="K2286" s="1462">
        <v>44343</v>
      </c>
      <c r="L2286" s="1463" t="s">
        <v>2127</v>
      </c>
      <c r="M2286" s="1464">
        <v>1.3269E-2</v>
      </c>
      <c r="N2286" s="1465">
        <v>1.6319854640473448</v>
      </c>
      <c r="O2286" s="1465"/>
    </row>
    <row r="2287" spans="11:15">
      <c r="K2287" s="1462">
        <v>44344</v>
      </c>
      <c r="L2287" s="1463" t="s">
        <v>2127</v>
      </c>
      <c r="M2287" s="1464">
        <v>1.3269E-2</v>
      </c>
      <c r="N2287" s="1465">
        <v>1.6322020121985694</v>
      </c>
      <c r="O2287" s="1465"/>
    </row>
    <row r="2288" spans="11:15">
      <c r="K2288" s="1462">
        <v>44345</v>
      </c>
      <c r="L2288" s="1463"/>
      <c r="M2288" s="1464">
        <v>0</v>
      </c>
      <c r="N2288" s="1465">
        <v>1.6322020121985694</v>
      </c>
      <c r="O2288" s="1465"/>
    </row>
    <row r="2289" spans="11:15">
      <c r="K2289" s="1462">
        <v>44346</v>
      </c>
      <c r="L2289" s="1463"/>
      <c r="M2289" s="1464">
        <v>0</v>
      </c>
      <c r="N2289" s="1465">
        <v>1.6322020121985694</v>
      </c>
      <c r="O2289" s="1465"/>
    </row>
    <row r="2290" spans="11:15">
      <c r="K2290" s="1462">
        <v>44347</v>
      </c>
      <c r="L2290" s="1463" t="s">
        <v>2127</v>
      </c>
      <c r="M2290" s="1464">
        <v>1.3269E-2</v>
      </c>
      <c r="N2290" s="1465">
        <v>1.6324185890835681</v>
      </c>
      <c r="O2290" s="1465"/>
    </row>
    <row r="2291" spans="11:15">
      <c r="K2291" s="1462">
        <v>44348</v>
      </c>
      <c r="L2291" s="1463" t="s">
        <v>2127</v>
      </c>
      <c r="M2291" s="1464">
        <v>1.3269E-2</v>
      </c>
      <c r="N2291" s="1465">
        <v>1.6326351947061537</v>
      </c>
      <c r="O2291" s="1465"/>
    </row>
    <row r="2292" spans="11:15">
      <c r="K2292" s="1462">
        <v>44349</v>
      </c>
      <c r="L2292" s="1463" t="s">
        <v>2127</v>
      </c>
      <c r="M2292" s="1464">
        <v>1.3269E-2</v>
      </c>
      <c r="N2292" s="1465">
        <v>1.6328518290701393</v>
      </c>
      <c r="O2292" s="1465"/>
    </row>
    <row r="2293" spans="11:15">
      <c r="K2293" s="1462">
        <v>44350</v>
      </c>
      <c r="L2293" s="1463"/>
      <c r="M2293" s="1464">
        <v>0</v>
      </c>
      <c r="N2293" s="1465">
        <v>1.6328518290701393</v>
      </c>
      <c r="O2293" s="1465"/>
    </row>
    <row r="2294" spans="11:15">
      <c r="K2294" s="1462">
        <v>44351</v>
      </c>
      <c r="L2294" s="1463" t="s">
        <v>2127</v>
      </c>
      <c r="M2294" s="1464">
        <v>1.3269E-2</v>
      </c>
      <c r="N2294" s="1465">
        <v>1.6330684921793386</v>
      </c>
      <c r="O2294" s="1465"/>
    </row>
    <row r="2295" spans="11:15">
      <c r="K2295" s="1462">
        <v>44352</v>
      </c>
      <c r="L2295" s="1463"/>
      <c r="M2295" s="1464">
        <v>0</v>
      </c>
      <c r="N2295" s="1465">
        <v>1.6330684921793386</v>
      </c>
      <c r="O2295" s="1465"/>
    </row>
    <row r="2296" spans="11:15">
      <c r="K2296" s="1462">
        <v>44353</v>
      </c>
      <c r="L2296" s="1463"/>
      <c r="M2296" s="1464">
        <v>0</v>
      </c>
      <c r="N2296" s="1465">
        <v>1.6330684921793386</v>
      </c>
      <c r="O2296" s="1465"/>
    </row>
    <row r="2297" spans="11:15">
      <c r="K2297" s="1462">
        <v>44354</v>
      </c>
      <c r="L2297" s="1463" t="s">
        <v>2127</v>
      </c>
      <c r="M2297" s="1464">
        <v>1.3269E-2</v>
      </c>
      <c r="N2297" s="1465">
        <v>1.633285184037566</v>
      </c>
      <c r="O2297" s="1465"/>
    </row>
    <row r="2298" spans="11:15">
      <c r="K2298" s="1462">
        <v>44355</v>
      </c>
      <c r="L2298" s="1463" t="s">
        <v>2127</v>
      </c>
      <c r="M2298" s="1464">
        <v>1.3269E-2</v>
      </c>
      <c r="N2298" s="1465">
        <v>1.6335019046486359</v>
      </c>
      <c r="O2298" s="1465"/>
    </row>
    <row r="2299" spans="11:15">
      <c r="K2299" s="1462">
        <v>44356</v>
      </c>
      <c r="L2299" s="1463" t="s">
        <v>2127</v>
      </c>
      <c r="M2299" s="1464">
        <v>1.3269E-2</v>
      </c>
      <c r="N2299" s="1465">
        <v>1.6337186540163637</v>
      </c>
      <c r="O2299" s="1465"/>
    </row>
    <row r="2300" spans="11:15">
      <c r="K2300" s="1462">
        <v>44357</v>
      </c>
      <c r="L2300" s="1463" t="s">
        <v>2127</v>
      </c>
      <c r="M2300" s="1464">
        <v>1.3269E-2</v>
      </c>
      <c r="N2300" s="1465">
        <v>1.6339354321445652</v>
      </c>
      <c r="O2300" s="1465"/>
    </row>
    <row r="2301" spans="11:15">
      <c r="K2301" s="1462">
        <v>44358</v>
      </c>
      <c r="L2301" s="1463" t="s">
        <v>2127</v>
      </c>
      <c r="M2301" s="1464">
        <v>1.3269E-2</v>
      </c>
      <c r="N2301" s="1465">
        <v>1.6341522390370564</v>
      </c>
      <c r="O2301" s="1465"/>
    </row>
    <row r="2302" spans="11:15">
      <c r="K2302" s="1462">
        <v>44359</v>
      </c>
      <c r="L2302" s="1463"/>
      <c r="M2302" s="1464">
        <v>0</v>
      </c>
      <c r="N2302" s="1465">
        <v>1.6341522390370564</v>
      </c>
      <c r="O2302" s="1465"/>
    </row>
    <row r="2303" spans="11:15">
      <c r="K2303" s="1462">
        <v>44360</v>
      </c>
      <c r="L2303" s="1463"/>
      <c r="M2303" s="1464">
        <v>0</v>
      </c>
      <c r="N2303" s="1465">
        <v>1.6341522390370564</v>
      </c>
      <c r="O2303" s="1465"/>
    </row>
    <row r="2304" spans="11:15">
      <c r="K2304" s="1462">
        <v>44361</v>
      </c>
      <c r="L2304" s="1463" t="s">
        <v>2127</v>
      </c>
      <c r="M2304" s="1464">
        <v>1.3269E-2</v>
      </c>
      <c r="N2304" s="1465">
        <v>1.6343690746976542</v>
      </c>
      <c r="O2304" s="1465"/>
    </row>
    <row r="2305" spans="11:15">
      <c r="K2305" s="1462">
        <v>44362</v>
      </c>
      <c r="L2305" s="1463" t="s">
        <v>2127</v>
      </c>
      <c r="M2305" s="1464">
        <v>1.3269E-2</v>
      </c>
      <c r="N2305" s="1465">
        <v>1.634585939130176</v>
      </c>
      <c r="O2305" s="1465"/>
    </row>
    <row r="2306" spans="11:15">
      <c r="K2306" s="1462">
        <v>44363</v>
      </c>
      <c r="L2306" s="1463" t="s">
        <v>2127</v>
      </c>
      <c r="M2306" s="1464">
        <v>1.3269E-2</v>
      </c>
      <c r="N2306" s="1465">
        <v>1.6348028323384394</v>
      </c>
      <c r="O2306" s="1465"/>
    </row>
    <row r="2307" spans="11:15">
      <c r="K2307" s="1462">
        <v>44364</v>
      </c>
      <c r="L2307" s="1463" t="s">
        <v>2127</v>
      </c>
      <c r="M2307" s="1464">
        <v>1.6136999999999999E-2</v>
      </c>
      <c r="N2307" s="1465">
        <v>1.635066640471494</v>
      </c>
      <c r="O2307" s="1465"/>
    </row>
    <row r="2308" spans="11:15">
      <c r="K2308" s="1462">
        <v>44365</v>
      </c>
      <c r="L2308" s="1463" t="s">
        <v>2127</v>
      </c>
      <c r="M2308" s="1464">
        <v>1.6136999999999999E-2</v>
      </c>
      <c r="N2308" s="1465">
        <v>1.6353304911752669</v>
      </c>
      <c r="O2308" s="1465"/>
    </row>
    <row r="2309" spans="11:15">
      <c r="K2309" s="1462">
        <v>44366</v>
      </c>
      <c r="L2309" s="1463"/>
      <c r="M2309" s="1464">
        <v>0</v>
      </c>
      <c r="N2309" s="1465">
        <v>1.6353304911752669</v>
      </c>
      <c r="O2309" s="1465"/>
    </row>
    <row r="2310" spans="11:15">
      <c r="K2310" s="1462">
        <v>44367</v>
      </c>
      <c r="L2310" s="1463"/>
      <c r="M2310" s="1464">
        <v>0</v>
      </c>
      <c r="N2310" s="1465">
        <v>1.6353304911752669</v>
      </c>
      <c r="O2310" s="1465"/>
    </row>
    <row r="2311" spans="11:15">
      <c r="K2311" s="1462">
        <v>44368</v>
      </c>
      <c r="L2311" s="1463" t="s">
        <v>2127</v>
      </c>
      <c r="M2311" s="1464">
        <v>1.6136999999999999E-2</v>
      </c>
      <c r="N2311" s="1465">
        <v>1.6355943844566279</v>
      </c>
      <c r="O2311" s="1465"/>
    </row>
    <row r="2312" spans="11:15">
      <c r="K2312" s="1462">
        <v>44369</v>
      </c>
      <c r="L2312" s="1463" t="s">
        <v>2127</v>
      </c>
      <c r="M2312" s="1464">
        <v>1.6136999999999999E-2</v>
      </c>
      <c r="N2312" s="1465">
        <v>1.6358583203224477</v>
      </c>
      <c r="O2312" s="1465"/>
    </row>
    <row r="2313" spans="11:15">
      <c r="K2313" s="1462">
        <v>44370</v>
      </c>
      <c r="L2313" s="1463" t="s">
        <v>2127</v>
      </c>
      <c r="M2313" s="1464">
        <v>1.6136999999999999E-2</v>
      </c>
      <c r="N2313" s="1465">
        <v>1.6361222987795982</v>
      </c>
      <c r="O2313" s="1465"/>
    </row>
    <row r="2314" spans="11:15">
      <c r="K2314" s="1462">
        <v>44371</v>
      </c>
      <c r="L2314" s="1463" t="s">
        <v>2127</v>
      </c>
      <c r="M2314" s="1464">
        <v>1.6136999999999999E-2</v>
      </c>
      <c r="N2314" s="1465">
        <v>1.6363863198349524</v>
      </c>
      <c r="O2314" s="1465"/>
    </row>
    <row r="2315" spans="11:15">
      <c r="K2315" s="1462">
        <v>44372</v>
      </c>
      <c r="L2315" s="1463" t="s">
        <v>2127</v>
      </c>
      <c r="M2315" s="1464">
        <v>1.6136999999999999E-2</v>
      </c>
      <c r="N2315" s="1465">
        <v>1.6366503834953843</v>
      </c>
      <c r="O2315" s="1465"/>
    </row>
    <row r="2316" spans="11:15">
      <c r="K2316" s="1462">
        <v>44373</v>
      </c>
      <c r="L2316" s="1463"/>
      <c r="M2316" s="1464">
        <v>0</v>
      </c>
      <c r="N2316" s="1465">
        <v>1.6366503834953843</v>
      </c>
      <c r="O2316" s="1465"/>
    </row>
    <row r="2317" spans="11:15">
      <c r="K2317" s="1462">
        <v>44374</v>
      </c>
      <c r="L2317" s="1463"/>
      <c r="M2317" s="1464">
        <v>0</v>
      </c>
      <c r="N2317" s="1465">
        <v>1.6366503834953843</v>
      </c>
      <c r="O2317" s="1465"/>
    </row>
    <row r="2318" spans="11:15">
      <c r="K2318" s="1462">
        <v>44375</v>
      </c>
      <c r="L2318" s="1463" t="s">
        <v>2127</v>
      </c>
      <c r="M2318" s="1464">
        <v>1.6136999999999999E-2</v>
      </c>
      <c r="N2318" s="1465">
        <v>1.636914489767769</v>
      </c>
      <c r="O2318" s="1465"/>
    </row>
    <row r="2319" spans="11:15">
      <c r="K2319" s="1462">
        <v>44376</v>
      </c>
      <c r="L2319" s="1463" t="s">
        <v>2127</v>
      </c>
      <c r="M2319" s="1464">
        <v>1.6136999999999999E-2</v>
      </c>
      <c r="N2319" s="1465">
        <v>1.6371786386589828</v>
      </c>
      <c r="O2319" s="1465"/>
    </row>
    <row r="2320" spans="11:15">
      <c r="K2320" s="1462">
        <v>44377</v>
      </c>
      <c r="L2320" s="1463" t="s">
        <v>2127</v>
      </c>
      <c r="M2320" s="1464">
        <v>1.6136999999999999E-2</v>
      </c>
      <c r="N2320" s="1465">
        <v>1.6374428301759034</v>
      </c>
      <c r="O2320" s="1465"/>
    </row>
    <row r="2321" spans="11:15">
      <c r="K2321" s="1462">
        <v>44378</v>
      </c>
      <c r="L2321" s="1463" t="s">
        <v>2127</v>
      </c>
      <c r="M2321" s="1464">
        <v>1.6136999999999999E-2</v>
      </c>
      <c r="N2321" s="1465">
        <v>1.637707064325409</v>
      </c>
      <c r="O2321" s="1465"/>
    </row>
    <row r="2322" spans="11:15">
      <c r="K2322" s="1462">
        <v>44379</v>
      </c>
      <c r="L2322" s="1463" t="s">
        <v>2127</v>
      </c>
      <c r="M2322" s="1464">
        <v>1.6136999999999999E-2</v>
      </c>
      <c r="N2322" s="1465">
        <v>1.6379713411143793</v>
      </c>
      <c r="O2322" s="1465"/>
    </row>
    <row r="2323" spans="11:15">
      <c r="K2323" s="1462">
        <v>44380</v>
      </c>
      <c r="L2323" s="1463"/>
      <c r="M2323" s="1464">
        <v>0</v>
      </c>
      <c r="N2323" s="1465">
        <v>1.6379713411143793</v>
      </c>
      <c r="O2323" s="1465"/>
    </row>
    <row r="2324" spans="11:15">
      <c r="K2324" s="1462">
        <v>44381</v>
      </c>
      <c r="L2324" s="1463"/>
      <c r="M2324" s="1464">
        <v>0</v>
      </c>
      <c r="N2324" s="1465">
        <v>1.6379713411143793</v>
      </c>
      <c r="O2324" s="1465"/>
    </row>
    <row r="2325" spans="11:15">
      <c r="K2325" s="1462">
        <v>44382</v>
      </c>
      <c r="L2325" s="1463" t="s">
        <v>2127</v>
      </c>
      <c r="M2325" s="1464">
        <v>1.6136999999999999E-2</v>
      </c>
      <c r="N2325" s="1465">
        <v>1.638235660549695</v>
      </c>
      <c r="O2325" s="1465"/>
    </row>
    <row r="2326" spans="11:15">
      <c r="K2326" s="1462">
        <v>44383</v>
      </c>
      <c r="L2326" s="1463" t="s">
        <v>2127</v>
      </c>
      <c r="M2326" s="1464">
        <v>1.6136999999999999E-2</v>
      </c>
      <c r="N2326" s="1465">
        <v>1.638500022638238</v>
      </c>
      <c r="O2326" s="1465"/>
    </row>
    <row r="2327" spans="11:15">
      <c r="K2327" s="1462">
        <v>44384</v>
      </c>
      <c r="L2327" s="1463" t="s">
        <v>2127</v>
      </c>
      <c r="M2327" s="1464">
        <v>1.6136999999999999E-2</v>
      </c>
      <c r="N2327" s="1465">
        <v>1.6387644273868913</v>
      </c>
      <c r="O2327" s="1465"/>
    </row>
    <row r="2328" spans="11:15">
      <c r="K2328" s="1462">
        <v>44385</v>
      </c>
      <c r="L2328" s="1463" t="s">
        <v>2127</v>
      </c>
      <c r="M2328" s="1464">
        <v>1.6136999999999999E-2</v>
      </c>
      <c r="N2328" s="1465">
        <v>1.6390288748025388</v>
      </c>
      <c r="O2328" s="1465"/>
    </row>
    <row r="2329" spans="11:15">
      <c r="K2329" s="1462">
        <v>44386</v>
      </c>
      <c r="L2329" s="1463" t="s">
        <v>2127</v>
      </c>
      <c r="M2329" s="1464">
        <v>1.6136999999999999E-2</v>
      </c>
      <c r="N2329" s="1465">
        <v>1.6392933648920658</v>
      </c>
      <c r="O2329" s="1465"/>
    </row>
    <row r="2330" spans="11:15">
      <c r="K2330" s="1462">
        <v>44387</v>
      </c>
      <c r="L2330" s="1463"/>
      <c r="M2330" s="1464">
        <v>0</v>
      </c>
      <c r="N2330" s="1465">
        <v>1.6392933648920658</v>
      </c>
      <c r="O2330" s="1465"/>
    </row>
    <row r="2331" spans="11:15">
      <c r="K2331" s="1462">
        <v>44388</v>
      </c>
      <c r="L2331" s="1463"/>
      <c r="M2331" s="1464">
        <v>0</v>
      </c>
      <c r="N2331" s="1465">
        <v>1.6392933648920658</v>
      </c>
      <c r="O2331" s="1465"/>
    </row>
    <row r="2332" spans="11:15">
      <c r="K2332" s="1462">
        <v>44389</v>
      </c>
      <c r="L2332" s="1463" t="s">
        <v>2127</v>
      </c>
      <c r="M2332" s="1464">
        <v>1.6136999999999999E-2</v>
      </c>
      <c r="N2332" s="1465">
        <v>1.6395578976623586</v>
      </c>
      <c r="O2332" s="1465"/>
    </row>
    <row r="2333" spans="11:15">
      <c r="K2333" s="1462">
        <v>44390</v>
      </c>
      <c r="L2333" s="1463" t="s">
        <v>2127</v>
      </c>
      <c r="M2333" s="1464">
        <v>1.6136999999999999E-2</v>
      </c>
      <c r="N2333" s="1465">
        <v>1.6398224731203044</v>
      </c>
      <c r="O2333" s="1465"/>
    </row>
    <row r="2334" spans="11:15">
      <c r="K2334" s="1462">
        <v>44391</v>
      </c>
      <c r="L2334" s="1463" t="s">
        <v>2127</v>
      </c>
      <c r="M2334" s="1464">
        <v>1.6136999999999999E-2</v>
      </c>
      <c r="N2334" s="1465">
        <v>1.6400870912727918</v>
      </c>
      <c r="O2334" s="1465"/>
    </row>
    <row r="2335" spans="11:15">
      <c r="K2335" s="1462">
        <v>44392</v>
      </c>
      <c r="L2335" s="1463" t="s">
        <v>2127</v>
      </c>
      <c r="M2335" s="1464">
        <v>1.6136999999999999E-2</v>
      </c>
      <c r="N2335" s="1465">
        <v>1.6403517521267106</v>
      </c>
      <c r="O2335" s="1465"/>
    </row>
    <row r="2336" spans="11:15">
      <c r="K2336" s="1462">
        <v>44393</v>
      </c>
      <c r="L2336" s="1463" t="s">
        <v>2127</v>
      </c>
      <c r="M2336" s="1464">
        <v>1.6136999999999999E-2</v>
      </c>
      <c r="N2336" s="1465">
        <v>1.6406164556889513</v>
      </c>
      <c r="O2336" s="1465"/>
    </row>
    <row r="2337" spans="11:15">
      <c r="K2337" s="1462">
        <v>44394</v>
      </c>
      <c r="L2337" s="1463"/>
      <c r="M2337" s="1464">
        <v>0</v>
      </c>
      <c r="N2337" s="1465">
        <v>1.6406164556889513</v>
      </c>
      <c r="O2337" s="1465"/>
    </row>
    <row r="2338" spans="11:15">
      <c r="K2338" s="1462">
        <v>44395</v>
      </c>
      <c r="L2338" s="1463"/>
      <c r="M2338" s="1464">
        <v>0</v>
      </c>
      <c r="N2338" s="1465">
        <v>1.6406164556889513</v>
      </c>
      <c r="O2338" s="1465"/>
    </row>
    <row r="2339" spans="11:15">
      <c r="K2339" s="1462">
        <v>44396</v>
      </c>
      <c r="L2339" s="1463" t="s">
        <v>2127</v>
      </c>
      <c r="M2339" s="1464">
        <v>1.6136999999999999E-2</v>
      </c>
      <c r="N2339" s="1465">
        <v>1.6408812019664059</v>
      </c>
      <c r="O2339" s="1465"/>
    </row>
    <row r="2340" spans="11:15">
      <c r="K2340" s="1462">
        <v>44397</v>
      </c>
      <c r="L2340" s="1463" t="s">
        <v>2127</v>
      </c>
      <c r="M2340" s="1464">
        <v>1.6136999999999999E-2</v>
      </c>
      <c r="N2340" s="1465">
        <v>1.6411459909659674</v>
      </c>
      <c r="O2340" s="1465"/>
    </row>
    <row r="2341" spans="11:15">
      <c r="K2341" s="1462">
        <v>44398</v>
      </c>
      <c r="L2341" s="1463" t="s">
        <v>2127</v>
      </c>
      <c r="M2341" s="1464">
        <v>1.6136999999999999E-2</v>
      </c>
      <c r="N2341" s="1465">
        <v>1.6414108226945296</v>
      </c>
      <c r="O2341" s="1465"/>
    </row>
    <row r="2342" spans="11:15">
      <c r="K2342" s="1462">
        <v>44399</v>
      </c>
      <c r="L2342" s="1463" t="s">
        <v>2127</v>
      </c>
      <c r="M2342" s="1464">
        <v>1.6136999999999999E-2</v>
      </c>
      <c r="N2342" s="1465">
        <v>1.6416756971589879</v>
      </c>
      <c r="O2342" s="1465"/>
    </row>
    <row r="2343" spans="11:15">
      <c r="K2343" s="1462">
        <v>44400</v>
      </c>
      <c r="L2343" s="1463" t="s">
        <v>2127</v>
      </c>
      <c r="M2343" s="1464">
        <v>1.6136999999999999E-2</v>
      </c>
      <c r="N2343" s="1465">
        <v>1.6419406143662385</v>
      </c>
      <c r="O2343" s="1465"/>
    </row>
    <row r="2344" spans="11:15">
      <c r="K2344" s="1462">
        <v>44401</v>
      </c>
      <c r="L2344" s="1463"/>
      <c r="M2344" s="1464">
        <v>0</v>
      </c>
      <c r="N2344" s="1465">
        <v>1.6419406143662385</v>
      </c>
      <c r="O2344" s="1465"/>
    </row>
    <row r="2345" spans="11:15">
      <c r="K2345" s="1462">
        <v>44402</v>
      </c>
      <c r="L2345" s="1463"/>
      <c r="M2345" s="1464">
        <v>0</v>
      </c>
      <c r="N2345" s="1465">
        <v>1.6419406143662385</v>
      </c>
      <c r="O2345" s="1465"/>
    </row>
    <row r="2346" spans="11:15">
      <c r="K2346" s="1462">
        <v>44403</v>
      </c>
      <c r="L2346" s="1463" t="s">
        <v>2127</v>
      </c>
      <c r="M2346" s="1464">
        <v>1.6136999999999999E-2</v>
      </c>
      <c r="N2346" s="1465">
        <v>1.6422055743231789</v>
      </c>
      <c r="O2346" s="1465"/>
    </row>
    <row r="2347" spans="11:15">
      <c r="K2347" s="1462">
        <v>44404</v>
      </c>
      <c r="L2347" s="1463" t="s">
        <v>2127</v>
      </c>
      <c r="M2347" s="1464">
        <v>1.6136999999999999E-2</v>
      </c>
      <c r="N2347" s="1465">
        <v>1.6424705770367076</v>
      </c>
      <c r="O2347" s="1465"/>
    </row>
    <row r="2348" spans="11:15">
      <c r="K2348" s="1462">
        <v>44405</v>
      </c>
      <c r="L2348" s="1463" t="s">
        <v>2127</v>
      </c>
      <c r="M2348" s="1464">
        <v>1.6136999999999999E-2</v>
      </c>
      <c r="N2348" s="1465">
        <v>1.6427356225137242</v>
      </c>
      <c r="O2348" s="1465"/>
    </row>
    <row r="2349" spans="11:15">
      <c r="K2349" s="1462">
        <v>44406</v>
      </c>
      <c r="L2349" s="1463" t="s">
        <v>2127</v>
      </c>
      <c r="M2349" s="1464">
        <v>1.6136999999999999E-2</v>
      </c>
      <c r="N2349" s="1465">
        <v>1.6430007107611293</v>
      </c>
      <c r="O2349" s="1465"/>
    </row>
    <row r="2350" spans="11:15">
      <c r="K2350" s="1462">
        <v>44407</v>
      </c>
      <c r="L2350" s="1463" t="s">
        <v>2127</v>
      </c>
      <c r="M2350" s="1464">
        <v>1.6136999999999999E-2</v>
      </c>
      <c r="N2350" s="1465">
        <v>1.6432658417858248</v>
      </c>
      <c r="O2350" s="1465"/>
    </row>
    <row r="2351" spans="11:15">
      <c r="K2351" s="1462">
        <v>44408</v>
      </c>
      <c r="L2351" s="1463"/>
      <c r="M2351" s="1464">
        <v>0</v>
      </c>
      <c r="N2351" s="1465">
        <v>1.6432658417858248</v>
      </c>
      <c r="O2351" s="1465"/>
    </row>
    <row r="2352" spans="11:15">
      <c r="K2352" s="1462">
        <v>44409</v>
      </c>
      <c r="L2352" s="1463"/>
      <c r="M2352" s="1464">
        <v>0</v>
      </c>
      <c r="N2352" s="1465">
        <v>1.6432658417858248</v>
      </c>
      <c r="O2352" s="1465"/>
    </row>
    <row r="2353" spans="11:15">
      <c r="K2353" s="1462">
        <v>44410</v>
      </c>
      <c r="L2353" s="1463" t="s">
        <v>2127</v>
      </c>
      <c r="M2353" s="1464">
        <v>1.6136999999999999E-2</v>
      </c>
      <c r="N2353" s="1465">
        <v>1.6435310155947138</v>
      </c>
      <c r="O2353" s="1465"/>
    </row>
    <row r="2354" spans="11:15">
      <c r="K2354" s="1462">
        <v>44411</v>
      </c>
      <c r="L2354" s="1463" t="s">
        <v>2127</v>
      </c>
      <c r="M2354" s="1464">
        <v>1.6136999999999999E-2</v>
      </c>
      <c r="N2354" s="1465">
        <v>1.6437962321947004</v>
      </c>
      <c r="O2354" s="1465"/>
    </row>
    <row r="2355" spans="11:15">
      <c r="K2355" s="1462">
        <v>44412</v>
      </c>
      <c r="L2355" s="1463" t="s">
        <v>2127</v>
      </c>
      <c r="M2355" s="1464">
        <v>1.6136999999999999E-2</v>
      </c>
      <c r="N2355" s="1465">
        <v>1.6440614915926897</v>
      </c>
      <c r="O2355" s="1465"/>
    </row>
    <row r="2356" spans="11:15">
      <c r="K2356" s="1462">
        <v>44413</v>
      </c>
      <c r="L2356" s="1463" t="s">
        <v>2127</v>
      </c>
      <c r="M2356" s="1464">
        <v>1.993E-2</v>
      </c>
      <c r="N2356" s="1465">
        <v>1.6443891530479642</v>
      </c>
      <c r="O2356" s="1465"/>
    </row>
    <row r="2357" spans="11:15">
      <c r="K2357" s="1462">
        <v>44414</v>
      </c>
      <c r="L2357" s="1463" t="s">
        <v>2127</v>
      </c>
      <c r="M2357" s="1464">
        <v>1.993E-2</v>
      </c>
      <c r="N2357" s="1465">
        <v>1.6447168798061667</v>
      </c>
      <c r="O2357" s="1465"/>
    </row>
    <row r="2358" spans="11:15">
      <c r="K2358" s="1462">
        <v>44415</v>
      </c>
      <c r="L2358" s="1463"/>
      <c r="M2358" s="1464">
        <v>0</v>
      </c>
      <c r="N2358" s="1465">
        <v>1.6447168798061667</v>
      </c>
      <c r="O2358" s="1465"/>
    </row>
    <row r="2359" spans="11:15">
      <c r="K2359" s="1462">
        <v>44416</v>
      </c>
      <c r="L2359" s="1463"/>
      <c r="M2359" s="1464">
        <v>0</v>
      </c>
      <c r="N2359" s="1465">
        <v>1.6447168798061667</v>
      </c>
      <c r="O2359" s="1465"/>
    </row>
    <row r="2360" spans="11:15">
      <c r="K2360" s="1462">
        <v>44417</v>
      </c>
      <c r="L2360" s="1463" t="s">
        <v>2127</v>
      </c>
      <c r="M2360" s="1464">
        <v>1.993E-2</v>
      </c>
      <c r="N2360" s="1465">
        <v>1.645044671880312</v>
      </c>
      <c r="O2360" s="1465"/>
    </row>
    <row r="2361" spans="11:15">
      <c r="K2361" s="1462">
        <v>44418</v>
      </c>
      <c r="L2361" s="1463" t="s">
        <v>2127</v>
      </c>
      <c r="M2361" s="1464">
        <v>1.993E-2</v>
      </c>
      <c r="N2361" s="1465">
        <v>1.6453725292834178</v>
      </c>
      <c r="O2361" s="1465"/>
    </row>
    <row r="2362" spans="11:15">
      <c r="K2362" s="1462">
        <v>44419</v>
      </c>
      <c r="L2362" s="1463" t="s">
        <v>2127</v>
      </c>
      <c r="M2362" s="1464">
        <v>1.993E-2</v>
      </c>
      <c r="N2362" s="1465">
        <v>1.6457004520285041</v>
      </c>
      <c r="O2362" s="1465"/>
    </row>
    <row r="2363" spans="11:15">
      <c r="K2363" s="1462">
        <v>44420</v>
      </c>
      <c r="L2363" s="1463" t="s">
        <v>2127</v>
      </c>
      <c r="M2363" s="1464">
        <v>1.993E-2</v>
      </c>
      <c r="N2363" s="1465">
        <v>1.6460284401285934</v>
      </c>
      <c r="O2363" s="1465"/>
    </row>
    <row r="2364" spans="11:15">
      <c r="K2364" s="1462">
        <v>44421</v>
      </c>
      <c r="L2364" s="1463" t="s">
        <v>2127</v>
      </c>
      <c r="M2364" s="1464">
        <v>1.993E-2</v>
      </c>
      <c r="N2364" s="1465">
        <v>1.646356493596711</v>
      </c>
      <c r="O2364" s="1465"/>
    </row>
    <row r="2365" spans="11:15">
      <c r="K2365" s="1462">
        <v>44422</v>
      </c>
      <c r="L2365" s="1463"/>
      <c r="M2365" s="1464">
        <v>0</v>
      </c>
      <c r="N2365" s="1465">
        <v>1.646356493596711</v>
      </c>
      <c r="O2365" s="1465"/>
    </row>
    <row r="2366" spans="11:15">
      <c r="K2366" s="1462">
        <v>44423</v>
      </c>
      <c r="L2366" s="1463"/>
      <c r="M2366" s="1464">
        <v>0</v>
      </c>
      <c r="N2366" s="1465">
        <v>1.646356493596711</v>
      </c>
      <c r="O2366" s="1465"/>
    </row>
    <row r="2367" spans="11:15">
      <c r="K2367" s="1462">
        <v>44424</v>
      </c>
      <c r="L2367" s="1463" t="s">
        <v>2127</v>
      </c>
      <c r="M2367" s="1464">
        <v>1.993E-2</v>
      </c>
      <c r="N2367" s="1465">
        <v>1.6466846124458849</v>
      </c>
      <c r="O2367" s="1465"/>
    </row>
    <row r="2368" spans="11:15">
      <c r="K2368" s="1462">
        <v>44425</v>
      </c>
      <c r="L2368" s="1463" t="s">
        <v>2127</v>
      </c>
      <c r="M2368" s="1464">
        <v>1.993E-2</v>
      </c>
      <c r="N2368" s="1465">
        <v>1.6470127966891455</v>
      </c>
      <c r="O2368" s="1465"/>
    </row>
    <row r="2369" spans="11:15">
      <c r="K2369" s="1462">
        <v>44426</v>
      </c>
      <c r="L2369" s="1463" t="s">
        <v>2127</v>
      </c>
      <c r="M2369" s="1464">
        <v>1.993E-2</v>
      </c>
      <c r="N2369" s="1465">
        <v>1.6473410463395257</v>
      </c>
      <c r="O2369" s="1465"/>
    </row>
    <row r="2370" spans="11:15">
      <c r="K2370" s="1462">
        <v>44427</v>
      </c>
      <c r="L2370" s="1463" t="s">
        <v>2127</v>
      </c>
      <c r="M2370" s="1464">
        <v>1.993E-2</v>
      </c>
      <c r="N2370" s="1465">
        <v>1.6476693614100613</v>
      </c>
      <c r="O2370" s="1465"/>
    </row>
    <row r="2371" spans="11:15">
      <c r="K2371" s="1462">
        <v>44428</v>
      </c>
      <c r="L2371" s="1463" t="s">
        <v>2127</v>
      </c>
      <c r="M2371" s="1464">
        <v>1.993E-2</v>
      </c>
      <c r="N2371" s="1465">
        <v>1.6479977419137903</v>
      </c>
      <c r="O2371" s="1465"/>
    </row>
    <row r="2372" spans="11:15">
      <c r="K2372" s="1462">
        <v>44429</v>
      </c>
      <c r="L2372" s="1463"/>
      <c r="M2372" s="1464">
        <v>0</v>
      </c>
      <c r="N2372" s="1465">
        <v>1.6479977419137903</v>
      </c>
      <c r="O2372" s="1465"/>
    </row>
    <row r="2373" spans="11:15">
      <c r="K2373" s="1462">
        <v>44430</v>
      </c>
      <c r="L2373" s="1463"/>
      <c r="M2373" s="1464">
        <v>0</v>
      </c>
      <c r="N2373" s="1465">
        <v>1.6479977419137903</v>
      </c>
      <c r="O2373" s="1465"/>
    </row>
    <row r="2374" spans="11:15">
      <c r="K2374" s="1462">
        <v>44431</v>
      </c>
      <c r="L2374" s="1463" t="s">
        <v>2127</v>
      </c>
      <c r="M2374" s="1464">
        <v>1.993E-2</v>
      </c>
      <c r="N2374" s="1465">
        <v>1.6483261878637538</v>
      </c>
      <c r="O2374" s="1465"/>
    </row>
    <row r="2375" spans="11:15">
      <c r="K2375" s="1462">
        <v>44432</v>
      </c>
      <c r="L2375" s="1463" t="s">
        <v>2127</v>
      </c>
      <c r="M2375" s="1464">
        <v>1.993E-2</v>
      </c>
      <c r="N2375" s="1465">
        <v>1.6486546992729951</v>
      </c>
      <c r="O2375" s="1465"/>
    </row>
    <row r="2376" spans="11:15">
      <c r="K2376" s="1462">
        <v>44433</v>
      </c>
      <c r="L2376" s="1463" t="s">
        <v>2127</v>
      </c>
      <c r="M2376" s="1464">
        <v>1.993E-2</v>
      </c>
      <c r="N2376" s="1465">
        <v>1.6489832761545602</v>
      </c>
      <c r="O2376" s="1465"/>
    </row>
    <row r="2377" spans="11:15">
      <c r="K2377" s="1462">
        <v>44434</v>
      </c>
      <c r="L2377" s="1463" t="s">
        <v>2127</v>
      </c>
      <c r="M2377" s="1464">
        <v>1.993E-2</v>
      </c>
      <c r="N2377" s="1465">
        <v>1.6493119185214977</v>
      </c>
      <c r="O2377" s="1465"/>
    </row>
    <row r="2378" spans="11:15">
      <c r="K2378" s="1462">
        <v>44435</v>
      </c>
      <c r="L2378" s="1463" t="s">
        <v>2127</v>
      </c>
      <c r="M2378" s="1464">
        <v>1.993E-2</v>
      </c>
      <c r="N2378" s="1465">
        <v>1.649640626386859</v>
      </c>
      <c r="O2378" s="1465"/>
    </row>
    <row r="2379" spans="11:15">
      <c r="K2379" s="1462">
        <v>44436</v>
      </c>
      <c r="L2379" s="1463"/>
      <c r="M2379" s="1464">
        <v>0</v>
      </c>
      <c r="N2379" s="1465">
        <v>1.649640626386859</v>
      </c>
      <c r="O2379" s="1465"/>
    </row>
    <row r="2380" spans="11:15">
      <c r="K2380" s="1462">
        <v>44437</v>
      </c>
      <c r="L2380" s="1463"/>
      <c r="M2380" s="1464">
        <v>0</v>
      </c>
      <c r="N2380" s="1465">
        <v>1.649640626386859</v>
      </c>
      <c r="O2380" s="1465"/>
    </row>
    <row r="2381" spans="11:15">
      <c r="K2381" s="1462">
        <v>44438</v>
      </c>
      <c r="L2381" s="1463" t="s">
        <v>2127</v>
      </c>
      <c r="M2381" s="1464">
        <v>1.993E-2</v>
      </c>
      <c r="N2381" s="1465">
        <v>1.6499693997636979</v>
      </c>
      <c r="O2381" s="1465"/>
    </row>
    <row r="2382" spans="11:15">
      <c r="K2382" s="1462">
        <v>44439</v>
      </c>
      <c r="L2382" s="1463" t="s">
        <v>2127</v>
      </c>
      <c r="M2382" s="1464">
        <v>1.993E-2</v>
      </c>
      <c r="N2382" s="1465">
        <v>1.6502982386650709</v>
      </c>
      <c r="O2382" s="1465"/>
    </row>
    <row r="2383" spans="11:15">
      <c r="K2383" s="1462">
        <v>44440</v>
      </c>
      <c r="L2383" s="1463" t="s">
        <v>2127</v>
      </c>
      <c r="M2383" s="1464">
        <v>1.993E-2</v>
      </c>
      <c r="N2383" s="1465">
        <v>1.6506271431040369</v>
      </c>
      <c r="O2383" s="1465"/>
    </row>
    <row r="2384" spans="11:15">
      <c r="K2384" s="1462">
        <v>44441</v>
      </c>
      <c r="L2384" s="1463" t="s">
        <v>2127</v>
      </c>
      <c r="M2384" s="1464">
        <v>1.993E-2</v>
      </c>
      <c r="N2384" s="1465">
        <v>1.6509561130936576</v>
      </c>
      <c r="O2384" s="1465"/>
    </row>
    <row r="2385" spans="11:15">
      <c r="K2385" s="1462">
        <v>44442</v>
      </c>
      <c r="L2385" s="1463" t="s">
        <v>2127</v>
      </c>
      <c r="M2385" s="1464">
        <v>1.993E-2</v>
      </c>
      <c r="N2385" s="1465">
        <v>1.6512851486469973</v>
      </c>
      <c r="O2385" s="1465"/>
    </row>
    <row r="2386" spans="11:15">
      <c r="K2386" s="1462">
        <v>44443</v>
      </c>
      <c r="L2386" s="1463"/>
      <c r="M2386" s="1464">
        <v>0</v>
      </c>
      <c r="N2386" s="1465">
        <v>1.6512851486469973</v>
      </c>
      <c r="O2386" s="1465"/>
    </row>
    <row r="2387" spans="11:15">
      <c r="K2387" s="1462">
        <v>44444</v>
      </c>
      <c r="L2387" s="1463"/>
      <c r="M2387" s="1464">
        <v>0</v>
      </c>
      <c r="N2387" s="1465">
        <v>1.6512851486469973</v>
      </c>
      <c r="O2387" s="1465"/>
    </row>
    <row r="2388" spans="11:15">
      <c r="K2388" s="1462">
        <v>44445</v>
      </c>
      <c r="L2388" s="1463" t="s">
        <v>2127</v>
      </c>
      <c r="M2388" s="1464">
        <v>1.993E-2</v>
      </c>
      <c r="N2388" s="1465">
        <v>1.6516142497771227</v>
      </c>
      <c r="O2388" s="1465"/>
    </row>
    <row r="2389" spans="11:15">
      <c r="K2389" s="1462">
        <v>44446</v>
      </c>
      <c r="L2389" s="1463"/>
      <c r="M2389" s="1464">
        <v>0</v>
      </c>
      <c r="N2389" s="1465">
        <v>1.6516142497771227</v>
      </c>
      <c r="O2389" s="1465"/>
    </row>
    <row r="2390" spans="11:15">
      <c r="K2390" s="1462">
        <v>44447</v>
      </c>
      <c r="L2390" s="1463" t="s">
        <v>2127</v>
      </c>
      <c r="M2390" s="1464">
        <v>1.993E-2</v>
      </c>
      <c r="N2390" s="1465">
        <v>1.6519434164971032</v>
      </c>
      <c r="O2390" s="1465"/>
    </row>
    <row r="2391" spans="11:15">
      <c r="K2391" s="1462">
        <v>44448</v>
      </c>
      <c r="L2391" s="1463" t="s">
        <v>2127</v>
      </c>
      <c r="M2391" s="1464">
        <v>1.993E-2</v>
      </c>
      <c r="N2391" s="1465">
        <v>1.652272648820011</v>
      </c>
      <c r="O2391" s="1465"/>
    </row>
    <row r="2392" spans="11:15">
      <c r="K2392" s="1462">
        <v>44449</v>
      </c>
      <c r="L2392" s="1463" t="s">
        <v>2127</v>
      </c>
      <c r="M2392" s="1464">
        <v>1.993E-2</v>
      </c>
      <c r="N2392" s="1465">
        <v>1.6526019467589208</v>
      </c>
      <c r="O2392" s="1465"/>
    </row>
    <row r="2393" spans="11:15">
      <c r="K2393" s="1462">
        <v>44450</v>
      </c>
      <c r="L2393" s="1463"/>
      <c r="M2393" s="1464">
        <v>0</v>
      </c>
      <c r="N2393" s="1465">
        <v>1.6526019467589208</v>
      </c>
      <c r="O2393" s="1465"/>
    </row>
    <row r="2394" spans="11:15">
      <c r="K2394" s="1462">
        <v>44451</v>
      </c>
      <c r="L2394" s="1463"/>
      <c r="M2394" s="1464">
        <v>0</v>
      </c>
      <c r="N2394" s="1465">
        <v>1.6526019467589208</v>
      </c>
      <c r="O2394" s="1465"/>
    </row>
    <row r="2395" spans="11:15">
      <c r="K2395" s="1462">
        <v>44452</v>
      </c>
      <c r="L2395" s="1463" t="s">
        <v>2127</v>
      </c>
      <c r="M2395" s="1464">
        <v>1.993E-2</v>
      </c>
      <c r="N2395" s="1465">
        <v>1.6529313103269099</v>
      </c>
      <c r="O2395" s="1465"/>
    </row>
    <row r="2396" spans="11:15">
      <c r="K2396" s="1462">
        <v>44453</v>
      </c>
      <c r="L2396" s="1463" t="s">
        <v>2127</v>
      </c>
      <c r="M2396" s="1464">
        <v>1.993E-2</v>
      </c>
      <c r="N2396" s="1465">
        <v>1.653260739537058</v>
      </c>
      <c r="O2396" s="1465"/>
    </row>
    <row r="2397" spans="11:15">
      <c r="K2397" s="1462">
        <v>44454</v>
      </c>
      <c r="L2397" s="1463" t="s">
        <v>2127</v>
      </c>
      <c r="M2397" s="1464">
        <v>1.993E-2</v>
      </c>
      <c r="N2397" s="1465">
        <v>1.6535902344024478</v>
      </c>
      <c r="O2397" s="1465"/>
    </row>
    <row r="2398" spans="11:15">
      <c r="K2398" s="1462">
        <v>44455</v>
      </c>
      <c r="L2398" s="1463" t="s">
        <v>2127</v>
      </c>
      <c r="M2398" s="1464">
        <v>1.993E-2</v>
      </c>
      <c r="N2398" s="1465">
        <v>1.6539197949361641</v>
      </c>
      <c r="O2398" s="1465"/>
    </row>
    <row r="2399" spans="11:15">
      <c r="K2399" s="1462">
        <v>44456</v>
      </c>
      <c r="L2399" s="1463" t="s">
        <v>2127</v>
      </c>
      <c r="M2399" s="1464">
        <v>1.993E-2</v>
      </c>
      <c r="N2399" s="1465">
        <v>1.654249421151295</v>
      </c>
      <c r="O2399" s="1465"/>
    </row>
    <row r="2400" spans="11:15">
      <c r="K2400" s="1462">
        <v>44457</v>
      </c>
      <c r="L2400" s="1463"/>
      <c r="M2400" s="1464">
        <v>0</v>
      </c>
      <c r="N2400" s="1465">
        <v>1.654249421151295</v>
      </c>
      <c r="O2400" s="1465"/>
    </row>
    <row r="2401" spans="11:15">
      <c r="K2401" s="1462">
        <v>44458</v>
      </c>
      <c r="L2401" s="1463"/>
      <c r="M2401" s="1464">
        <v>0</v>
      </c>
      <c r="N2401" s="1465">
        <v>1.654249421151295</v>
      </c>
      <c r="O2401" s="1465"/>
    </row>
    <row r="2402" spans="11:15">
      <c r="K2402" s="1462">
        <v>44459</v>
      </c>
      <c r="L2402" s="1463" t="s">
        <v>2127</v>
      </c>
      <c r="M2402" s="1464">
        <v>1.993E-2</v>
      </c>
      <c r="N2402" s="1465">
        <v>1.6545791130609304</v>
      </c>
      <c r="O2402" s="1465"/>
    </row>
    <row r="2403" spans="11:15">
      <c r="K2403" s="1462">
        <v>44460</v>
      </c>
      <c r="L2403" s="1463" t="s">
        <v>2127</v>
      </c>
      <c r="M2403" s="1464">
        <v>1.993E-2</v>
      </c>
      <c r="N2403" s="1465">
        <v>1.6549088706781634</v>
      </c>
      <c r="O2403" s="1465"/>
    </row>
    <row r="2404" spans="11:15">
      <c r="K2404" s="1462">
        <v>44461</v>
      </c>
      <c r="L2404" s="1463" t="s">
        <v>2127</v>
      </c>
      <c r="M2404" s="1464">
        <v>1.993E-2</v>
      </c>
      <c r="N2404" s="1465">
        <v>1.6552386940160895</v>
      </c>
      <c r="O2404" s="1465"/>
    </row>
    <row r="2405" spans="11:15">
      <c r="K2405" s="1462">
        <v>44462</v>
      </c>
      <c r="L2405" s="1463" t="s">
        <v>2127</v>
      </c>
      <c r="M2405" s="1464">
        <v>2.3687E-2</v>
      </c>
      <c r="N2405" s="1465">
        <v>1.6556307704055411</v>
      </c>
      <c r="O2405" s="1465"/>
    </row>
    <row r="2406" spans="11:15">
      <c r="K2406" s="1462">
        <v>44463</v>
      </c>
      <c r="L2406" s="1463" t="s">
        <v>2127</v>
      </c>
      <c r="M2406" s="1464">
        <v>2.3687E-2</v>
      </c>
      <c r="N2406" s="1465">
        <v>1.656022939666127</v>
      </c>
      <c r="O2406" s="1465"/>
    </row>
    <row r="2407" spans="11:15">
      <c r="K2407" s="1462">
        <v>44464</v>
      </c>
      <c r="L2407" s="1463"/>
      <c r="M2407" s="1464">
        <v>0</v>
      </c>
      <c r="N2407" s="1465">
        <v>1.656022939666127</v>
      </c>
      <c r="O2407" s="1465"/>
    </row>
    <row r="2408" spans="11:15">
      <c r="K2408" s="1462">
        <v>44465</v>
      </c>
      <c r="L2408" s="1463"/>
      <c r="M2408" s="1464">
        <v>0</v>
      </c>
      <c r="N2408" s="1465">
        <v>1.656022939666127</v>
      </c>
      <c r="O2408" s="1465"/>
    </row>
    <row r="2409" spans="11:15">
      <c r="K2409" s="1462">
        <v>44466</v>
      </c>
      <c r="L2409" s="1463" t="s">
        <v>2127</v>
      </c>
      <c r="M2409" s="1464">
        <v>2.3687E-2</v>
      </c>
      <c r="N2409" s="1465">
        <v>1.6564152018198457</v>
      </c>
      <c r="O2409" s="1465"/>
    </row>
    <row r="2410" spans="11:15">
      <c r="K2410" s="1462">
        <v>44467</v>
      </c>
      <c r="L2410" s="1463" t="s">
        <v>2127</v>
      </c>
      <c r="M2410" s="1464">
        <v>2.3687E-2</v>
      </c>
      <c r="N2410" s="1465">
        <v>1.6568075568887006</v>
      </c>
      <c r="O2410" s="1465"/>
    </row>
    <row r="2411" spans="11:15">
      <c r="K2411" s="1462">
        <v>44468</v>
      </c>
      <c r="L2411" s="1463" t="s">
        <v>2127</v>
      </c>
      <c r="M2411" s="1464">
        <v>2.3687E-2</v>
      </c>
      <c r="N2411" s="1465">
        <v>1.6572000048947009</v>
      </c>
      <c r="O2411" s="1465"/>
    </row>
    <row r="2412" spans="11:15">
      <c r="K2412" s="1462">
        <v>44469</v>
      </c>
      <c r="L2412" s="1463" t="s">
        <v>2127</v>
      </c>
      <c r="M2412" s="1464">
        <v>2.3687E-2</v>
      </c>
      <c r="N2412" s="1465">
        <v>1.6575925458598602</v>
      </c>
      <c r="O2412" s="1465"/>
    </row>
    <row r="2413" spans="11:15">
      <c r="K2413" s="1462">
        <v>44470</v>
      </c>
      <c r="L2413" s="1463" t="s">
        <v>2127</v>
      </c>
      <c r="M2413" s="1464">
        <v>2.3687E-2</v>
      </c>
      <c r="N2413" s="1465">
        <v>1.657985179806198</v>
      </c>
      <c r="O2413" s="1465"/>
    </row>
    <row r="2414" spans="11:15">
      <c r="K2414" s="1462">
        <v>44471</v>
      </c>
      <c r="L2414" s="1463"/>
      <c r="M2414" s="1464">
        <v>0</v>
      </c>
      <c r="N2414" s="1465">
        <v>1.657985179806198</v>
      </c>
      <c r="O2414" s="1465"/>
    </row>
    <row r="2415" spans="11:15">
      <c r="K2415" s="1462">
        <v>44472</v>
      </c>
      <c r="L2415" s="1463"/>
      <c r="M2415" s="1464">
        <v>0</v>
      </c>
      <c r="N2415" s="1465">
        <v>1.657985179806198</v>
      </c>
      <c r="O2415" s="1465"/>
    </row>
    <row r="2416" spans="11:15">
      <c r="K2416" s="1462">
        <v>44473</v>
      </c>
      <c r="L2416" s="1463" t="s">
        <v>2127</v>
      </c>
      <c r="M2416" s="1464">
        <v>2.3687E-2</v>
      </c>
      <c r="N2416" s="1465">
        <v>1.6583779067557385</v>
      </c>
      <c r="O2416" s="1465"/>
    </row>
    <row r="2417" spans="11:15">
      <c r="K2417" s="1462">
        <v>44474</v>
      </c>
      <c r="L2417" s="1463" t="s">
        <v>2127</v>
      </c>
      <c r="M2417" s="1464">
        <v>2.3687E-2</v>
      </c>
      <c r="N2417" s="1465">
        <v>1.6587707267305116</v>
      </c>
      <c r="O2417" s="1465"/>
    </row>
    <row r="2418" spans="11:15">
      <c r="K2418" s="1462">
        <v>44475</v>
      </c>
      <c r="L2418" s="1463" t="s">
        <v>2127</v>
      </c>
      <c r="M2418" s="1464">
        <v>2.3687E-2</v>
      </c>
      <c r="N2418" s="1465">
        <v>1.6591636397525522</v>
      </c>
      <c r="O2418" s="1465"/>
    </row>
    <row r="2419" spans="11:15">
      <c r="K2419" s="1462">
        <v>44476</v>
      </c>
      <c r="L2419" s="1463" t="s">
        <v>2127</v>
      </c>
      <c r="M2419" s="1464">
        <v>2.3687E-2</v>
      </c>
      <c r="N2419" s="1465">
        <v>1.6595566458439004</v>
      </c>
      <c r="O2419" s="1465"/>
    </row>
    <row r="2420" spans="11:15">
      <c r="K2420" s="1462">
        <v>44477</v>
      </c>
      <c r="L2420" s="1463" t="s">
        <v>2127</v>
      </c>
      <c r="M2420" s="1464">
        <v>2.3687E-2</v>
      </c>
      <c r="N2420" s="1465">
        <v>1.6599497450266014</v>
      </c>
      <c r="O2420" s="1465"/>
    </row>
    <row r="2421" spans="11:15">
      <c r="K2421" s="1462">
        <v>44478</v>
      </c>
      <c r="L2421" s="1463"/>
      <c r="M2421" s="1464">
        <v>0</v>
      </c>
      <c r="N2421" s="1465">
        <v>1.6599497450266014</v>
      </c>
      <c r="O2421" s="1465"/>
    </row>
    <row r="2422" spans="11:15">
      <c r="K2422" s="1462">
        <v>44479</v>
      </c>
      <c r="L2422" s="1463"/>
      <c r="M2422" s="1464">
        <v>0</v>
      </c>
      <c r="N2422" s="1465">
        <v>1.6599497450266014</v>
      </c>
      <c r="O2422" s="1465"/>
    </row>
    <row r="2423" spans="11:15">
      <c r="K2423" s="1462">
        <v>44480</v>
      </c>
      <c r="L2423" s="1463" t="s">
        <v>2127</v>
      </c>
      <c r="M2423" s="1464">
        <v>2.3687E-2</v>
      </c>
      <c r="N2423" s="1465">
        <v>1.6603429373227059</v>
      </c>
      <c r="O2423" s="1465"/>
    </row>
    <row r="2424" spans="11:15">
      <c r="K2424" s="1462">
        <v>44481</v>
      </c>
      <c r="L2424" s="1463"/>
      <c r="M2424" s="1464">
        <v>0</v>
      </c>
      <c r="N2424" s="1465">
        <v>1.6603429373227059</v>
      </c>
      <c r="O2424" s="1465"/>
    </row>
    <row r="2425" spans="11:15">
      <c r="K2425" s="1462">
        <v>44482</v>
      </c>
      <c r="L2425" s="1463" t="s">
        <v>2127</v>
      </c>
      <c r="M2425" s="1464">
        <v>2.3687E-2</v>
      </c>
      <c r="N2425" s="1465">
        <v>1.6607362227542695</v>
      </c>
      <c r="O2425" s="1465"/>
    </row>
    <row r="2426" spans="11:15">
      <c r="K2426" s="1462">
        <v>44483</v>
      </c>
      <c r="L2426" s="1463" t="s">
        <v>2127</v>
      </c>
      <c r="M2426" s="1464">
        <v>2.3687E-2</v>
      </c>
      <c r="N2426" s="1465">
        <v>1.6611296013433532</v>
      </c>
      <c r="O2426" s="1465"/>
    </row>
    <row r="2427" spans="11:15">
      <c r="K2427" s="1462">
        <v>44484</v>
      </c>
      <c r="L2427" s="1463" t="s">
        <v>2127</v>
      </c>
      <c r="M2427" s="1464">
        <v>2.3687E-2</v>
      </c>
      <c r="N2427" s="1465">
        <v>1.6615230731120234</v>
      </c>
      <c r="O2427" s="1465"/>
    </row>
    <row r="2428" spans="11:15">
      <c r="K2428" s="1462">
        <v>44485</v>
      </c>
      <c r="L2428" s="1463"/>
      <c r="M2428" s="1464">
        <v>0</v>
      </c>
      <c r="N2428" s="1465">
        <v>1.6615230731120234</v>
      </c>
      <c r="O2428" s="1465"/>
    </row>
    <row r="2429" spans="11:15">
      <c r="K2429" s="1462">
        <v>44486</v>
      </c>
      <c r="L2429" s="1463"/>
      <c r="M2429" s="1464">
        <v>0</v>
      </c>
      <c r="N2429" s="1465">
        <v>1.6615230731120234</v>
      </c>
      <c r="O2429" s="1465"/>
    </row>
    <row r="2430" spans="11:15">
      <c r="K2430" s="1462">
        <v>44487</v>
      </c>
      <c r="L2430" s="1463" t="s">
        <v>2127</v>
      </c>
      <c r="M2430" s="1464">
        <v>2.3687E-2</v>
      </c>
      <c r="N2430" s="1465">
        <v>1.6619166380823513</v>
      </c>
      <c r="O2430" s="1465"/>
    </row>
    <row r="2431" spans="11:15">
      <c r="K2431" s="1462">
        <v>44488</v>
      </c>
      <c r="L2431" s="1463" t="s">
        <v>2127</v>
      </c>
      <c r="M2431" s="1464">
        <v>2.3687E-2</v>
      </c>
      <c r="N2431" s="1465">
        <v>1.6623102962764138</v>
      </c>
      <c r="O2431" s="1465"/>
    </row>
    <row r="2432" spans="11:15">
      <c r="K2432" s="1462">
        <v>44489</v>
      </c>
      <c r="L2432" s="1463" t="s">
        <v>2127</v>
      </c>
      <c r="M2432" s="1464">
        <v>2.3687E-2</v>
      </c>
      <c r="N2432" s="1465">
        <v>1.6627040477162927</v>
      </c>
      <c r="O2432" s="1465"/>
    </row>
    <row r="2433" spans="11:15">
      <c r="K2433" s="1462">
        <v>44490</v>
      </c>
      <c r="L2433" s="1463" t="s">
        <v>2127</v>
      </c>
      <c r="M2433" s="1464">
        <v>2.3687E-2</v>
      </c>
      <c r="N2433" s="1465">
        <v>1.6630978924240751</v>
      </c>
      <c r="O2433" s="1465"/>
    </row>
    <row r="2434" spans="11:15">
      <c r="K2434" s="1462">
        <v>44491</v>
      </c>
      <c r="L2434" s="1463" t="s">
        <v>2127</v>
      </c>
      <c r="M2434" s="1464">
        <v>2.3687E-2</v>
      </c>
      <c r="N2434" s="1465">
        <v>1.6634918304218536</v>
      </c>
      <c r="O2434" s="1465"/>
    </row>
    <row r="2435" spans="11:15">
      <c r="K2435" s="1462">
        <v>44492</v>
      </c>
      <c r="L2435" s="1463"/>
      <c r="M2435" s="1464">
        <v>0</v>
      </c>
      <c r="N2435" s="1465">
        <v>1.6634918304218536</v>
      </c>
      <c r="O2435" s="1465"/>
    </row>
    <row r="2436" spans="11:15">
      <c r="K2436" s="1462">
        <v>44493</v>
      </c>
      <c r="L2436" s="1463"/>
      <c r="M2436" s="1464">
        <v>0</v>
      </c>
      <c r="N2436" s="1465">
        <v>1.6634918304218536</v>
      </c>
      <c r="O2436" s="1465"/>
    </row>
    <row r="2437" spans="11:15">
      <c r="K2437" s="1462">
        <v>44494</v>
      </c>
      <c r="L2437" s="1463" t="s">
        <v>2127</v>
      </c>
      <c r="M2437" s="1464">
        <v>2.3687E-2</v>
      </c>
      <c r="N2437" s="1465">
        <v>1.6638858617317256</v>
      </c>
      <c r="O2437" s="1465"/>
    </row>
    <row r="2438" spans="11:15">
      <c r="K2438" s="1462">
        <v>44495</v>
      </c>
      <c r="L2438" s="1463" t="s">
        <v>2127</v>
      </c>
      <c r="M2438" s="1464">
        <v>2.3687E-2</v>
      </c>
      <c r="N2438" s="1465">
        <v>1.664279986375794</v>
      </c>
      <c r="O2438" s="1465"/>
    </row>
    <row r="2439" spans="11:15">
      <c r="K2439" s="1462">
        <v>44496</v>
      </c>
      <c r="L2439" s="1463" t="s">
        <v>2127</v>
      </c>
      <c r="M2439" s="1464">
        <v>2.3687E-2</v>
      </c>
      <c r="N2439" s="1465">
        <v>1.6646742043761666</v>
      </c>
      <c r="O2439" s="1465"/>
    </row>
    <row r="2440" spans="11:15">
      <c r="K2440" s="1462">
        <v>44497</v>
      </c>
      <c r="L2440" s="1463" t="s">
        <v>2127</v>
      </c>
      <c r="M2440" s="1464">
        <v>2.9256000000000001E-2</v>
      </c>
      <c r="N2440" s="1465">
        <v>1.6651612214613991</v>
      </c>
      <c r="O2440" s="1465"/>
    </row>
    <row r="2441" spans="11:15">
      <c r="K2441" s="1462">
        <v>44498</v>
      </c>
      <c r="L2441" s="1463" t="s">
        <v>2127</v>
      </c>
      <c r="M2441" s="1464">
        <v>2.9256000000000001E-2</v>
      </c>
      <c r="N2441" s="1465">
        <v>1.66564838102835</v>
      </c>
      <c r="O2441" s="1465"/>
    </row>
    <row r="2442" spans="11:15">
      <c r="K2442" s="1462">
        <v>44499</v>
      </c>
      <c r="L2442" s="1463"/>
      <c r="M2442" s="1464">
        <v>0</v>
      </c>
      <c r="N2442" s="1465">
        <v>1.66564838102835</v>
      </c>
      <c r="O2442" s="1465"/>
    </row>
    <row r="2443" spans="11:15">
      <c r="K2443" s="1462">
        <v>44500</v>
      </c>
      <c r="L2443" s="1463"/>
      <c r="M2443" s="1464">
        <v>0</v>
      </c>
      <c r="N2443" s="1465">
        <v>1.66564838102835</v>
      </c>
      <c r="O2443" s="1465"/>
    </row>
    <row r="2444" spans="11:15">
      <c r="K2444" s="1462">
        <v>44501</v>
      </c>
      <c r="L2444" s="1463" t="s">
        <v>2127</v>
      </c>
      <c r="M2444" s="1464">
        <v>2.9256000000000001E-2</v>
      </c>
      <c r="N2444" s="1465">
        <v>1.6661356831187037</v>
      </c>
      <c r="O2444" s="1465"/>
    </row>
    <row r="2445" spans="11:15">
      <c r="K2445" s="1462">
        <v>44502</v>
      </c>
      <c r="L2445" s="1463"/>
      <c r="M2445" s="1464">
        <v>0</v>
      </c>
      <c r="N2445" s="1465">
        <v>1.6661356831187037</v>
      </c>
      <c r="O2445" s="1465"/>
    </row>
    <row r="2446" spans="11:15">
      <c r="K2446" s="1462">
        <v>44503</v>
      </c>
      <c r="L2446" s="1463" t="s">
        <v>2127</v>
      </c>
      <c r="M2446" s="1464">
        <v>2.9256000000000001E-2</v>
      </c>
      <c r="N2446" s="1465">
        <v>1.6666231277741572</v>
      </c>
      <c r="O2446" s="1465"/>
    </row>
    <row r="2447" spans="11:15">
      <c r="K2447" s="1462">
        <v>44504</v>
      </c>
      <c r="L2447" s="1463" t="s">
        <v>2127</v>
      </c>
      <c r="M2447" s="1464">
        <v>2.9256000000000001E-2</v>
      </c>
      <c r="N2447" s="1465">
        <v>1.6671107150364191</v>
      </c>
      <c r="O2447" s="1465"/>
    </row>
    <row r="2448" spans="11:15">
      <c r="K2448" s="1462">
        <v>44505</v>
      </c>
      <c r="L2448" s="1463" t="s">
        <v>2127</v>
      </c>
      <c r="M2448" s="1464">
        <v>2.9256000000000001E-2</v>
      </c>
      <c r="N2448" s="1465">
        <v>1.6675984449472103</v>
      </c>
      <c r="O2448" s="1465"/>
    </row>
    <row r="2449" spans="11:15">
      <c r="K2449" s="1462">
        <v>44506</v>
      </c>
      <c r="L2449" s="1463"/>
      <c r="M2449" s="1464">
        <v>0</v>
      </c>
      <c r="N2449" s="1465">
        <v>1.6675984449472103</v>
      </c>
      <c r="O2449" s="1465"/>
    </row>
    <row r="2450" spans="11:15">
      <c r="K2450" s="1462">
        <v>44507</v>
      </c>
      <c r="L2450" s="1463"/>
      <c r="M2450" s="1464">
        <v>0</v>
      </c>
      <c r="N2450" s="1465">
        <v>1.6675984449472103</v>
      </c>
      <c r="O2450" s="1465"/>
    </row>
    <row r="2451" spans="11:15">
      <c r="K2451" s="1462">
        <v>44508</v>
      </c>
      <c r="L2451" s="1463" t="s">
        <v>2127</v>
      </c>
      <c r="M2451" s="1464">
        <v>2.9256000000000001E-2</v>
      </c>
      <c r="N2451" s="1465">
        <v>1.6680863175482643</v>
      </c>
      <c r="O2451" s="1465"/>
    </row>
    <row r="2452" spans="11:15">
      <c r="K2452" s="1462">
        <v>44509</v>
      </c>
      <c r="L2452" s="1463" t="s">
        <v>2127</v>
      </c>
      <c r="M2452" s="1464">
        <v>2.9256000000000001E-2</v>
      </c>
      <c r="N2452" s="1465">
        <v>1.6685743328813265</v>
      </c>
      <c r="O2452" s="1465"/>
    </row>
    <row r="2453" spans="11:15">
      <c r="K2453" s="1462">
        <v>44510</v>
      </c>
      <c r="L2453" s="1463" t="s">
        <v>2127</v>
      </c>
      <c r="M2453" s="1464">
        <v>2.9256000000000001E-2</v>
      </c>
      <c r="N2453" s="1465">
        <v>1.6690624909881544</v>
      </c>
      <c r="O2453" s="1465"/>
    </row>
    <row r="2454" spans="11:15">
      <c r="K2454" s="1462">
        <v>44511</v>
      </c>
      <c r="L2454" s="1463" t="s">
        <v>2127</v>
      </c>
      <c r="M2454" s="1464">
        <v>2.9256000000000001E-2</v>
      </c>
      <c r="N2454" s="1465">
        <v>1.6695507919105181</v>
      </c>
      <c r="O2454" s="1465"/>
    </row>
    <row r="2455" spans="11:15">
      <c r="K2455" s="1462">
        <v>44512</v>
      </c>
      <c r="L2455" s="1463" t="s">
        <v>2127</v>
      </c>
      <c r="M2455" s="1464">
        <v>2.9256000000000001E-2</v>
      </c>
      <c r="N2455" s="1465">
        <v>1.6700392356901996</v>
      </c>
      <c r="O2455" s="1465"/>
    </row>
    <row r="2456" spans="11:15">
      <c r="K2456" s="1462">
        <v>44513</v>
      </c>
      <c r="L2456" s="1463"/>
      <c r="M2456" s="1464">
        <v>0</v>
      </c>
      <c r="N2456" s="1465">
        <v>1.6700392356901996</v>
      </c>
      <c r="O2456" s="1465"/>
    </row>
    <row r="2457" spans="11:15">
      <c r="K2457" s="1462">
        <v>44514</v>
      </c>
      <c r="L2457" s="1463"/>
      <c r="M2457" s="1464">
        <v>0</v>
      </c>
      <c r="N2457" s="1465">
        <v>1.6700392356901996</v>
      </c>
      <c r="O2457" s="1465"/>
    </row>
    <row r="2458" spans="11:15">
      <c r="K2458" s="1462">
        <v>44515</v>
      </c>
      <c r="L2458" s="1463"/>
      <c r="M2458" s="1464">
        <v>0</v>
      </c>
      <c r="N2458" s="1465">
        <v>1.6700392356901996</v>
      </c>
      <c r="O2458" s="1465"/>
    </row>
    <row r="2459" spans="11:15">
      <c r="K2459" s="1462">
        <v>44516</v>
      </c>
      <c r="L2459" s="1463" t="s">
        <v>2127</v>
      </c>
      <c r="M2459" s="1464">
        <v>2.9256000000000001E-2</v>
      </c>
      <c r="N2459" s="1465">
        <v>1.6705278223689934</v>
      </c>
      <c r="O2459" s="1465"/>
    </row>
    <row r="2460" spans="11:15">
      <c r="K2460" s="1462">
        <v>44517</v>
      </c>
      <c r="L2460" s="1463" t="s">
        <v>2127</v>
      </c>
      <c r="M2460" s="1464">
        <v>2.9256000000000001E-2</v>
      </c>
      <c r="N2460" s="1465">
        <v>1.6710165519887059</v>
      </c>
      <c r="O2460" s="1465"/>
    </row>
    <row r="2461" spans="11:15">
      <c r="K2461" s="1462">
        <v>44518</v>
      </c>
      <c r="L2461" s="1463" t="s">
        <v>2127</v>
      </c>
      <c r="M2461" s="1464">
        <v>2.9256000000000001E-2</v>
      </c>
      <c r="N2461" s="1465">
        <v>1.6715054245911558</v>
      </c>
      <c r="O2461" s="1465"/>
    </row>
    <row r="2462" spans="11:15">
      <c r="K2462" s="1462">
        <v>44519</v>
      </c>
      <c r="L2462" s="1463" t="s">
        <v>2127</v>
      </c>
      <c r="M2462" s="1464">
        <v>2.9256000000000001E-2</v>
      </c>
      <c r="N2462" s="1465">
        <v>1.6719944402181743</v>
      </c>
      <c r="O2462" s="1465"/>
    </row>
    <row r="2463" spans="11:15">
      <c r="K2463" s="1462">
        <v>44520</v>
      </c>
      <c r="L2463" s="1463"/>
      <c r="M2463" s="1464">
        <v>0</v>
      </c>
      <c r="N2463" s="1465">
        <v>1.6719944402181743</v>
      </c>
      <c r="O2463" s="1465"/>
    </row>
    <row r="2464" spans="11:15">
      <c r="K2464" s="1462">
        <v>44521</v>
      </c>
      <c r="L2464" s="1463"/>
      <c r="M2464" s="1464">
        <v>0</v>
      </c>
      <c r="N2464" s="1465">
        <v>1.6719944402181743</v>
      </c>
      <c r="O2464" s="1465"/>
    </row>
    <row r="2465" spans="11:15">
      <c r="K2465" s="1462">
        <v>44522</v>
      </c>
      <c r="L2465" s="1463" t="s">
        <v>2127</v>
      </c>
      <c r="M2465" s="1464">
        <v>2.9256000000000001E-2</v>
      </c>
      <c r="N2465" s="1465">
        <v>1.6724835989116047</v>
      </c>
      <c r="O2465" s="1465"/>
    </row>
    <row r="2466" spans="11:15">
      <c r="K2466" s="1462">
        <v>44523</v>
      </c>
      <c r="L2466" s="1463" t="s">
        <v>2127</v>
      </c>
      <c r="M2466" s="1464">
        <v>2.9256000000000001E-2</v>
      </c>
      <c r="N2466" s="1465">
        <v>1.6729729007133025</v>
      </c>
      <c r="O2466" s="1465"/>
    </row>
    <row r="2467" spans="11:15">
      <c r="K2467" s="1462">
        <v>44524</v>
      </c>
      <c r="L2467" s="1463" t="s">
        <v>2127</v>
      </c>
      <c r="M2467" s="1464">
        <v>2.9256000000000001E-2</v>
      </c>
      <c r="N2467" s="1465">
        <v>1.6734623456651354</v>
      </c>
      <c r="O2467" s="1465"/>
    </row>
    <row r="2468" spans="11:15">
      <c r="K2468" s="1462">
        <v>44525</v>
      </c>
      <c r="L2468" s="1463" t="s">
        <v>2127</v>
      </c>
      <c r="M2468" s="1464">
        <v>2.9256000000000001E-2</v>
      </c>
      <c r="N2468" s="1465">
        <v>1.6739519338089834</v>
      </c>
      <c r="O2468" s="1465"/>
    </row>
    <row r="2469" spans="11:15">
      <c r="K2469" s="1462">
        <v>44526</v>
      </c>
      <c r="L2469" s="1463" t="s">
        <v>2127</v>
      </c>
      <c r="M2469" s="1464">
        <v>2.9256000000000001E-2</v>
      </c>
      <c r="N2469" s="1465">
        <v>1.6744416651867389</v>
      </c>
      <c r="O2469" s="1465"/>
    </row>
    <row r="2470" spans="11:15">
      <c r="K2470" s="1462">
        <v>44527</v>
      </c>
      <c r="L2470" s="1463"/>
      <c r="M2470" s="1464">
        <v>0</v>
      </c>
      <c r="N2470" s="1465">
        <v>1.6744416651867389</v>
      </c>
      <c r="O2470" s="1465"/>
    </row>
    <row r="2471" spans="11:15">
      <c r="K2471" s="1462">
        <v>44528</v>
      </c>
      <c r="L2471" s="1463"/>
      <c r="M2471" s="1464">
        <v>0</v>
      </c>
      <c r="N2471" s="1465">
        <v>1.6744416651867389</v>
      </c>
      <c r="O2471" s="1465"/>
    </row>
    <row r="2472" spans="11:15">
      <c r="K2472" s="1462">
        <v>44529</v>
      </c>
      <c r="L2472" s="1463" t="s">
        <v>2127</v>
      </c>
      <c r="M2472" s="1464">
        <v>2.9256000000000001E-2</v>
      </c>
      <c r="N2472" s="1465">
        <v>1.6749315398403062</v>
      </c>
      <c r="O2472" s="1465"/>
    </row>
    <row r="2473" spans="11:15">
      <c r="K2473" s="1462">
        <v>44530</v>
      </c>
      <c r="L2473" s="1463" t="s">
        <v>2127</v>
      </c>
      <c r="M2473" s="1464">
        <v>2.9256000000000001E-2</v>
      </c>
      <c r="N2473" s="1465">
        <v>1.6754215578116021</v>
      </c>
      <c r="O2473" s="1465"/>
    </row>
    <row r="2474" spans="11:15">
      <c r="K2474" s="1462">
        <v>44531</v>
      </c>
      <c r="L2474" s="1463" t="s">
        <v>2127</v>
      </c>
      <c r="M2474" s="1464">
        <v>2.9256000000000001E-2</v>
      </c>
      <c r="N2474" s="1465">
        <v>1.6759117191425557</v>
      </c>
      <c r="O2474" s="1465"/>
    </row>
    <row r="2475" spans="11:15">
      <c r="K2475" s="1462">
        <v>44532</v>
      </c>
      <c r="L2475" s="1463" t="s">
        <v>2127</v>
      </c>
      <c r="M2475" s="1464">
        <v>2.9256000000000001E-2</v>
      </c>
      <c r="N2475" s="1465">
        <v>1.6764020238751083</v>
      </c>
      <c r="O2475" s="1465"/>
    </row>
    <row r="2476" spans="11:15">
      <c r="K2476" s="1462">
        <v>44533</v>
      </c>
      <c r="L2476" s="1463" t="s">
        <v>2127</v>
      </c>
      <c r="M2476" s="1464">
        <v>2.9256000000000001E-2</v>
      </c>
      <c r="N2476" s="1465">
        <v>1.6768924720512133</v>
      </c>
      <c r="O2476" s="1465"/>
    </row>
    <row r="2477" spans="11:15">
      <c r="K2477" s="1462">
        <v>44534</v>
      </c>
      <c r="L2477" s="1463"/>
      <c r="M2477" s="1464">
        <v>0</v>
      </c>
      <c r="N2477" s="1465">
        <v>1.6768924720512133</v>
      </c>
      <c r="O2477" s="1465"/>
    </row>
    <row r="2478" spans="11:15">
      <c r="K2478" s="1462">
        <v>44535</v>
      </c>
      <c r="L2478" s="1463"/>
      <c r="M2478" s="1464">
        <v>0</v>
      </c>
      <c r="N2478" s="1465">
        <v>1.6768924720512133</v>
      </c>
      <c r="O2478" s="1465"/>
    </row>
    <row r="2479" spans="11:15">
      <c r="K2479" s="1462">
        <v>44536</v>
      </c>
      <c r="L2479" s="1463" t="s">
        <v>2127</v>
      </c>
      <c r="M2479" s="1464">
        <v>2.9256000000000001E-2</v>
      </c>
      <c r="N2479" s="1465">
        <v>1.6773830637128369</v>
      </c>
      <c r="O2479" s="1465"/>
    </row>
    <row r="2480" spans="11:15">
      <c r="K2480" s="1462">
        <v>44537</v>
      </c>
      <c r="L2480" s="1463" t="s">
        <v>2127</v>
      </c>
      <c r="M2480" s="1464">
        <v>2.9256000000000001E-2</v>
      </c>
      <c r="N2480" s="1465">
        <v>1.6778737989019568</v>
      </c>
      <c r="O2480" s="1465"/>
    </row>
    <row r="2481" spans="11:15">
      <c r="K2481" s="1462">
        <v>44538</v>
      </c>
      <c r="L2481" s="1463" t="s">
        <v>2127</v>
      </c>
      <c r="M2481" s="1464">
        <v>2.9256000000000001E-2</v>
      </c>
      <c r="N2481" s="1465">
        <v>1.6783646776605636</v>
      </c>
      <c r="O2481" s="1465"/>
    </row>
    <row r="2482" spans="11:15">
      <c r="K2482" s="1462">
        <v>44539</v>
      </c>
      <c r="L2482" s="1463" t="s">
        <v>2127</v>
      </c>
      <c r="M2482" s="1464">
        <v>3.4749000000000002E-2</v>
      </c>
      <c r="N2482" s="1465">
        <v>1.678947892602404</v>
      </c>
      <c r="O2482" s="1465"/>
    </row>
    <row r="2483" spans="11:15">
      <c r="K2483" s="1462">
        <v>44540</v>
      </c>
      <c r="L2483" s="1463" t="s">
        <v>2127</v>
      </c>
      <c r="M2483" s="1464">
        <v>3.4749000000000002E-2</v>
      </c>
      <c r="N2483" s="1465">
        <v>1.6795313102056044</v>
      </c>
      <c r="O2483" s="1465"/>
    </row>
    <row r="2484" spans="11:15">
      <c r="K2484" s="1462">
        <v>44541</v>
      </c>
      <c r="L2484" s="1463"/>
      <c r="M2484" s="1464">
        <v>0</v>
      </c>
      <c r="N2484" s="1465">
        <v>1.6795313102056044</v>
      </c>
      <c r="O2484" s="1465"/>
    </row>
    <row r="2485" spans="11:15">
      <c r="K2485" s="1462">
        <v>44542</v>
      </c>
      <c r="L2485" s="1463"/>
      <c r="M2485" s="1464">
        <v>0</v>
      </c>
      <c r="N2485" s="1465">
        <v>1.6795313102056044</v>
      </c>
      <c r="O2485" s="1465"/>
    </row>
    <row r="2486" spans="11:15">
      <c r="K2486" s="1462">
        <v>44543</v>
      </c>
      <c r="L2486" s="1463" t="s">
        <v>2127</v>
      </c>
      <c r="M2486" s="1464">
        <v>3.4749000000000002E-2</v>
      </c>
      <c r="N2486" s="1465">
        <v>1.6801149305405878</v>
      </c>
      <c r="O2486" s="1465"/>
    </row>
    <row r="2487" spans="11:15">
      <c r="K2487" s="1462">
        <v>44544</v>
      </c>
      <c r="L2487" s="1463" t="s">
        <v>2127</v>
      </c>
      <c r="M2487" s="1464">
        <v>3.4749000000000002E-2</v>
      </c>
      <c r="N2487" s="1465">
        <v>1.6806987536778013</v>
      </c>
      <c r="O2487" s="1465"/>
    </row>
    <row r="2488" spans="11:15">
      <c r="K2488" s="1462">
        <v>44545</v>
      </c>
      <c r="L2488" s="1463" t="s">
        <v>2127</v>
      </c>
      <c r="M2488" s="1464">
        <v>3.4749000000000002E-2</v>
      </c>
      <c r="N2488" s="1465">
        <v>1.6812827796877168</v>
      </c>
      <c r="O2488" s="1465"/>
    </row>
    <row r="2489" spans="11:15">
      <c r="K2489" s="1462">
        <v>44546</v>
      </c>
      <c r="L2489" s="1463" t="s">
        <v>2127</v>
      </c>
      <c r="M2489" s="1464">
        <v>3.4749000000000002E-2</v>
      </c>
      <c r="N2489" s="1465">
        <v>1.6818670086408305</v>
      </c>
      <c r="O2489" s="1465"/>
    </row>
    <row r="2490" spans="11:15">
      <c r="K2490" s="1462">
        <v>44547</v>
      </c>
      <c r="L2490" s="1463" t="s">
        <v>2127</v>
      </c>
      <c r="M2490" s="1464">
        <v>3.4749000000000002E-2</v>
      </c>
      <c r="N2490" s="1465">
        <v>1.6824514406076632</v>
      </c>
      <c r="O2490" s="1465"/>
    </row>
    <row r="2491" spans="11:15">
      <c r="K2491" s="1462">
        <v>44548</v>
      </c>
      <c r="L2491" s="1463"/>
      <c r="M2491" s="1464">
        <v>0</v>
      </c>
      <c r="N2491" s="1465">
        <v>1.6824514406076632</v>
      </c>
      <c r="O2491" s="1465"/>
    </row>
    <row r="2492" spans="11:15">
      <c r="K2492" s="1462">
        <v>44549</v>
      </c>
      <c r="L2492" s="1463"/>
      <c r="M2492" s="1464">
        <v>0</v>
      </c>
      <c r="N2492" s="1465">
        <v>1.6824514406076632</v>
      </c>
      <c r="O2492" s="1465"/>
    </row>
    <row r="2493" spans="11:15">
      <c r="K2493" s="1462">
        <v>44550</v>
      </c>
      <c r="L2493" s="1463" t="s">
        <v>2127</v>
      </c>
      <c r="M2493" s="1464">
        <v>3.4749000000000002E-2</v>
      </c>
      <c r="N2493" s="1465">
        <v>1.6830360756587599</v>
      </c>
      <c r="O2493" s="1465"/>
    </row>
    <row r="2494" spans="11:15">
      <c r="K2494" s="1462">
        <v>44551</v>
      </c>
      <c r="L2494" s="1463" t="s">
        <v>2127</v>
      </c>
      <c r="M2494" s="1464">
        <v>3.4749000000000002E-2</v>
      </c>
      <c r="N2494" s="1465">
        <v>1.6836209138646905</v>
      </c>
      <c r="O2494" s="1465"/>
    </row>
    <row r="2495" spans="11:15">
      <c r="K2495" s="1462">
        <v>44552</v>
      </c>
      <c r="L2495" s="1463" t="s">
        <v>2127</v>
      </c>
      <c r="M2495" s="1464">
        <v>3.4749000000000002E-2</v>
      </c>
      <c r="N2495" s="1465">
        <v>1.6842059552960493</v>
      </c>
      <c r="O2495" s="1465"/>
    </row>
    <row r="2496" spans="11:15">
      <c r="K2496" s="1462">
        <v>44553</v>
      </c>
      <c r="L2496" s="1463" t="s">
        <v>2127</v>
      </c>
      <c r="M2496" s="1464">
        <v>3.4749000000000002E-2</v>
      </c>
      <c r="N2496" s="1465">
        <v>1.6847912000234551</v>
      </c>
      <c r="O2496" s="1465"/>
    </row>
    <row r="2497" spans="11:15">
      <c r="K2497" s="1462">
        <v>44554</v>
      </c>
      <c r="L2497" s="1463" t="s">
        <v>2127</v>
      </c>
      <c r="M2497" s="1464">
        <v>3.4749000000000002E-2</v>
      </c>
      <c r="N2497" s="1465">
        <v>1.6853766481175512</v>
      </c>
      <c r="O2497" s="1465"/>
    </row>
    <row r="2498" spans="11:15">
      <c r="K2498" s="1462">
        <v>44555</v>
      </c>
      <c r="L2498" s="1463"/>
      <c r="M2498" s="1464">
        <v>0</v>
      </c>
      <c r="N2498" s="1465">
        <v>1.6853766481175512</v>
      </c>
      <c r="O2498" s="1465"/>
    </row>
    <row r="2499" spans="11:15">
      <c r="K2499" s="1462">
        <v>44556</v>
      </c>
      <c r="L2499" s="1463"/>
      <c r="M2499" s="1464">
        <v>0</v>
      </c>
      <c r="N2499" s="1465">
        <v>1.6853766481175512</v>
      </c>
      <c r="O2499" s="1465"/>
    </row>
    <row r="2500" spans="11:15">
      <c r="K2500" s="1462">
        <v>44557</v>
      </c>
      <c r="L2500" s="1463" t="s">
        <v>2127</v>
      </c>
      <c r="M2500" s="1464">
        <v>3.4749000000000002E-2</v>
      </c>
      <c r="N2500" s="1465">
        <v>1.6859622996490056</v>
      </c>
      <c r="O2500" s="1465"/>
    </row>
    <row r="2501" spans="11:15">
      <c r="K2501" s="1462">
        <v>44558</v>
      </c>
      <c r="L2501" s="1463" t="s">
        <v>2127</v>
      </c>
      <c r="M2501" s="1464">
        <v>3.4749000000000002E-2</v>
      </c>
      <c r="N2501" s="1465">
        <v>1.6865481546885106</v>
      </c>
      <c r="O2501" s="1465"/>
    </row>
    <row r="2502" spans="11:15">
      <c r="K2502" s="1462">
        <v>44559</v>
      </c>
      <c r="L2502" s="1463" t="s">
        <v>2127</v>
      </c>
      <c r="M2502" s="1464">
        <v>3.4749000000000002E-2</v>
      </c>
      <c r="N2502" s="1465">
        <v>1.6871342133067833</v>
      </c>
      <c r="O2502" s="1465"/>
    </row>
    <row r="2503" spans="11:15">
      <c r="K2503" s="1462">
        <v>44560</v>
      </c>
      <c r="L2503" s="1463" t="s">
        <v>2127</v>
      </c>
      <c r="M2503" s="1464">
        <v>3.4749000000000002E-2</v>
      </c>
      <c r="N2503" s="1465">
        <v>1.6877204755745652</v>
      </c>
      <c r="O2503" s="1465"/>
    </row>
    <row r="2504" spans="11:15">
      <c r="K2504" s="1462">
        <v>44561</v>
      </c>
      <c r="L2504" s="1463" t="s">
        <v>2127</v>
      </c>
      <c r="M2504" s="1464">
        <v>3.4749000000000002E-2</v>
      </c>
      <c r="N2504" s="1465">
        <v>1.6883069415626226</v>
      </c>
      <c r="O2504" s="1465"/>
    </row>
    <row r="2505" spans="11:15">
      <c r="K2505" s="1462">
        <v>44562</v>
      </c>
      <c r="L2505" s="1463"/>
      <c r="M2505" s="1464">
        <v>0</v>
      </c>
      <c r="N2505" s="1465">
        <v>1.6883069415626226</v>
      </c>
      <c r="O2505" s="1465"/>
    </row>
    <row r="2506" spans="11:15">
      <c r="K2506" s="1462">
        <v>44563</v>
      </c>
      <c r="L2506" s="1463"/>
      <c r="M2506" s="1464">
        <v>0</v>
      </c>
      <c r="N2506" s="1465">
        <v>1.6883069415626226</v>
      </c>
      <c r="O2506" s="1465"/>
    </row>
    <row r="2507" spans="11:15">
      <c r="K2507" s="1462">
        <v>44564</v>
      </c>
      <c r="L2507" s="1463" t="s">
        <v>2127</v>
      </c>
      <c r="M2507" s="1464">
        <v>3.4749000000000002E-2</v>
      </c>
      <c r="N2507" s="1465">
        <v>1.6888936113417463</v>
      </c>
      <c r="O2507" s="1465"/>
    </row>
    <row r="2508" spans="11:15">
      <c r="K2508" s="1462">
        <v>44565</v>
      </c>
      <c r="L2508" s="1463" t="s">
        <v>2127</v>
      </c>
      <c r="M2508" s="1464">
        <v>3.4749000000000002E-2</v>
      </c>
      <c r="N2508" s="1465">
        <v>1.6894804849827514</v>
      </c>
      <c r="O2508" s="1465"/>
    </row>
    <row r="2509" spans="11:15">
      <c r="K2509" s="1462">
        <v>44566</v>
      </c>
      <c r="L2509" s="1463" t="s">
        <v>2127</v>
      </c>
      <c r="M2509" s="1464">
        <v>3.4749000000000002E-2</v>
      </c>
      <c r="N2509" s="1465">
        <v>1.6900675625564781</v>
      </c>
      <c r="O2509" s="1465"/>
    </row>
    <row r="2510" spans="11:15">
      <c r="K2510" s="1462">
        <v>44567</v>
      </c>
      <c r="L2510" s="1463" t="s">
        <v>2127</v>
      </c>
      <c r="M2510" s="1464">
        <v>3.4749000000000002E-2</v>
      </c>
      <c r="N2510" s="1465">
        <v>1.6906548441337907</v>
      </c>
      <c r="O2510" s="1465"/>
    </row>
    <row r="2511" spans="11:15">
      <c r="K2511" s="1462">
        <v>44568</v>
      </c>
      <c r="L2511" s="1463" t="s">
        <v>2127</v>
      </c>
      <c r="M2511" s="1464">
        <v>3.4749000000000002E-2</v>
      </c>
      <c r="N2511" s="1465">
        <v>1.6912423297855788</v>
      </c>
      <c r="O2511" s="1465"/>
    </row>
    <row r="2512" spans="11:15">
      <c r="K2512" s="1462">
        <v>44569</v>
      </c>
      <c r="L2512" s="1463"/>
      <c r="M2512" s="1464">
        <v>0</v>
      </c>
      <c r="N2512" s="1465">
        <v>1.6912423297855788</v>
      </c>
      <c r="O2512" s="1465"/>
    </row>
    <row r="2513" spans="11:15">
      <c r="K2513" s="1462">
        <v>44570</v>
      </c>
      <c r="L2513" s="1463"/>
      <c r="M2513" s="1464">
        <v>0</v>
      </c>
      <c r="N2513" s="1465">
        <v>1.6912423297855788</v>
      </c>
      <c r="O2513" s="1465"/>
    </row>
    <row r="2514" spans="11:15">
      <c r="K2514" s="1462">
        <v>44571</v>
      </c>
      <c r="L2514" s="1463" t="s">
        <v>2127</v>
      </c>
      <c r="M2514" s="1464">
        <v>3.4749000000000002E-2</v>
      </c>
      <c r="N2514" s="1465">
        <v>1.691830019582756</v>
      </c>
      <c r="O2514" s="1465"/>
    </row>
    <row r="2515" spans="11:15">
      <c r="K2515" s="1462">
        <v>44572</v>
      </c>
      <c r="L2515" s="1463" t="s">
        <v>2127</v>
      </c>
      <c r="M2515" s="1464">
        <v>3.4749000000000002E-2</v>
      </c>
      <c r="N2515" s="1465">
        <v>1.6924179135962609</v>
      </c>
      <c r="O2515" s="1465"/>
    </row>
    <row r="2516" spans="11:15">
      <c r="K2516" s="1462">
        <v>44573</v>
      </c>
      <c r="L2516" s="1463" t="s">
        <v>2127</v>
      </c>
      <c r="M2516" s="1464">
        <v>3.4749000000000002E-2</v>
      </c>
      <c r="N2516" s="1465">
        <v>1.6930060118970565</v>
      </c>
      <c r="O2516" s="1465"/>
    </row>
    <row r="2517" spans="11:15">
      <c r="K2517" s="1462">
        <v>44574</v>
      </c>
      <c r="L2517" s="1463" t="s">
        <v>2127</v>
      </c>
      <c r="M2517" s="1464">
        <v>3.4749000000000002E-2</v>
      </c>
      <c r="N2517" s="1465">
        <v>1.6935943145561305</v>
      </c>
      <c r="O2517" s="1465"/>
    </row>
    <row r="2518" spans="11:15">
      <c r="K2518" s="1462">
        <v>44575</v>
      </c>
      <c r="L2518" s="1463" t="s">
        <v>2127</v>
      </c>
      <c r="M2518" s="1464">
        <v>3.4749000000000002E-2</v>
      </c>
      <c r="N2518" s="1465">
        <v>1.6941828216444956</v>
      </c>
      <c r="O2518" s="1465"/>
    </row>
    <row r="2519" spans="11:15">
      <c r="K2519" s="1462">
        <v>44576</v>
      </c>
      <c r="L2519" s="1463"/>
      <c r="M2519" s="1464">
        <v>0</v>
      </c>
      <c r="N2519" s="1465">
        <v>1.6941828216444956</v>
      </c>
      <c r="O2519" s="1465"/>
    </row>
    <row r="2520" spans="11:15">
      <c r="K2520" s="1462">
        <v>44577</v>
      </c>
      <c r="L2520" s="1463"/>
      <c r="M2520" s="1464">
        <v>0</v>
      </c>
      <c r="N2520" s="1465">
        <v>1.6941828216444956</v>
      </c>
      <c r="O2520" s="1465"/>
    </row>
    <row r="2521" spans="11:15">
      <c r="K2521" s="1462">
        <v>44578</v>
      </c>
      <c r="L2521" s="1463" t="s">
        <v>2127</v>
      </c>
      <c r="M2521" s="1464">
        <v>3.4749000000000002E-2</v>
      </c>
      <c r="N2521" s="1465">
        <v>1.694771533233189</v>
      </c>
      <c r="O2521" s="1465"/>
    </row>
    <row r="2522" spans="11:15">
      <c r="K2522" s="1462">
        <v>44579</v>
      </c>
      <c r="L2522" s="1463" t="s">
        <v>2127</v>
      </c>
      <c r="M2522" s="1464">
        <v>3.4749000000000002E-2</v>
      </c>
      <c r="N2522" s="1465">
        <v>1.6953604493932721</v>
      </c>
      <c r="O2522" s="1465"/>
    </row>
    <row r="2523" spans="11:15">
      <c r="K2523" s="1462">
        <v>44580</v>
      </c>
      <c r="L2523" s="1463" t="s">
        <v>2127</v>
      </c>
      <c r="M2523" s="1464">
        <v>3.4749000000000002E-2</v>
      </c>
      <c r="N2523" s="1465">
        <v>1.6959495701958318</v>
      </c>
      <c r="O2523" s="1465"/>
    </row>
    <row r="2524" spans="11:15">
      <c r="K2524" s="1462">
        <v>44581</v>
      </c>
      <c r="L2524" s="1463" t="s">
        <v>2127</v>
      </c>
      <c r="M2524" s="1464">
        <v>3.4749000000000002E-2</v>
      </c>
      <c r="N2524" s="1465">
        <v>1.6965388957119791</v>
      </c>
      <c r="O2524" s="1465"/>
    </row>
    <row r="2525" spans="11:15">
      <c r="K2525" s="1462">
        <v>44582</v>
      </c>
      <c r="L2525" s="1463" t="s">
        <v>2127</v>
      </c>
      <c r="M2525" s="1464">
        <v>3.4749000000000002E-2</v>
      </c>
      <c r="N2525" s="1465">
        <v>1.6971284260128501</v>
      </c>
      <c r="O2525" s="1465"/>
    </row>
    <row r="2526" spans="11:15">
      <c r="K2526" s="1462">
        <v>44583</v>
      </c>
      <c r="L2526" s="1463"/>
      <c r="M2526" s="1464">
        <v>0</v>
      </c>
      <c r="N2526" s="1465">
        <v>1.6971284260128501</v>
      </c>
      <c r="O2526" s="1465"/>
    </row>
    <row r="2527" spans="11:15">
      <c r="K2527" s="1462">
        <v>44584</v>
      </c>
      <c r="L2527" s="1463"/>
      <c r="M2527" s="1464">
        <v>0</v>
      </c>
      <c r="N2527" s="1465">
        <v>1.6971284260128501</v>
      </c>
      <c r="O2527" s="1465"/>
    </row>
    <row r="2528" spans="11:15">
      <c r="K2528" s="1462">
        <v>44585</v>
      </c>
      <c r="L2528" s="1463" t="s">
        <v>2127</v>
      </c>
      <c r="M2528" s="1464">
        <v>3.4749000000000002E-2</v>
      </c>
      <c r="N2528" s="1465">
        <v>1.6977181611696053</v>
      </c>
      <c r="O2528" s="1465"/>
    </row>
    <row r="2529" spans="11:15">
      <c r="K2529" s="1462">
        <v>44586</v>
      </c>
      <c r="L2529" s="1463" t="s">
        <v>2127</v>
      </c>
      <c r="M2529" s="1464">
        <v>3.4749000000000002E-2</v>
      </c>
      <c r="N2529" s="1465">
        <v>1.69830810125343</v>
      </c>
      <c r="O2529" s="1465"/>
    </row>
    <row r="2530" spans="11:15">
      <c r="K2530" s="1462">
        <v>44587</v>
      </c>
      <c r="L2530" s="1463" t="s">
        <v>2127</v>
      </c>
      <c r="M2530" s="1464">
        <v>3.4749000000000002E-2</v>
      </c>
      <c r="N2530" s="1465">
        <v>1.6988982463355347</v>
      </c>
      <c r="O2530" s="1465"/>
    </row>
    <row r="2531" spans="11:15">
      <c r="K2531" s="1462">
        <v>44588</v>
      </c>
      <c r="L2531" s="1463" t="s">
        <v>2127</v>
      </c>
      <c r="M2531" s="1464">
        <v>3.4749000000000002E-2</v>
      </c>
      <c r="N2531" s="1465">
        <v>1.6994885964871538</v>
      </c>
      <c r="O2531" s="1465"/>
    </row>
    <row r="2532" spans="11:15">
      <c r="K2532" s="1462">
        <v>44589</v>
      </c>
      <c r="L2532" s="1463" t="s">
        <v>2127</v>
      </c>
      <c r="M2532" s="1464">
        <v>3.4749000000000002E-2</v>
      </c>
      <c r="N2532" s="1465">
        <v>1.700079151779547</v>
      </c>
      <c r="O2532" s="1465"/>
    </row>
    <row r="2533" spans="11:15">
      <c r="K2533" s="1462">
        <v>44590</v>
      </c>
      <c r="L2533" s="1463"/>
      <c r="M2533" s="1464">
        <v>0</v>
      </c>
      <c r="N2533" s="1465">
        <v>1.700079151779547</v>
      </c>
      <c r="O2533" s="1465"/>
    </row>
    <row r="2534" spans="11:15">
      <c r="K2534" s="1462">
        <v>44591</v>
      </c>
      <c r="L2534" s="1463"/>
      <c r="M2534" s="1464">
        <v>0</v>
      </c>
      <c r="N2534" s="1465">
        <v>1.700079151779547</v>
      </c>
      <c r="O2534" s="1465"/>
    </row>
    <row r="2535" spans="11:15">
      <c r="K2535" s="1462">
        <v>44592</v>
      </c>
      <c r="L2535" s="1463" t="s">
        <v>2127</v>
      </c>
      <c r="M2535" s="1464">
        <v>3.4749000000000002E-2</v>
      </c>
      <c r="N2535" s="1465">
        <v>1.700669912283999</v>
      </c>
      <c r="O2535" s="1465"/>
    </row>
    <row r="2536" spans="11:15">
      <c r="K2536" s="1462">
        <v>44593</v>
      </c>
      <c r="L2536" s="1463" t="s">
        <v>2127</v>
      </c>
      <c r="M2536" s="1464">
        <v>3.4749000000000002E-2</v>
      </c>
      <c r="N2536" s="1465">
        <v>1.7012608780718186</v>
      </c>
      <c r="O2536" s="1465"/>
    </row>
    <row r="2537" spans="11:15">
      <c r="K2537" s="1462">
        <v>44594</v>
      </c>
      <c r="L2537" s="1463" t="s">
        <v>2127</v>
      </c>
      <c r="M2537" s="1464">
        <v>3.4749000000000002E-2</v>
      </c>
      <c r="N2537" s="1465">
        <v>1.7018520492143399</v>
      </c>
      <c r="O2537" s="1465"/>
    </row>
    <row r="2538" spans="11:15">
      <c r="K2538" s="1462">
        <v>44595</v>
      </c>
      <c r="L2538" s="1463" t="s">
        <v>2127</v>
      </c>
      <c r="M2538" s="1464">
        <v>4.0168000000000002E-2</v>
      </c>
      <c r="N2538" s="1465">
        <v>1.7025356491454682</v>
      </c>
      <c r="O2538" s="1465"/>
    </row>
    <row r="2539" spans="11:15">
      <c r="K2539" s="1462">
        <v>44596</v>
      </c>
      <c r="L2539" s="1463" t="s">
        <v>2127</v>
      </c>
      <c r="M2539" s="1464">
        <v>4.0168000000000002E-2</v>
      </c>
      <c r="N2539" s="1465">
        <v>1.7032195236650169</v>
      </c>
      <c r="O2539" s="1465"/>
    </row>
    <row r="2540" spans="11:15">
      <c r="K2540" s="1462">
        <v>44597</v>
      </c>
      <c r="L2540" s="1463"/>
      <c r="M2540" s="1464">
        <v>0</v>
      </c>
      <c r="N2540" s="1465">
        <v>1.7032195236650169</v>
      </c>
      <c r="O2540" s="1465"/>
    </row>
    <row r="2541" spans="11:15">
      <c r="K2541" s="1462">
        <v>44598</v>
      </c>
      <c r="L2541" s="1463"/>
      <c r="M2541" s="1464">
        <v>0</v>
      </c>
      <c r="N2541" s="1465">
        <v>1.7032195236650169</v>
      </c>
      <c r="O2541" s="1465"/>
    </row>
    <row r="2542" spans="11:15">
      <c r="K2542" s="1462">
        <v>44599</v>
      </c>
      <c r="L2542" s="1463" t="s">
        <v>2127</v>
      </c>
      <c r="M2542" s="1464">
        <v>4.0168000000000002E-2</v>
      </c>
      <c r="N2542" s="1465">
        <v>1.7039036728832826</v>
      </c>
      <c r="O2542" s="1465"/>
    </row>
    <row r="2543" spans="11:15">
      <c r="K2543" s="1462">
        <v>44600</v>
      </c>
      <c r="L2543" s="1463" t="s">
        <v>2127</v>
      </c>
      <c r="M2543" s="1464">
        <v>4.0168000000000002E-2</v>
      </c>
      <c r="N2543" s="1465">
        <v>1.7045880969106062</v>
      </c>
      <c r="O2543" s="1465"/>
    </row>
    <row r="2544" spans="11:15">
      <c r="K2544" s="1462">
        <v>44601</v>
      </c>
      <c r="L2544" s="1463" t="s">
        <v>2127</v>
      </c>
      <c r="M2544" s="1464">
        <v>4.0168000000000002E-2</v>
      </c>
      <c r="N2544" s="1465">
        <v>1.7052727958573732</v>
      </c>
      <c r="O2544" s="1465"/>
    </row>
    <row r="2545" spans="11:15">
      <c r="K2545" s="1462">
        <v>44602</v>
      </c>
      <c r="L2545" s="1463" t="s">
        <v>2127</v>
      </c>
      <c r="M2545" s="1464">
        <v>4.0168000000000002E-2</v>
      </c>
      <c r="N2545" s="1465">
        <v>1.7059577698340131</v>
      </c>
      <c r="O2545" s="1465"/>
    </row>
    <row r="2546" spans="11:15">
      <c r="K2546" s="1462">
        <v>44603</v>
      </c>
      <c r="L2546" s="1463" t="s">
        <v>2127</v>
      </c>
      <c r="M2546" s="1464">
        <v>4.0168000000000002E-2</v>
      </c>
      <c r="N2546" s="1465">
        <v>1.706643018951</v>
      </c>
      <c r="O2546" s="1465"/>
    </row>
    <row r="2547" spans="11:15">
      <c r="K2547" s="1462">
        <v>44604</v>
      </c>
      <c r="L2547" s="1463"/>
      <c r="M2547" s="1464">
        <v>0</v>
      </c>
      <c r="N2547" s="1465">
        <v>1.706643018951</v>
      </c>
      <c r="O2547" s="1465"/>
    </row>
    <row r="2548" spans="11:15">
      <c r="K2548" s="1462">
        <v>44605</v>
      </c>
      <c r="L2548" s="1463"/>
      <c r="M2548" s="1464">
        <v>0</v>
      </c>
      <c r="N2548" s="1465">
        <v>1.706643018951</v>
      </c>
      <c r="O2548" s="1465"/>
    </row>
    <row r="2549" spans="11:15">
      <c r="K2549" s="1462">
        <v>44606</v>
      </c>
      <c r="L2549" s="1463" t="s">
        <v>2127</v>
      </c>
      <c r="M2549" s="1464">
        <v>4.0168000000000002E-2</v>
      </c>
      <c r="N2549" s="1465">
        <v>1.7073285433188521</v>
      </c>
      <c r="O2549" s="1465"/>
    </row>
    <row r="2550" spans="11:15">
      <c r="K2550" s="1462">
        <v>44607</v>
      </c>
      <c r="L2550" s="1463" t="s">
        <v>2127</v>
      </c>
      <c r="M2550" s="1464">
        <v>4.0168000000000002E-2</v>
      </c>
      <c r="N2550" s="1465">
        <v>1.7080143430481323</v>
      </c>
      <c r="O2550" s="1465"/>
    </row>
    <row r="2551" spans="11:15">
      <c r="K2551" s="1462">
        <v>44608</v>
      </c>
      <c r="L2551" s="1463" t="s">
        <v>2127</v>
      </c>
      <c r="M2551" s="1464">
        <v>4.0168000000000002E-2</v>
      </c>
      <c r="N2551" s="1465">
        <v>1.7087004182494478</v>
      </c>
      <c r="O2551" s="1465"/>
    </row>
    <row r="2552" spans="11:15">
      <c r="K2552" s="1462">
        <v>44609</v>
      </c>
      <c r="L2552" s="1463" t="s">
        <v>2127</v>
      </c>
      <c r="M2552" s="1464">
        <v>4.0168000000000002E-2</v>
      </c>
      <c r="N2552" s="1465">
        <v>1.7093867690334503</v>
      </c>
      <c r="O2552" s="1465"/>
    </row>
    <row r="2553" spans="11:15">
      <c r="K2553" s="1462">
        <v>44610</v>
      </c>
      <c r="L2553" s="1463" t="s">
        <v>2127</v>
      </c>
      <c r="M2553" s="1464">
        <v>4.0168000000000002E-2</v>
      </c>
      <c r="N2553" s="1465">
        <v>1.7100733955108356</v>
      </c>
      <c r="O2553" s="1465"/>
    </row>
    <row r="2554" spans="11:15">
      <c r="K2554" s="1462">
        <v>44611</v>
      </c>
      <c r="L2554" s="1463"/>
      <c r="M2554" s="1464">
        <v>0</v>
      </c>
      <c r="N2554" s="1465">
        <v>1.7100733955108356</v>
      </c>
      <c r="O2554" s="1465"/>
    </row>
    <row r="2555" spans="11:15">
      <c r="K2555" s="1462">
        <v>44612</v>
      </c>
      <c r="L2555" s="1463"/>
      <c r="M2555" s="1464">
        <v>0</v>
      </c>
      <c r="N2555" s="1465">
        <v>1.7100733955108356</v>
      </c>
      <c r="O2555" s="1465"/>
    </row>
    <row r="2556" spans="11:15">
      <c r="K2556" s="1462">
        <v>44613</v>
      </c>
      <c r="L2556" s="1463" t="s">
        <v>2127</v>
      </c>
      <c r="M2556" s="1464">
        <v>4.0168000000000002E-2</v>
      </c>
      <c r="N2556" s="1465">
        <v>1.7107602977923444</v>
      </c>
      <c r="O2556" s="1465"/>
    </row>
    <row r="2557" spans="11:15">
      <c r="K2557" s="1462">
        <v>44614</v>
      </c>
      <c r="L2557" s="1463" t="s">
        <v>2127</v>
      </c>
      <c r="M2557" s="1464">
        <v>4.0168000000000002E-2</v>
      </c>
      <c r="N2557" s="1465">
        <v>1.7114474759887615</v>
      </c>
      <c r="O2557" s="1465"/>
    </row>
    <row r="2558" spans="11:15">
      <c r="K2558" s="1462">
        <v>44615</v>
      </c>
      <c r="L2558" s="1463" t="s">
        <v>2127</v>
      </c>
      <c r="M2558" s="1464">
        <v>4.0168000000000002E-2</v>
      </c>
      <c r="N2558" s="1465">
        <v>1.7121349302109166</v>
      </c>
      <c r="O2558" s="1465"/>
    </row>
    <row r="2559" spans="11:15">
      <c r="K2559" s="1462">
        <v>44616</v>
      </c>
      <c r="L2559" s="1463" t="s">
        <v>2127</v>
      </c>
      <c r="M2559" s="1464">
        <v>4.0168000000000002E-2</v>
      </c>
      <c r="N2559" s="1465">
        <v>1.7128226605696837</v>
      </c>
      <c r="O2559" s="1465"/>
    </row>
    <row r="2560" spans="11:15">
      <c r="K2560" s="1462">
        <v>44617</v>
      </c>
      <c r="L2560" s="1463" t="s">
        <v>2127</v>
      </c>
      <c r="M2560" s="1464">
        <v>4.0168000000000002E-2</v>
      </c>
      <c r="N2560" s="1465">
        <v>1.7135106671759812</v>
      </c>
      <c r="O2560" s="1465"/>
    </row>
    <row r="2561" spans="11:15">
      <c r="K2561" s="1462">
        <v>44618</v>
      </c>
      <c r="L2561" s="1463"/>
      <c r="M2561" s="1464">
        <v>0</v>
      </c>
      <c r="N2561" s="1465">
        <v>1.7135106671759812</v>
      </c>
      <c r="O2561" s="1465"/>
    </row>
    <row r="2562" spans="11:15">
      <c r="K2562" s="1462">
        <v>44619</v>
      </c>
      <c r="L2562" s="1463"/>
      <c r="M2562" s="1464">
        <v>0</v>
      </c>
      <c r="N2562" s="1465">
        <v>1.7135106671759812</v>
      </c>
      <c r="O2562" s="1465"/>
    </row>
    <row r="2563" spans="11:15">
      <c r="K2563" s="1462">
        <v>44620</v>
      </c>
      <c r="L2563" s="1463"/>
      <c r="M2563" s="1464">
        <v>0</v>
      </c>
      <c r="N2563" s="1465">
        <v>1.7135106671759812</v>
      </c>
      <c r="O2563" s="1465"/>
    </row>
    <row r="2564" spans="11:15">
      <c r="K2564" s="1462">
        <v>44621</v>
      </c>
      <c r="L2564" s="1463"/>
      <c r="M2564" s="1464">
        <v>0</v>
      </c>
      <c r="N2564" s="1465">
        <v>1.7135106671759812</v>
      </c>
      <c r="O2564" s="1465"/>
    </row>
    <row r="2565" spans="11:15">
      <c r="K2565" s="1462">
        <v>44622</v>
      </c>
      <c r="L2565" s="1463" t="s">
        <v>2127</v>
      </c>
      <c r="M2565" s="1464">
        <v>4.0168000000000002E-2</v>
      </c>
      <c r="N2565" s="1465">
        <v>1.7141989501407724</v>
      </c>
      <c r="O2565" s="1465"/>
    </row>
    <row r="2566" spans="11:15">
      <c r="K2566" s="1462">
        <v>44623</v>
      </c>
      <c r="L2566" s="1463" t="s">
        <v>2127</v>
      </c>
      <c r="M2566" s="1464">
        <v>4.0168000000000002E-2</v>
      </c>
      <c r="N2566" s="1465">
        <v>1.7148875095750649</v>
      </c>
      <c r="O2566" s="1465"/>
    </row>
    <row r="2567" spans="11:15">
      <c r="K2567" s="1462">
        <v>44624</v>
      </c>
      <c r="L2567" s="1463" t="s">
        <v>2127</v>
      </c>
      <c r="M2567" s="1464">
        <v>4.0168000000000002E-2</v>
      </c>
      <c r="N2567" s="1465">
        <v>1.7155763455899109</v>
      </c>
      <c r="O2567" s="1465"/>
    </row>
    <row r="2568" spans="11:15">
      <c r="K2568" s="1462">
        <v>44625</v>
      </c>
      <c r="L2568" s="1463"/>
      <c r="M2568" s="1464">
        <v>0</v>
      </c>
      <c r="N2568" s="1465">
        <v>1.7155763455899109</v>
      </c>
      <c r="O2568" s="1465"/>
    </row>
    <row r="2569" spans="11:15">
      <c r="K2569" s="1462">
        <v>44626</v>
      </c>
      <c r="L2569" s="1463"/>
      <c r="M2569" s="1464">
        <v>0</v>
      </c>
      <c r="N2569" s="1465">
        <v>1.7155763455899109</v>
      </c>
      <c r="O2569" s="1465"/>
    </row>
    <row r="2570" spans="11:15">
      <c r="K2570" s="1462">
        <v>44627</v>
      </c>
      <c r="L2570" s="1463" t="s">
        <v>2127</v>
      </c>
      <c r="M2570" s="1464">
        <v>4.0168000000000002E-2</v>
      </c>
      <c r="N2570" s="1465">
        <v>1.7162654582964074</v>
      </c>
      <c r="O2570" s="1465"/>
    </row>
    <row r="2571" spans="11:15">
      <c r="K2571" s="1462">
        <v>44628</v>
      </c>
      <c r="L2571" s="1463" t="s">
        <v>2127</v>
      </c>
      <c r="M2571" s="1464">
        <v>4.0168000000000002E-2</v>
      </c>
      <c r="N2571" s="1465">
        <v>1.716954847805696</v>
      </c>
      <c r="O2571" s="1465"/>
    </row>
    <row r="2572" spans="11:15">
      <c r="K2572" s="1462">
        <v>44629</v>
      </c>
      <c r="L2572" s="1463" t="s">
        <v>2127</v>
      </c>
      <c r="M2572" s="1464">
        <v>4.0168000000000002E-2</v>
      </c>
      <c r="N2572" s="1465">
        <v>1.7176445142289625</v>
      </c>
      <c r="O2572" s="1465"/>
    </row>
    <row r="2573" spans="11:15">
      <c r="K2573" s="1462">
        <v>44630</v>
      </c>
      <c r="L2573" s="1463" t="s">
        <v>2127</v>
      </c>
      <c r="M2573" s="1464">
        <v>4.0168000000000002E-2</v>
      </c>
      <c r="N2573" s="1465">
        <v>1.718334457677438</v>
      </c>
      <c r="O2573" s="1465"/>
    </row>
    <row r="2574" spans="11:15">
      <c r="K2574" s="1462">
        <v>44631</v>
      </c>
      <c r="L2574" s="1463" t="s">
        <v>2127</v>
      </c>
      <c r="M2574" s="1464">
        <v>4.0168000000000002E-2</v>
      </c>
      <c r="N2574" s="1465">
        <v>1.7190246782623977</v>
      </c>
      <c r="O2574" s="1465"/>
    </row>
    <row r="2575" spans="11:15">
      <c r="K2575" s="1462">
        <v>44632</v>
      </c>
      <c r="L2575" s="1463"/>
      <c r="M2575" s="1464">
        <v>0</v>
      </c>
      <c r="N2575" s="1465">
        <v>1.7190246782623977</v>
      </c>
      <c r="O2575" s="1465"/>
    </row>
    <row r="2576" spans="11:15">
      <c r="K2576" s="1462">
        <v>44633</v>
      </c>
      <c r="L2576" s="1463"/>
      <c r="M2576" s="1464">
        <v>0</v>
      </c>
      <c r="N2576" s="1465">
        <v>1.7190246782623977</v>
      </c>
      <c r="O2576" s="1465"/>
    </row>
    <row r="2577" spans="11:15">
      <c r="K2577" s="1462">
        <v>44634</v>
      </c>
      <c r="L2577" s="1463" t="s">
        <v>2127</v>
      </c>
      <c r="M2577" s="1464">
        <v>4.0168000000000002E-2</v>
      </c>
      <c r="N2577" s="1465">
        <v>1.7197151760951621</v>
      </c>
      <c r="O2577" s="1465"/>
    </row>
    <row r="2578" spans="11:15">
      <c r="K2578" s="1462">
        <v>44635</v>
      </c>
      <c r="L2578" s="1463" t="s">
        <v>2127</v>
      </c>
      <c r="M2578" s="1464">
        <v>4.0168000000000002E-2</v>
      </c>
      <c r="N2578" s="1465">
        <v>1.7204059512870959</v>
      </c>
      <c r="O2578" s="1465"/>
    </row>
    <row r="2579" spans="11:15">
      <c r="K2579" s="1462">
        <v>44636</v>
      </c>
      <c r="L2579" s="1463" t="s">
        <v>2127</v>
      </c>
      <c r="M2579" s="1464">
        <v>4.0168000000000002E-2</v>
      </c>
      <c r="N2579" s="1465">
        <v>1.721097003949609</v>
      </c>
      <c r="O2579" s="1465"/>
    </row>
    <row r="2580" spans="11:15">
      <c r="K2580" s="1462">
        <v>44637</v>
      </c>
      <c r="L2580" s="1463" t="s">
        <v>2127</v>
      </c>
      <c r="M2580" s="1464">
        <v>4.3739E-2</v>
      </c>
      <c r="N2580" s="1465">
        <v>1.7218497945681666</v>
      </c>
      <c r="O2580" s="1465"/>
    </row>
    <row r="2581" spans="11:15">
      <c r="K2581" s="1462">
        <v>44638</v>
      </c>
      <c r="L2581" s="1463" t="s">
        <v>2127</v>
      </c>
      <c r="M2581" s="1464">
        <v>4.3739E-2</v>
      </c>
      <c r="N2581" s="1465">
        <v>1.7226029144498129</v>
      </c>
      <c r="O2581" s="1465"/>
    </row>
    <row r="2582" spans="11:15">
      <c r="K2582" s="1462">
        <v>44639</v>
      </c>
      <c r="L2582" s="1463"/>
      <c r="M2582" s="1464">
        <v>0</v>
      </c>
      <c r="N2582" s="1465">
        <v>1.7226029144498129</v>
      </c>
      <c r="O2582" s="1465"/>
    </row>
    <row r="2583" spans="11:15">
      <c r="K2583" s="1462">
        <v>44640</v>
      </c>
      <c r="L2583" s="1463"/>
      <c r="M2583" s="1464">
        <v>0</v>
      </c>
      <c r="N2583" s="1465">
        <v>1.7226029144498129</v>
      </c>
      <c r="O2583" s="1465"/>
    </row>
    <row r="2584" spans="11:15">
      <c r="K2584" s="1462">
        <v>44641</v>
      </c>
      <c r="L2584" s="1463" t="s">
        <v>2127</v>
      </c>
      <c r="M2584" s="1464">
        <v>4.3739E-2</v>
      </c>
      <c r="N2584" s="1465">
        <v>1.7233563637385643</v>
      </c>
      <c r="O2584" s="1465"/>
    </row>
    <row r="2585" spans="11:15">
      <c r="K2585" s="1462">
        <v>44642</v>
      </c>
      <c r="L2585" s="1463" t="s">
        <v>2127</v>
      </c>
      <c r="M2585" s="1464">
        <v>4.3739E-2</v>
      </c>
      <c r="N2585" s="1465">
        <v>1.7241101425785001</v>
      </c>
      <c r="O2585" s="1465"/>
    </row>
    <row r="2586" spans="11:15">
      <c r="K2586" s="1462">
        <v>44643</v>
      </c>
      <c r="L2586" s="1463" t="s">
        <v>2127</v>
      </c>
      <c r="M2586" s="1464">
        <v>4.3739E-2</v>
      </c>
      <c r="N2586" s="1465">
        <v>1.7248642511137626</v>
      </c>
      <c r="O2586" s="1465"/>
    </row>
    <row r="2587" spans="11:15">
      <c r="K2587" s="1462">
        <v>44644</v>
      </c>
      <c r="L2587" s="1463" t="s">
        <v>2127</v>
      </c>
      <c r="M2587" s="1464">
        <v>4.3739E-2</v>
      </c>
      <c r="N2587" s="1465">
        <v>1.7256186894885575</v>
      </c>
      <c r="O2587" s="1465"/>
    </row>
    <row r="2588" spans="11:15">
      <c r="K2588" s="1462">
        <v>44645</v>
      </c>
      <c r="L2588" s="1463" t="s">
        <v>2127</v>
      </c>
      <c r="M2588" s="1464">
        <v>4.3739E-2</v>
      </c>
      <c r="N2588" s="1465">
        <v>1.726373457847153</v>
      </c>
      <c r="O2588" s="1465"/>
    </row>
    <row r="2589" spans="11:15">
      <c r="K2589" s="1462">
        <v>44646</v>
      </c>
      <c r="L2589" s="1463"/>
      <c r="M2589" s="1464">
        <v>0</v>
      </c>
      <c r="N2589" s="1465">
        <v>1.726373457847153</v>
      </c>
      <c r="O2589" s="1465"/>
    </row>
    <row r="2590" spans="11:15">
      <c r="K2590" s="1462">
        <v>44647</v>
      </c>
      <c r="L2590" s="1463"/>
      <c r="M2590" s="1464">
        <v>0</v>
      </c>
      <c r="N2590" s="1465">
        <v>1.726373457847153</v>
      </c>
      <c r="O2590" s="1465"/>
    </row>
    <row r="2591" spans="11:15">
      <c r="K2591" s="1462">
        <v>44648</v>
      </c>
      <c r="L2591" s="1463" t="s">
        <v>2127</v>
      </c>
      <c r="M2591" s="1464">
        <v>4.3739E-2</v>
      </c>
      <c r="N2591" s="1465">
        <v>1.727128556333881</v>
      </c>
      <c r="O2591" s="1465"/>
    </row>
    <row r="2592" spans="11:15">
      <c r="K2592" s="1462">
        <v>44649</v>
      </c>
      <c r="L2592" s="1463" t="s">
        <v>2127</v>
      </c>
      <c r="M2592" s="1464">
        <v>4.3739E-2</v>
      </c>
      <c r="N2592" s="1465">
        <v>1.727883985093136</v>
      </c>
      <c r="O2592" s="1465"/>
    </row>
    <row r="2593" spans="11:15">
      <c r="K2593" s="1462">
        <v>44650</v>
      </c>
      <c r="L2593" s="1463" t="s">
        <v>2127</v>
      </c>
      <c r="M2593" s="1464">
        <v>4.3739E-2</v>
      </c>
      <c r="N2593" s="1465">
        <v>1.7286397442693762</v>
      </c>
      <c r="O2593" s="1465"/>
    </row>
    <row r="2594" spans="11:15">
      <c r="K2594" s="1462">
        <v>44651</v>
      </c>
      <c r="L2594" s="1463" t="s">
        <v>2127</v>
      </c>
      <c r="M2594" s="1464">
        <v>4.3739E-2</v>
      </c>
      <c r="N2594" s="1465">
        <v>1.7293958340071223</v>
      </c>
      <c r="O2594" s="1465"/>
    </row>
    <row r="2595" spans="11:15">
      <c r="K2595" s="1462">
        <v>44652</v>
      </c>
      <c r="L2595" s="1463" t="s">
        <v>2127</v>
      </c>
      <c r="M2595" s="1464">
        <v>4.3739E-2</v>
      </c>
      <c r="N2595" s="1465">
        <v>1.7301522544509589</v>
      </c>
      <c r="O2595" s="1465"/>
    </row>
    <row r="2596" spans="11:15">
      <c r="K2596" s="1462">
        <v>44653</v>
      </c>
      <c r="L2596" s="1463"/>
      <c r="M2596" s="1464">
        <v>0</v>
      </c>
      <c r="N2596" s="1465">
        <v>1.7301522544509589</v>
      </c>
      <c r="O2596" s="1465"/>
    </row>
    <row r="2597" spans="11:15">
      <c r="K2597" s="1462">
        <v>44654</v>
      </c>
      <c r="L2597" s="1463"/>
      <c r="M2597" s="1464">
        <v>0</v>
      </c>
      <c r="N2597" s="1465">
        <v>1.7301522544509589</v>
      </c>
      <c r="O2597" s="1465"/>
    </row>
    <row r="2598" spans="11:15">
      <c r="K2598" s="1462">
        <v>44655</v>
      </c>
      <c r="L2598" s="1463" t="s">
        <v>2127</v>
      </c>
      <c r="M2598" s="1464">
        <v>4.3739E-2</v>
      </c>
      <c r="N2598" s="1465">
        <v>1.7309090057455334</v>
      </c>
      <c r="O2598" s="1465"/>
    </row>
    <row r="2599" spans="11:15">
      <c r="K2599" s="1462">
        <v>44656</v>
      </c>
      <c r="L2599" s="1463" t="s">
        <v>2127</v>
      </c>
      <c r="M2599" s="1464">
        <v>4.3739E-2</v>
      </c>
      <c r="N2599" s="1465">
        <v>1.7316660880355565</v>
      </c>
      <c r="O2599" s="1465"/>
    </row>
    <row r="2600" spans="11:15">
      <c r="K2600" s="1462">
        <v>44657</v>
      </c>
      <c r="L2600" s="1463" t="s">
        <v>2127</v>
      </c>
      <c r="M2600" s="1464">
        <v>4.3739E-2</v>
      </c>
      <c r="N2600" s="1465">
        <v>1.7324235014658025</v>
      </c>
      <c r="O2600" s="1465"/>
    </row>
    <row r="2601" spans="11:15">
      <c r="K2601" s="1462">
        <v>44658</v>
      </c>
      <c r="L2601" s="1463" t="s">
        <v>2127</v>
      </c>
      <c r="M2601" s="1464">
        <v>4.3739E-2</v>
      </c>
      <c r="N2601" s="1465">
        <v>1.7331812461811087</v>
      </c>
      <c r="O2601" s="1465"/>
    </row>
    <row r="2602" spans="11:15">
      <c r="K2602" s="1462">
        <v>44659</v>
      </c>
      <c r="L2602" s="1463" t="s">
        <v>2127</v>
      </c>
      <c r="M2602" s="1464">
        <v>4.3739E-2</v>
      </c>
      <c r="N2602" s="1465">
        <v>1.7339393223263759</v>
      </c>
      <c r="O2602" s="1465"/>
    </row>
    <row r="2603" spans="11:15">
      <c r="K2603" s="1462">
        <v>44660</v>
      </c>
      <c r="L2603" s="1463"/>
      <c r="M2603" s="1464">
        <v>0</v>
      </c>
      <c r="N2603" s="1465">
        <v>1.7339393223263759</v>
      </c>
      <c r="O2603" s="1465"/>
    </row>
    <row r="2604" spans="11:15">
      <c r="K2604" s="1462">
        <v>44661</v>
      </c>
      <c r="L2604" s="1463"/>
      <c r="M2604" s="1464">
        <v>0</v>
      </c>
      <c r="N2604" s="1465">
        <v>1.7339393223263759</v>
      </c>
      <c r="O2604" s="1465"/>
    </row>
    <row r="2605" spans="11:15">
      <c r="K2605" s="1462">
        <v>44662</v>
      </c>
      <c r="L2605" s="1463" t="s">
        <v>2127</v>
      </c>
      <c r="M2605" s="1464">
        <v>4.3739E-2</v>
      </c>
      <c r="N2605" s="1465">
        <v>1.7346977300465685</v>
      </c>
      <c r="O2605" s="1465"/>
    </row>
    <row r="2606" spans="11:15">
      <c r="K2606" s="1462">
        <v>44663</v>
      </c>
      <c r="L2606" s="1463" t="s">
        <v>2127</v>
      </c>
      <c r="M2606" s="1464">
        <v>4.3739E-2</v>
      </c>
      <c r="N2606" s="1465">
        <v>1.7354564694867136</v>
      </c>
      <c r="O2606" s="1465"/>
    </row>
    <row r="2607" spans="11:15">
      <c r="K2607" s="1462">
        <v>44664</v>
      </c>
      <c r="L2607" s="1463" t="s">
        <v>2127</v>
      </c>
      <c r="M2607" s="1464">
        <v>4.3739E-2</v>
      </c>
      <c r="N2607" s="1465">
        <v>1.7362155407919027</v>
      </c>
      <c r="O2607" s="1465"/>
    </row>
    <row r="2608" spans="11:15">
      <c r="K2608" s="1462">
        <v>44665</v>
      </c>
      <c r="L2608" s="1463" t="s">
        <v>2127</v>
      </c>
      <c r="M2608" s="1464">
        <v>4.3739E-2</v>
      </c>
      <c r="N2608" s="1465">
        <v>1.7369749441072897</v>
      </c>
      <c r="O2608" s="1465"/>
    </row>
    <row r="2609" spans="11:15">
      <c r="K2609" s="1462">
        <v>44666</v>
      </c>
      <c r="L2609" s="1463"/>
      <c r="M2609" s="1464">
        <v>0</v>
      </c>
      <c r="N2609" s="1465">
        <v>1.7369749441072897</v>
      </c>
      <c r="O2609" s="1465"/>
    </row>
    <row r="2610" spans="11:15">
      <c r="K2610" s="1462">
        <v>44667</v>
      </c>
      <c r="L2610" s="1463"/>
      <c r="M2610" s="1464">
        <v>0</v>
      </c>
      <c r="N2610" s="1465">
        <v>1.7369749441072897</v>
      </c>
      <c r="O2610" s="1465"/>
    </row>
    <row r="2611" spans="11:15">
      <c r="K2611" s="1462">
        <v>44668</v>
      </c>
      <c r="L2611" s="1463"/>
      <c r="M2611" s="1464">
        <v>0</v>
      </c>
      <c r="N2611" s="1465">
        <v>1.7369749441072897</v>
      </c>
      <c r="O2611" s="1465"/>
    </row>
    <row r="2612" spans="11:15">
      <c r="K2612" s="1462">
        <v>44669</v>
      </c>
      <c r="L2612" s="1463" t="s">
        <v>2127</v>
      </c>
      <c r="M2612" s="1464">
        <v>4.3739E-2</v>
      </c>
      <c r="N2612" s="1465">
        <v>1.737734679578093</v>
      </c>
      <c r="O2612" s="1465"/>
    </row>
    <row r="2613" spans="11:15">
      <c r="K2613" s="1462">
        <v>44670</v>
      </c>
      <c r="L2613" s="1463" t="s">
        <v>2127</v>
      </c>
      <c r="M2613" s="1464">
        <v>4.3739E-2</v>
      </c>
      <c r="N2613" s="1465">
        <v>1.7384947473495937</v>
      </c>
      <c r="O2613" s="1465"/>
    </row>
    <row r="2614" spans="11:15">
      <c r="K2614" s="1462">
        <v>44671</v>
      </c>
      <c r="L2614" s="1463" t="s">
        <v>2127</v>
      </c>
      <c r="M2614" s="1464">
        <v>4.3739E-2</v>
      </c>
      <c r="N2614" s="1465">
        <v>1.7392551475671372</v>
      </c>
      <c r="O2614" s="1465"/>
    </row>
    <row r="2615" spans="11:15">
      <c r="K2615" s="1462">
        <v>44672</v>
      </c>
      <c r="L2615" s="1463"/>
      <c r="M2615" s="1464">
        <v>0</v>
      </c>
      <c r="N2615" s="1465">
        <v>1.7392551475671372</v>
      </c>
      <c r="O2615" s="1465"/>
    </row>
    <row r="2616" spans="11:15">
      <c r="K2616" s="1462">
        <v>44673</v>
      </c>
      <c r="L2616" s="1463" t="s">
        <v>2127</v>
      </c>
      <c r="M2616" s="1464">
        <v>4.3739E-2</v>
      </c>
      <c r="N2616" s="1465">
        <v>1.7400158803761316</v>
      </c>
      <c r="O2616" s="1465"/>
    </row>
    <row r="2617" spans="11:15">
      <c r="K2617" s="1462">
        <v>44674</v>
      </c>
      <c r="L2617" s="1463"/>
      <c r="M2617" s="1464">
        <v>0</v>
      </c>
      <c r="N2617" s="1465">
        <v>1.7400158803761316</v>
      </c>
      <c r="O2617" s="1465"/>
    </row>
    <row r="2618" spans="11:15">
      <c r="K2618" s="1462">
        <v>44675</v>
      </c>
      <c r="L2618" s="1463"/>
      <c r="M2618" s="1464">
        <v>0</v>
      </c>
      <c r="N2618" s="1465">
        <v>1.7400158803761316</v>
      </c>
      <c r="O2618" s="1465"/>
    </row>
    <row r="2619" spans="11:15">
      <c r="K2619" s="1462">
        <v>44676</v>
      </c>
      <c r="L2619" s="1463" t="s">
        <v>2127</v>
      </c>
      <c r="M2619" s="1464">
        <v>4.3739E-2</v>
      </c>
      <c r="N2619" s="1465">
        <v>1.7407769459220495</v>
      </c>
      <c r="O2619" s="1465"/>
    </row>
    <row r="2620" spans="11:15">
      <c r="K2620" s="1462">
        <v>44677</v>
      </c>
      <c r="L2620" s="1463" t="s">
        <v>2127</v>
      </c>
      <c r="M2620" s="1464">
        <v>4.3739E-2</v>
      </c>
      <c r="N2620" s="1465">
        <v>1.7415383443504264</v>
      </c>
      <c r="O2620" s="1465"/>
    </row>
    <row r="2621" spans="11:15">
      <c r="K2621" s="1462">
        <v>44678</v>
      </c>
      <c r="L2621" s="1463" t="s">
        <v>2127</v>
      </c>
      <c r="M2621" s="1464">
        <v>4.3739E-2</v>
      </c>
      <c r="N2621" s="1465">
        <v>1.7423000758068621</v>
      </c>
      <c r="O2621" s="1465"/>
    </row>
    <row r="2622" spans="11:15">
      <c r="K2622" s="1462">
        <v>44679</v>
      </c>
      <c r="L2622" s="1463" t="s">
        <v>2127</v>
      </c>
      <c r="M2622" s="1464">
        <v>4.3739E-2</v>
      </c>
      <c r="N2622" s="1465">
        <v>1.7430621404370195</v>
      </c>
      <c r="O2622" s="1465"/>
    </row>
    <row r="2623" spans="11:15">
      <c r="K2623" s="1462">
        <v>44680</v>
      </c>
      <c r="L2623" s="1463" t="s">
        <v>2127</v>
      </c>
      <c r="M2623" s="1464">
        <v>4.3739E-2</v>
      </c>
      <c r="N2623" s="1465">
        <v>1.7438245383866253</v>
      </c>
      <c r="O2623" s="1465"/>
    </row>
    <row r="2624" spans="11:15">
      <c r="K2624" s="1462">
        <v>44681</v>
      </c>
      <c r="L2624" s="1463"/>
      <c r="M2624" s="1464">
        <v>0</v>
      </c>
      <c r="N2624" s="1465">
        <v>1.7438245383866253</v>
      </c>
      <c r="O2624" s="1465"/>
    </row>
    <row r="2625" spans="11:15">
      <c r="K2625" s="1462">
        <v>44682</v>
      </c>
      <c r="L2625" s="1463"/>
      <c r="M2625" s="1464">
        <v>0</v>
      </c>
      <c r="N2625" s="1465">
        <v>1.7438245383866253</v>
      </c>
      <c r="O2625" s="1465"/>
    </row>
    <row r="2626" spans="11:15">
      <c r="K2626" s="1462">
        <v>44683</v>
      </c>
      <c r="L2626" s="1463" t="s">
        <v>2127</v>
      </c>
      <c r="M2626" s="1464">
        <v>4.3739E-2</v>
      </c>
      <c r="N2626" s="1465">
        <v>1.7445872698014704</v>
      </c>
      <c r="O2626" s="1465"/>
    </row>
    <row r="2627" spans="11:15">
      <c r="K2627" s="1462">
        <v>44684</v>
      </c>
      <c r="L2627" s="1463" t="s">
        <v>2127</v>
      </c>
      <c r="M2627" s="1464">
        <v>4.3739E-2</v>
      </c>
      <c r="N2627" s="1465">
        <v>1.7453503348274091</v>
      </c>
      <c r="O2627" s="1465"/>
    </row>
    <row r="2628" spans="11:15">
      <c r="K2628" s="1462">
        <v>44685</v>
      </c>
      <c r="L2628" s="1463" t="s">
        <v>2127</v>
      </c>
      <c r="M2628" s="1464">
        <v>4.3739E-2</v>
      </c>
      <c r="N2628" s="1465">
        <v>1.7461137336103594</v>
      </c>
      <c r="O2628" s="1465"/>
    </row>
    <row r="2629" spans="11:15">
      <c r="K2629" s="1462">
        <v>44686</v>
      </c>
      <c r="L2629" s="1463" t="s">
        <v>2127</v>
      </c>
      <c r="M2629" s="1464">
        <v>4.7279000000000002E-2</v>
      </c>
      <c r="N2629" s="1465">
        <v>1.7469392787224729</v>
      </c>
      <c r="O2629" s="1465"/>
    </row>
    <row r="2630" spans="11:15">
      <c r="K2630" s="1462">
        <v>44687</v>
      </c>
      <c r="L2630" s="1463" t="s">
        <v>2127</v>
      </c>
      <c r="M2630" s="1464">
        <v>4.7279000000000002E-2</v>
      </c>
      <c r="N2630" s="1465">
        <v>1.7477652141440598</v>
      </c>
      <c r="O2630" s="1465"/>
    </row>
    <row r="2631" spans="11:15">
      <c r="K2631" s="1462">
        <v>44688</v>
      </c>
      <c r="L2631" s="1463"/>
      <c r="M2631" s="1464">
        <v>0</v>
      </c>
      <c r="N2631" s="1465">
        <v>1.7477652141440598</v>
      </c>
      <c r="O2631" s="1465"/>
    </row>
    <row r="2632" spans="11:15">
      <c r="K2632" s="1462">
        <v>44689</v>
      </c>
      <c r="L2632" s="1463"/>
      <c r="M2632" s="1464">
        <v>0</v>
      </c>
      <c r="N2632" s="1465">
        <v>1.7477652141440598</v>
      </c>
      <c r="O2632" s="1465"/>
    </row>
    <row r="2633" spans="11:15">
      <c r="K2633" s="1462">
        <v>44690</v>
      </c>
      <c r="L2633" s="1463" t="s">
        <v>2127</v>
      </c>
      <c r="M2633" s="1464">
        <v>4.7279000000000002E-2</v>
      </c>
      <c r="N2633" s="1465">
        <v>1.7485915400596548</v>
      </c>
      <c r="O2633" s="1465"/>
    </row>
    <row r="2634" spans="11:15">
      <c r="K2634" s="1462">
        <v>44691</v>
      </c>
      <c r="L2634" s="1463" t="s">
        <v>2127</v>
      </c>
      <c r="M2634" s="1464">
        <v>4.7279000000000002E-2</v>
      </c>
      <c r="N2634" s="1465">
        <v>1.7494182566538794</v>
      </c>
      <c r="O2634" s="1465"/>
    </row>
    <row r="2635" spans="11:15">
      <c r="K2635" s="1462">
        <v>44692</v>
      </c>
      <c r="L2635" s="1463" t="s">
        <v>2127</v>
      </c>
      <c r="M2635" s="1464">
        <v>4.7279000000000002E-2</v>
      </c>
      <c r="N2635" s="1465">
        <v>1.7502453641114426</v>
      </c>
      <c r="O2635" s="1465"/>
    </row>
    <row r="2636" spans="11:15">
      <c r="K2636" s="1462">
        <v>44693</v>
      </c>
      <c r="L2636" s="1463" t="s">
        <v>2127</v>
      </c>
      <c r="M2636" s="1464">
        <v>4.7279000000000002E-2</v>
      </c>
      <c r="N2636" s="1465">
        <v>1.7510728626171406</v>
      </c>
      <c r="O2636" s="1465"/>
    </row>
    <row r="2637" spans="11:15">
      <c r="K2637" s="1462">
        <v>44694</v>
      </c>
      <c r="L2637" s="1463" t="s">
        <v>2127</v>
      </c>
      <c r="M2637" s="1464">
        <v>4.7279000000000002E-2</v>
      </c>
      <c r="N2637" s="1465">
        <v>1.7519007523558572</v>
      </c>
      <c r="O2637" s="1465"/>
    </row>
    <row r="2638" spans="11:15">
      <c r="K2638" s="1462">
        <v>44695</v>
      </c>
      <c r="L2638" s="1463"/>
      <c r="M2638" s="1464">
        <v>0</v>
      </c>
      <c r="N2638" s="1465">
        <v>1.7519007523558572</v>
      </c>
      <c r="O2638" s="1465"/>
    </row>
    <row r="2639" spans="11:15">
      <c r="K2639" s="1462">
        <v>44696</v>
      </c>
      <c r="L2639" s="1463"/>
      <c r="M2639" s="1464">
        <v>0</v>
      </c>
      <c r="N2639" s="1465">
        <v>1.7519007523558572</v>
      </c>
      <c r="O2639" s="1465"/>
    </row>
    <row r="2640" spans="11:15">
      <c r="K2640" s="1462">
        <v>44697</v>
      </c>
      <c r="L2640" s="1463" t="s">
        <v>2127</v>
      </c>
      <c r="M2640" s="1464">
        <v>4.7279000000000002E-2</v>
      </c>
      <c r="N2640" s="1465">
        <v>1.7527290335125634</v>
      </c>
      <c r="O2640" s="1465"/>
    </row>
    <row r="2641" spans="11:15">
      <c r="K2641" s="1462">
        <v>44698</v>
      </c>
      <c r="L2641" s="1463" t="s">
        <v>2127</v>
      </c>
      <c r="M2641" s="1464">
        <v>4.7279000000000002E-2</v>
      </c>
      <c r="N2641" s="1465">
        <v>1.7535577062723176</v>
      </c>
      <c r="O2641" s="1465"/>
    </row>
    <row r="2642" spans="11:15">
      <c r="K2642" s="1462">
        <v>44699</v>
      </c>
      <c r="L2642" s="1463" t="s">
        <v>2127</v>
      </c>
      <c r="M2642" s="1464">
        <v>4.7279000000000002E-2</v>
      </c>
      <c r="N2642" s="1465">
        <v>1.7543867708202658</v>
      </c>
      <c r="O2642" s="1465"/>
    </row>
    <row r="2643" spans="11:15">
      <c r="K2643" s="1462">
        <v>44700</v>
      </c>
      <c r="L2643" s="1463" t="s">
        <v>2127</v>
      </c>
      <c r="M2643" s="1464">
        <v>4.7279000000000002E-2</v>
      </c>
      <c r="N2643" s="1465">
        <v>1.7552162273416418</v>
      </c>
      <c r="O2643" s="1465"/>
    </row>
    <row r="2644" spans="11:15">
      <c r="K2644" s="1462">
        <v>44701</v>
      </c>
      <c r="L2644" s="1463" t="s">
        <v>2127</v>
      </c>
      <c r="M2644" s="1464">
        <v>4.7279000000000002E-2</v>
      </c>
      <c r="N2644" s="1465">
        <v>1.7560460760217664</v>
      </c>
      <c r="O2644" s="1465"/>
    </row>
    <row r="2645" spans="11:15">
      <c r="K2645" s="1462">
        <v>44702</v>
      </c>
      <c r="L2645" s="1463"/>
      <c r="M2645" s="1464">
        <v>0</v>
      </c>
      <c r="N2645" s="1465">
        <v>1.7560460760217664</v>
      </c>
      <c r="O2645" s="1465"/>
    </row>
    <row r="2646" spans="11:15">
      <c r="K2646" s="1462">
        <v>44703</v>
      </c>
      <c r="L2646" s="1463"/>
      <c r="M2646" s="1464">
        <v>0</v>
      </c>
      <c r="N2646" s="1465">
        <v>1.7560460760217664</v>
      </c>
      <c r="O2646" s="1465"/>
    </row>
    <row r="2647" spans="11:15">
      <c r="K2647" s="1462">
        <v>44704</v>
      </c>
      <c r="L2647" s="1463" t="s">
        <v>2127</v>
      </c>
      <c r="M2647" s="1464">
        <v>4.7279000000000002E-2</v>
      </c>
      <c r="N2647" s="1465">
        <v>1.7568763170460486</v>
      </c>
      <c r="O2647" s="1465"/>
    </row>
    <row r="2648" spans="11:15">
      <c r="K2648" s="1462">
        <v>44705</v>
      </c>
      <c r="L2648" s="1463" t="s">
        <v>2127</v>
      </c>
      <c r="M2648" s="1464">
        <v>4.7279000000000002E-2</v>
      </c>
      <c r="N2648" s="1465">
        <v>1.7577069505999847</v>
      </c>
      <c r="O2648" s="1465"/>
    </row>
    <row r="2649" spans="11:15">
      <c r="K2649" s="1462">
        <v>44706</v>
      </c>
      <c r="L2649" s="1463" t="s">
        <v>2127</v>
      </c>
      <c r="M2649" s="1464">
        <v>4.7279000000000002E-2</v>
      </c>
      <c r="N2649" s="1465">
        <v>1.7585379768691587</v>
      </c>
      <c r="O2649" s="1465"/>
    </row>
    <row r="2650" spans="11:15">
      <c r="K2650" s="1462">
        <v>44707</v>
      </c>
      <c r="L2650" s="1463" t="s">
        <v>2127</v>
      </c>
      <c r="M2650" s="1464">
        <v>4.7279000000000002E-2</v>
      </c>
      <c r="N2650" s="1465">
        <v>1.7593693960392425</v>
      </c>
      <c r="O2650" s="1465"/>
    </row>
    <row r="2651" spans="11:15">
      <c r="K2651" s="1462">
        <v>44708</v>
      </c>
      <c r="L2651" s="1463" t="s">
        <v>2127</v>
      </c>
      <c r="M2651" s="1464">
        <v>4.7279000000000002E-2</v>
      </c>
      <c r="N2651" s="1465">
        <v>1.7602012082959957</v>
      </c>
      <c r="O2651" s="1465"/>
    </row>
    <row r="2652" spans="11:15">
      <c r="K2652" s="1462">
        <v>44709</v>
      </c>
      <c r="L2652" s="1463"/>
      <c r="M2652" s="1464">
        <v>0</v>
      </c>
      <c r="N2652" s="1465">
        <v>1.7602012082959957</v>
      </c>
      <c r="O2652" s="1465"/>
    </row>
    <row r="2653" spans="11:15">
      <c r="K2653" s="1462">
        <v>44710</v>
      </c>
      <c r="L2653" s="1463"/>
      <c r="M2653" s="1464">
        <v>0</v>
      </c>
      <c r="N2653" s="1465">
        <v>1.7602012082959957</v>
      </c>
      <c r="O2653" s="1465"/>
    </row>
    <row r="2654" spans="11:15">
      <c r="K2654" s="1462">
        <v>44711</v>
      </c>
      <c r="L2654" s="1463" t="s">
        <v>2127</v>
      </c>
      <c r="M2654" s="1464">
        <v>4.7279000000000002E-2</v>
      </c>
      <c r="N2654" s="1465">
        <v>1.7610334138252657</v>
      </c>
      <c r="O2654" s="1465"/>
    </row>
    <row r="2655" spans="11:15">
      <c r="K2655" s="1462">
        <v>44712</v>
      </c>
      <c r="L2655" s="1463" t="s">
        <v>2127</v>
      </c>
      <c r="M2655" s="1464">
        <v>4.7279000000000002E-2</v>
      </c>
      <c r="N2655" s="1465">
        <v>1.7618660128129879</v>
      </c>
      <c r="O2655" s="1465"/>
    </row>
    <row r="2656" spans="11:15">
      <c r="K2656" s="1462">
        <v>44713</v>
      </c>
      <c r="L2656" s="1463" t="s">
        <v>2127</v>
      </c>
      <c r="M2656" s="1464">
        <v>4.7279000000000002E-2</v>
      </c>
      <c r="N2656" s="1465">
        <v>1.7626990054451857</v>
      </c>
      <c r="O2656" s="1465"/>
    </row>
    <row r="2657" spans="11:15">
      <c r="K2657" s="1462">
        <v>44714</v>
      </c>
      <c r="L2657" s="1463" t="s">
        <v>2127</v>
      </c>
      <c r="M2657" s="1464">
        <v>4.7279000000000002E-2</v>
      </c>
      <c r="N2657" s="1465">
        <v>1.76353239190797</v>
      </c>
      <c r="O2657" s="1465"/>
    </row>
    <row r="2658" spans="11:15">
      <c r="K2658" s="1462">
        <v>44715</v>
      </c>
      <c r="L2658" s="1463" t="s">
        <v>2127</v>
      </c>
      <c r="M2658" s="1464">
        <v>4.7279000000000002E-2</v>
      </c>
      <c r="N2658" s="1465">
        <v>1.7643661723875399</v>
      </c>
      <c r="O2658" s="1465"/>
    </row>
    <row r="2659" spans="11:15">
      <c r="K2659" s="1462">
        <v>44716</v>
      </c>
      <c r="L2659" s="1463"/>
      <c r="M2659" s="1464">
        <v>0</v>
      </c>
      <c r="N2659" s="1465">
        <v>1.7643661723875399</v>
      </c>
      <c r="O2659" s="1465"/>
    </row>
    <row r="2660" spans="11:15">
      <c r="K2660" s="1462">
        <v>44717</v>
      </c>
      <c r="L2660" s="1463"/>
      <c r="M2660" s="1464">
        <v>0</v>
      </c>
      <c r="N2660" s="1465">
        <v>1.7643661723875399</v>
      </c>
      <c r="O2660" s="1465"/>
    </row>
    <row r="2661" spans="11:15">
      <c r="K2661" s="1462">
        <v>44718</v>
      </c>
      <c r="L2661" s="1463" t="s">
        <v>2127</v>
      </c>
      <c r="M2661" s="1464">
        <v>4.7279000000000002E-2</v>
      </c>
      <c r="N2661" s="1465">
        <v>1.7652003470701829</v>
      </c>
      <c r="O2661" s="1465"/>
    </row>
    <row r="2662" spans="11:15">
      <c r="K2662" s="1462">
        <v>44719</v>
      </c>
      <c r="L2662" s="1463" t="s">
        <v>2127</v>
      </c>
      <c r="M2662" s="1464">
        <v>4.7279000000000002E-2</v>
      </c>
      <c r="N2662" s="1465">
        <v>1.7660349161422739</v>
      </c>
      <c r="O2662" s="1465"/>
    </row>
    <row r="2663" spans="11:15">
      <c r="K2663" s="1462">
        <v>44720</v>
      </c>
      <c r="L2663" s="1463" t="s">
        <v>2127</v>
      </c>
      <c r="M2663" s="1464">
        <v>4.7279000000000002E-2</v>
      </c>
      <c r="N2663" s="1465">
        <v>1.7668698797902767</v>
      </c>
      <c r="O2663" s="1465"/>
    </row>
    <row r="2664" spans="11:15">
      <c r="K2664" s="1462">
        <v>44721</v>
      </c>
      <c r="L2664" s="1463" t="s">
        <v>2127</v>
      </c>
      <c r="M2664" s="1464">
        <v>4.7279000000000002E-2</v>
      </c>
      <c r="N2664" s="1465">
        <v>1.7677052382007425</v>
      </c>
      <c r="O2664" s="1465"/>
    </row>
    <row r="2665" spans="11:15">
      <c r="K2665" s="1462">
        <v>44722</v>
      </c>
      <c r="L2665" s="1463" t="s">
        <v>2127</v>
      </c>
      <c r="M2665" s="1464">
        <v>4.7279000000000002E-2</v>
      </c>
      <c r="N2665" s="1465">
        <v>1.7685409915603112</v>
      </c>
      <c r="O2665" s="1465"/>
    </row>
    <row r="2666" spans="11:15">
      <c r="K2666" s="1462">
        <v>44723</v>
      </c>
      <c r="L2666" s="1463"/>
      <c r="M2666" s="1464">
        <v>0</v>
      </c>
      <c r="N2666" s="1465">
        <v>1.7685409915603112</v>
      </c>
      <c r="O2666" s="1465"/>
    </row>
    <row r="2667" spans="11:15">
      <c r="K2667" s="1462">
        <v>44724</v>
      </c>
      <c r="L2667" s="1463"/>
      <c r="M2667" s="1464">
        <v>0</v>
      </c>
      <c r="N2667" s="1465">
        <v>1.7685409915603112</v>
      </c>
      <c r="O2667" s="1465"/>
    </row>
    <row r="2668" spans="11:15">
      <c r="K2668" s="1462">
        <v>44725</v>
      </c>
      <c r="L2668" s="1463" t="s">
        <v>2127</v>
      </c>
      <c r="M2668" s="1464">
        <v>4.7279000000000002E-2</v>
      </c>
      <c r="N2668" s="1465">
        <v>1.7693771400557108</v>
      </c>
      <c r="O2668" s="1465"/>
    </row>
    <row r="2669" spans="11:15">
      <c r="K2669" s="1462">
        <v>44726</v>
      </c>
      <c r="L2669" s="1463" t="s">
        <v>2127</v>
      </c>
      <c r="M2669" s="1464">
        <v>4.7279000000000002E-2</v>
      </c>
      <c r="N2669" s="1465">
        <v>1.7702136838737574</v>
      </c>
      <c r="O2669" s="1465"/>
    </row>
    <row r="2670" spans="11:15">
      <c r="K2670" s="1462">
        <v>44727</v>
      </c>
      <c r="L2670" s="1463" t="s">
        <v>2127</v>
      </c>
      <c r="M2670" s="1464">
        <v>4.7279000000000002E-2</v>
      </c>
      <c r="N2670" s="1465">
        <v>1.7710506232013559</v>
      </c>
      <c r="O2670" s="1465"/>
    </row>
    <row r="2671" spans="11:15">
      <c r="K2671" s="1462">
        <v>44728</v>
      </c>
      <c r="L2671" s="1463"/>
      <c r="M2671" s="1464">
        <v>0</v>
      </c>
      <c r="N2671" s="1465">
        <v>1.7710506232013559</v>
      </c>
      <c r="O2671" s="1465"/>
    </row>
    <row r="2672" spans="11:15">
      <c r="K2672" s="1462">
        <v>44729</v>
      </c>
      <c r="L2672" s="1463" t="s">
        <v>2127</v>
      </c>
      <c r="M2672" s="1464">
        <v>4.9036999999999997E-2</v>
      </c>
      <c r="N2672" s="1465">
        <v>1.7719190932954552</v>
      </c>
      <c r="O2672" s="1465"/>
    </row>
    <row r="2673" spans="11:15">
      <c r="K2673" s="1462">
        <v>44730</v>
      </c>
      <c r="L2673" s="1463"/>
      <c r="M2673" s="1464">
        <v>0</v>
      </c>
      <c r="N2673" s="1465">
        <v>1.7719190932954552</v>
      </c>
      <c r="O2673" s="1465"/>
    </row>
    <row r="2674" spans="11:15">
      <c r="K2674" s="1462">
        <v>44731</v>
      </c>
      <c r="L2674" s="1463"/>
      <c r="M2674" s="1464">
        <v>0</v>
      </c>
      <c r="N2674" s="1465">
        <v>1.7719190932954552</v>
      </c>
      <c r="O2674" s="1465"/>
    </row>
    <row r="2675" spans="11:15">
      <c r="K2675" s="1462">
        <v>44732</v>
      </c>
      <c r="L2675" s="1463" t="s">
        <v>2127</v>
      </c>
      <c r="M2675" s="1464">
        <v>4.9036999999999997E-2</v>
      </c>
      <c r="N2675" s="1465">
        <v>1.7727879892612346</v>
      </c>
      <c r="O2675" s="1465"/>
    </row>
    <row r="2676" spans="11:15">
      <c r="K2676" s="1462">
        <v>44733</v>
      </c>
      <c r="L2676" s="1463" t="s">
        <v>2127</v>
      </c>
      <c r="M2676" s="1464">
        <v>4.9036999999999997E-2</v>
      </c>
      <c r="N2676" s="1465">
        <v>1.7736573113075287</v>
      </c>
      <c r="O2676" s="1465"/>
    </row>
    <row r="2677" spans="11:15">
      <c r="K2677" s="1462">
        <v>44734</v>
      </c>
      <c r="L2677" s="1463" t="s">
        <v>2127</v>
      </c>
      <c r="M2677" s="1464">
        <v>4.9036999999999997E-2</v>
      </c>
      <c r="N2677" s="1465">
        <v>1.7745270596432747</v>
      </c>
      <c r="O2677" s="1465"/>
    </row>
    <row r="2678" spans="11:15">
      <c r="K2678" s="1462">
        <v>44735</v>
      </c>
      <c r="L2678" s="1463" t="s">
        <v>2127</v>
      </c>
      <c r="M2678" s="1464">
        <v>4.9036999999999997E-2</v>
      </c>
      <c r="N2678" s="1465">
        <v>1.7753972344775122</v>
      </c>
      <c r="O2678" s="1465"/>
    </row>
    <row r="2679" spans="11:15">
      <c r="K2679" s="1462">
        <v>44736</v>
      </c>
      <c r="L2679" s="1463" t="s">
        <v>2127</v>
      </c>
      <c r="M2679" s="1464">
        <v>4.9036999999999997E-2</v>
      </c>
      <c r="N2679" s="1465">
        <v>1.7762678360193831</v>
      </c>
      <c r="O2679" s="1465"/>
    </row>
    <row r="2680" spans="11:15">
      <c r="K2680" s="1462">
        <v>44737</v>
      </c>
      <c r="L2680" s="1463"/>
      <c r="M2680" s="1464">
        <v>0</v>
      </c>
      <c r="N2680" s="1465">
        <v>1.7762678360193831</v>
      </c>
      <c r="O2680" s="1465"/>
    </row>
    <row r="2681" spans="11:15">
      <c r="K2681" s="1462">
        <v>44738</v>
      </c>
      <c r="L2681" s="1463"/>
      <c r="M2681" s="1464">
        <v>0</v>
      </c>
      <c r="N2681" s="1465">
        <v>1.7762678360193831</v>
      </c>
      <c r="O2681" s="1465"/>
    </row>
    <row r="2682" spans="11:15">
      <c r="K2682" s="1462">
        <v>44739</v>
      </c>
      <c r="L2682" s="1463" t="s">
        <v>2127</v>
      </c>
      <c r="M2682" s="1464">
        <v>4.9036999999999997E-2</v>
      </c>
      <c r="N2682" s="1465">
        <v>1.7771388644781321</v>
      </c>
      <c r="O2682" s="1465"/>
    </row>
    <row r="2683" spans="11:15">
      <c r="K2683" s="1462">
        <v>44740</v>
      </c>
      <c r="L2683" s="1463" t="s">
        <v>2127</v>
      </c>
      <c r="M2683" s="1464">
        <v>4.9036999999999997E-2</v>
      </c>
      <c r="N2683" s="1465">
        <v>1.7780103200631063</v>
      </c>
      <c r="O2683" s="1465"/>
    </row>
    <row r="2684" spans="11:15">
      <c r="K2684" s="1462">
        <v>44741</v>
      </c>
      <c r="L2684" s="1463" t="s">
        <v>2127</v>
      </c>
      <c r="M2684" s="1464">
        <v>4.9036999999999997E-2</v>
      </c>
      <c r="N2684" s="1465">
        <v>1.7788822029837559</v>
      </c>
      <c r="O2684" s="1465"/>
    </row>
    <row r="2685" spans="11:15">
      <c r="K2685" s="1462">
        <v>44742</v>
      </c>
      <c r="L2685" s="1463" t="s">
        <v>2127</v>
      </c>
      <c r="M2685" s="1464">
        <v>4.9036999999999997E-2</v>
      </c>
      <c r="N2685" s="1465">
        <v>1.7797545134496331</v>
      </c>
      <c r="O2685" s="1465"/>
    </row>
    <row r="2686" spans="11:15">
      <c r="K2686" s="1462">
        <v>44743</v>
      </c>
      <c r="L2686" s="1463" t="s">
        <v>2127</v>
      </c>
      <c r="M2686" s="1464">
        <v>4.9036999999999997E-2</v>
      </c>
      <c r="N2686" s="1465">
        <v>1.7806272516703936</v>
      </c>
      <c r="O2686" s="1465"/>
    </row>
    <row r="2687" spans="11:15">
      <c r="K2687" s="1462">
        <v>44744</v>
      </c>
      <c r="L2687" s="1463"/>
      <c r="M2687" s="1464">
        <v>0</v>
      </c>
      <c r="N2687" s="1465">
        <v>1.7806272516703936</v>
      </c>
      <c r="O2687" s="1465"/>
    </row>
    <row r="2688" spans="11:15">
      <c r="K2688" s="1462">
        <v>44745</v>
      </c>
      <c r="L2688" s="1463"/>
      <c r="M2688" s="1464">
        <v>0</v>
      </c>
      <c r="N2688" s="1465">
        <v>1.7806272516703936</v>
      </c>
      <c r="O2688" s="1465"/>
    </row>
    <row r="2689" spans="11:15">
      <c r="K2689" s="1462">
        <v>44746</v>
      </c>
      <c r="L2689" s="1463" t="s">
        <v>2127</v>
      </c>
      <c r="M2689" s="1464">
        <v>4.9036999999999997E-2</v>
      </c>
      <c r="N2689" s="1465">
        <v>1.7815004178557954</v>
      </c>
      <c r="O2689" s="1465"/>
    </row>
    <row r="2690" spans="11:15">
      <c r="K2690" s="1462">
        <v>44747</v>
      </c>
      <c r="L2690" s="1463" t="s">
        <v>2127</v>
      </c>
      <c r="M2690" s="1464">
        <v>4.9036999999999997E-2</v>
      </c>
      <c r="N2690" s="1465">
        <v>1.7823740122156995</v>
      </c>
      <c r="O2690" s="1465"/>
    </row>
    <row r="2691" spans="11:15">
      <c r="K2691" s="1462">
        <v>44748</v>
      </c>
      <c r="L2691" s="1463" t="s">
        <v>2127</v>
      </c>
      <c r="M2691" s="1464">
        <v>4.9036999999999997E-2</v>
      </c>
      <c r="N2691" s="1465">
        <v>1.7832480349600699</v>
      </c>
      <c r="O2691" s="1465"/>
    </row>
    <row r="2692" spans="11:15">
      <c r="K2692" s="1462">
        <v>44749</v>
      </c>
      <c r="L2692" s="1463" t="s">
        <v>2127</v>
      </c>
      <c r="M2692" s="1464">
        <v>4.9036999999999997E-2</v>
      </c>
      <c r="N2692" s="1465">
        <v>1.7841224862989733</v>
      </c>
      <c r="O2692" s="1465"/>
    </row>
    <row r="2693" spans="11:15">
      <c r="K2693" s="1462">
        <v>44750</v>
      </c>
      <c r="L2693" s="1463" t="s">
        <v>2127</v>
      </c>
      <c r="M2693" s="1464">
        <v>4.9036999999999997E-2</v>
      </c>
      <c r="N2693" s="1465">
        <v>1.7849973664425798</v>
      </c>
      <c r="O2693" s="1465"/>
    </row>
    <row r="2694" spans="11:15">
      <c r="K2694" s="1462">
        <v>44751</v>
      </c>
      <c r="L2694" s="1463"/>
      <c r="M2694" s="1464">
        <v>0</v>
      </c>
      <c r="N2694" s="1465">
        <v>1.7849973664425798</v>
      </c>
      <c r="O2694" s="1465"/>
    </row>
    <row r="2695" spans="11:15">
      <c r="K2695" s="1462">
        <v>44752</v>
      </c>
      <c r="L2695" s="1463"/>
      <c r="M2695" s="1464">
        <v>0</v>
      </c>
      <c r="N2695" s="1465">
        <v>1.7849973664425798</v>
      </c>
      <c r="O2695" s="1465"/>
    </row>
    <row r="2696" spans="11:15">
      <c r="K2696" s="1462">
        <v>44753</v>
      </c>
      <c r="L2696" s="1463" t="s">
        <v>2127</v>
      </c>
      <c r="M2696" s="1464">
        <v>4.9036999999999997E-2</v>
      </c>
      <c r="N2696" s="1465">
        <v>1.7858726756011623</v>
      </c>
      <c r="O2696" s="1465"/>
    </row>
    <row r="2697" spans="11:15">
      <c r="K2697" s="1462">
        <v>44754</v>
      </c>
      <c r="L2697" s="1463" t="s">
        <v>2127</v>
      </c>
      <c r="M2697" s="1464">
        <v>4.9036999999999997E-2</v>
      </c>
      <c r="N2697" s="1465">
        <v>1.7867484139850969</v>
      </c>
      <c r="O2697" s="1465"/>
    </row>
    <row r="2698" spans="11:15">
      <c r="K2698" s="1462">
        <v>44755</v>
      </c>
      <c r="L2698" s="1463" t="s">
        <v>2127</v>
      </c>
      <c r="M2698" s="1464">
        <v>4.9036999999999997E-2</v>
      </c>
      <c r="N2698" s="1465">
        <v>1.7876245818048628</v>
      </c>
      <c r="O2698" s="1465"/>
    </row>
    <row r="2699" spans="11:15">
      <c r="K2699" s="1462">
        <v>44756</v>
      </c>
      <c r="L2699" s="1463" t="s">
        <v>2127</v>
      </c>
      <c r="M2699" s="1464">
        <v>4.9036999999999997E-2</v>
      </c>
      <c r="N2699" s="1465">
        <v>1.7885011792710426</v>
      </c>
      <c r="O2699" s="1465"/>
    </row>
    <row r="2700" spans="11:15">
      <c r="K2700" s="1462">
        <v>44757</v>
      </c>
      <c r="L2700" s="1463" t="s">
        <v>2127</v>
      </c>
      <c r="M2700" s="1464">
        <v>4.9036999999999997E-2</v>
      </c>
      <c r="N2700" s="1465">
        <v>1.7893782065943218</v>
      </c>
      <c r="O2700" s="1465"/>
    </row>
    <row r="2701" spans="11:15">
      <c r="K2701" s="1462">
        <v>44758</v>
      </c>
      <c r="L2701" s="1463"/>
      <c r="M2701" s="1464">
        <v>0</v>
      </c>
      <c r="N2701" s="1465">
        <v>1.7893782065943218</v>
      </c>
      <c r="O2701" s="1465"/>
    </row>
    <row r="2702" spans="11:15">
      <c r="K2702" s="1462">
        <v>44759</v>
      </c>
      <c r="L2702" s="1463"/>
      <c r="M2702" s="1464">
        <v>0</v>
      </c>
      <c r="N2702" s="1465">
        <v>1.7893782065943218</v>
      </c>
      <c r="O2702" s="1465"/>
    </row>
    <row r="2703" spans="11:15">
      <c r="K2703" s="1462">
        <v>44760</v>
      </c>
      <c r="L2703" s="1463" t="s">
        <v>2127</v>
      </c>
      <c r="M2703" s="1464">
        <v>4.9036999999999997E-2</v>
      </c>
      <c r="N2703" s="1465">
        <v>1.7902556639854896</v>
      </c>
      <c r="O2703" s="1465"/>
    </row>
    <row r="2704" spans="11:15">
      <c r="K2704" s="1462">
        <v>44761</v>
      </c>
      <c r="L2704" s="1463" t="s">
        <v>2127</v>
      </c>
      <c r="M2704" s="1464">
        <v>4.9036999999999997E-2</v>
      </c>
      <c r="N2704" s="1465">
        <v>1.7911335516554383</v>
      </c>
      <c r="O2704" s="1465"/>
    </row>
    <row r="2705" spans="11:15">
      <c r="K2705" s="1462">
        <v>44762</v>
      </c>
      <c r="L2705" s="1463" t="s">
        <v>2127</v>
      </c>
      <c r="M2705" s="1464">
        <v>4.9036999999999997E-2</v>
      </c>
      <c r="N2705" s="1465">
        <v>1.7920118698151637</v>
      </c>
      <c r="O2705" s="1465"/>
    </row>
    <row r="2706" spans="11:15">
      <c r="K2706" s="1462">
        <v>44763</v>
      </c>
      <c r="L2706" s="1463" t="s">
        <v>2127</v>
      </c>
      <c r="M2706" s="1464">
        <v>4.9036999999999997E-2</v>
      </c>
      <c r="N2706" s="1465">
        <v>1.7928906186757652</v>
      </c>
      <c r="O2706" s="1465"/>
    </row>
    <row r="2707" spans="11:15">
      <c r="K2707" s="1462">
        <v>44764</v>
      </c>
      <c r="L2707" s="1463" t="s">
        <v>2127</v>
      </c>
      <c r="M2707" s="1464">
        <v>4.9036999999999997E-2</v>
      </c>
      <c r="N2707" s="1465">
        <v>1.7937697984484453</v>
      </c>
      <c r="O2707" s="1465"/>
    </row>
    <row r="2708" spans="11:15">
      <c r="K2708" s="1462">
        <v>44765</v>
      </c>
      <c r="L2708" s="1463"/>
      <c r="M2708" s="1464">
        <v>0</v>
      </c>
      <c r="N2708" s="1465">
        <v>1.7937697984484453</v>
      </c>
      <c r="O2708" s="1465"/>
    </row>
    <row r="2709" spans="11:15">
      <c r="K2709" s="1462">
        <v>44766</v>
      </c>
      <c r="L2709" s="1463"/>
      <c r="M2709" s="1464">
        <v>0</v>
      </c>
      <c r="N2709" s="1465">
        <v>1.7937697984484453</v>
      </c>
      <c r="O2709" s="1465"/>
    </row>
    <row r="2710" spans="11:15">
      <c r="K2710" s="1462">
        <v>44767</v>
      </c>
      <c r="L2710" s="1463" t="s">
        <v>2127</v>
      </c>
      <c r="M2710" s="1464">
        <v>4.9036999999999997E-2</v>
      </c>
      <c r="N2710" s="1465">
        <v>1.7946494093445107</v>
      </c>
      <c r="O2710" s="1465"/>
    </row>
    <row r="2711" spans="11:15">
      <c r="K2711" s="1462">
        <v>44768</v>
      </c>
      <c r="L2711" s="1463" t="s">
        <v>2127</v>
      </c>
      <c r="M2711" s="1464">
        <v>4.9036999999999997E-2</v>
      </c>
      <c r="N2711" s="1465">
        <v>1.795529451575371</v>
      </c>
      <c r="O2711" s="1465"/>
    </row>
    <row r="2712" spans="11:15">
      <c r="K2712" s="1462">
        <v>44769</v>
      </c>
      <c r="L2712" s="1463" t="s">
        <v>2127</v>
      </c>
      <c r="M2712" s="1464">
        <v>4.9036999999999997E-2</v>
      </c>
      <c r="N2712" s="1465">
        <v>1.7964099253525401</v>
      </c>
      <c r="O2712" s="1465"/>
    </row>
    <row r="2713" spans="11:15">
      <c r="K2713" s="1462">
        <v>44770</v>
      </c>
      <c r="L2713" s="1463" t="s">
        <v>2127</v>
      </c>
      <c r="M2713" s="1464">
        <v>4.9036999999999997E-2</v>
      </c>
      <c r="N2713" s="1465">
        <v>1.7972908308876354</v>
      </c>
      <c r="O2713" s="1465"/>
    </row>
    <row r="2714" spans="11:15">
      <c r="K2714" s="1462">
        <v>44771</v>
      </c>
      <c r="L2714" s="1463" t="s">
        <v>2127</v>
      </c>
      <c r="M2714" s="1464">
        <v>4.9036999999999997E-2</v>
      </c>
      <c r="N2714" s="1465">
        <v>1.7981721683923779</v>
      </c>
      <c r="O2714" s="1465"/>
    </row>
    <row r="2715" spans="11:15">
      <c r="K2715" s="1462">
        <v>44772</v>
      </c>
      <c r="L2715" s="1463"/>
      <c r="M2715" s="1464">
        <v>0</v>
      </c>
      <c r="N2715" s="1465">
        <v>1.7981721683923779</v>
      </c>
      <c r="O2715" s="1465"/>
    </row>
    <row r="2716" spans="11:15">
      <c r="K2716" s="1462">
        <v>44773</v>
      </c>
      <c r="L2716" s="1463"/>
      <c r="M2716" s="1464">
        <v>0</v>
      </c>
      <c r="N2716" s="1465">
        <v>1.7981721683923779</v>
      </c>
      <c r="O2716" s="1465"/>
    </row>
    <row r="2717" spans="11:15">
      <c r="K2717" s="1462">
        <v>44774</v>
      </c>
      <c r="L2717" s="1463" t="s">
        <v>2127</v>
      </c>
      <c r="M2717" s="1464">
        <v>4.9036999999999997E-2</v>
      </c>
      <c r="N2717" s="1465">
        <v>1.7990539380785926</v>
      </c>
      <c r="O2717" s="1465"/>
    </row>
    <row r="2718" spans="11:15">
      <c r="K2718" s="1462">
        <v>44775</v>
      </c>
      <c r="L2718" s="1463" t="s">
        <v>2127</v>
      </c>
      <c r="M2718" s="1464">
        <v>4.9036999999999997E-2</v>
      </c>
      <c r="N2718" s="1465">
        <v>1.7999361401582084</v>
      </c>
      <c r="O2718" s="1465"/>
    </row>
    <row r="2719" spans="11:15">
      <c r="K2719" s="1462">
        <v>44776</v>
      </c>
      <c r="L2719" s="1463" t="s">
        <v>2127</v>
      </c>
      <c r="M2719" s="1464">
        <v>4.9036999999999997E-2</v>
      </c>
      <c r="N2719" s="1465">
        <v>1.8008187748432578</v>
      </c>
      <c r="O2719" s="1465"/>
    </row>
    <row r="2720" spans="11:15">
      <c r="K2720" s="1462">
        <v>44777</v>
      </c>
      <c r="L2720" s="1463" t="s">
        <v>2127</v>
      </c>
      <c r="M2720" s="1464">
        <v>5.0788E-2</v>
      </c>
      <c r="N2720" s="1465">
        <v>1.8017333746826252</v>
      </c>
      <c r="O2720" s="1465"/>
    </row>
    <row r="2721" spans="11:15">
      <c r="K2721" s="1462">
        <v>44778</v>
      </c>
      <c r="L2721" s="1463" t="s">
        <v>2127</v>
      </c>
      <c r="M2721" s="1464">
        <v>5.0788E-2</v>
      </c>
      <c r="N2721" s="1465">
        <v>1.802648439028959</v>
      </c>
      <c r="O2721" s="1465"/>
    </row>
    <row r="2722" spans="11:15">
      <c r="K2722" s="1462">
        <v>44779</v>
      </c>
      <c r="L2722" s="1463"/>
      <c r="M2722" s="1464">
        <v>0</v>
      </c>
      <c r="N2722" s="1465">
        <v>1.802648439028959</v>
      </c>
      <c r="O2722" s="1465"/>
    </row>
    <row r="2723" spans="11:15">
      <c r="K2723" s="1462">
        <v>44780</v>
      </c>
      <c r="L2723" s="1463"/>
      <c r="M2723" s="1464">
        <v>0</v>
      </c>
      <c r="N2723" s="1465">
        <v>1.802648439028959</v>
      </c>
      <c r="O2723" s="1465"/>
    </row>
    <row r="2724" spans="11:15">
      <c r="K2724" s="1462">
        <v>44781</v>
      </c>
      <c r="L2724" s="1463" t="s">
        <v>2127</v>
      </c>
      <c r="M2724" s="1464">
        <v>5.0788E-2</v>
      </c>
      <c r="N2724" s="1465">
        <v>1.803563968118173</v>
      </c>
      <c r="O2724" s="1465"/>
    </row>
    <row r="2725" spans="11:15">
      <c r="K2725" s="1462">
        <v>44782</v>
      </c>
      <c r="L2725" s="1463" t="s">
        <v>2127</v>
      </c>
      <c r="M2725" s="1464">
        <v>5.0788E-2</v>
      </c>
      <c r="N2725" s="1465">
        <v>1.8044799621863008</v>
      </c>
      <c r="O2725" s="1465"/>
    </row>
    <row r="2726" spans="11:15">
      <c r="K2726" s="1462">
        <v>44783</v>
      </c>
      <c r="L2726" s="1463" t="s">
        <v>2127</v>
      </c>
      <c r="M2726" s="1464">
        <v>5.0788E-2</v>
      </c>
      <c r="N2726" s="1465">
        <v>1.805396421469496</v>
      </c>
      <c r="O2726" s="1465"/>
    </row>
    <row r="2727" spans="11:15">
      <c r="K2727" s="1462">
        <v>44784</v>
      </c>
      <c r="L2727" s="1463" t="s">
        <v>2127</v>
      </c>
      <c r="M2727" s="1464">
        <v>5.0788E-2</v>
      </c>
      <c r="N2727" s="1465">
        <v>1.8063133462040319</v>
      </c>
      <c r="O2727" s="1465"/>
    </row>
    <row r="2728" spans="11:15">
      <c r="K2728" s="1462">
        <v>44785</v>
      </c>
      <c r="L2728" s="1463" t="s">
        <v>2127</v>
      </c>
      <c r="M2728" s="1464">
        <v>5.0788E-2</v>
      </c>
      <c r="N2728" s="1465">
        <v>1.8072307366263021</v>
      </c>
      <c r="O2728" s="1465"/>
    </row>
    <row r="2729" spans="11:15">
      <c r="K2729" s="1462">
        <v>44786</v>
      </c>
      <c r="L2729" s="1463"/>
      <c r="M2729" s="1464">
        <v>0</v>
      </c>
      <c r="N2729" s="1465">
        <v>1.8072307366263021</v>
      </c>
      <c r="O2729" s="1465"/>
    </row>
    <row r="2730" spans="11:15">
      <c r="K2730" s="1462">
        <v>44787</v>
      </c>
      <c r="L2730" s="1463"/>
      <c r="M2730" s="1464">
        <v>0</v>
      </c>
      <c r="N2730" s="1465">
        <v>1.8072307366263021</v>
      </c>
      <c r="O2730" s="1465"/>
    </row>
    <row r="2731" spans="11:15">
      <c r="K2731" s="1462">
        <v>44788</v>
      </c>
      <c r="L2731" s="1463" t="s">
        <v>2127</v>
      </c>
      <c r="M2731" s="1464">
        <v>5.0788E-2</v>
      </c>
      <c r="N2731" s="1465">
        <v>1.8081485929728198</v>
      </c>
      <c r="O2731" s="1465"/>
    </row>
    <row r="2732" spans="11:15">
      <c r="K2732" s="1462">
        <v>44789</v>
      </c>
      <c r="L2732" s="1463" t="s">
        <v>2127</v>
      </c>
      <c r="M2732" s="1464">
        <v>5.0788E-2</v>
      </c>
      <c r="N2732" s="1465">
        <v>1.8090669154802188</v>
      </c>
      <c r="O2732" s="1465"/>
    </row>
    <row r="2733" spans="11:15">
      <c r="K2733" s="1462">
        <v>44790</v>
      </c>
      <c r="L2733" s="1463" t="s">
        <v>2127</v>
      </c>
      <c r="M2733" s="1464">
        <v>5.0788E-2</v>
      </c>
      <c r="N2733" s="1465">
        <v>1.809985704385253</v>
      </c>
      <c r="O2733" s="1465"/>
    </row>
    <row r="2734" spans="11:15">
      <c r="K2734" s="1462">
        <v>44791</v>
      </c>
      <c r="L2734" s="1463" t="s">
        <v>2127</v>
      </c>
      <c r="M2734" s="1464">
        <v>5.0788E-2</v>
      </c>
      <c r="N2734" s="1465">
        <v>1.8109049599247962</v>
      </c>
      <c r="O2734" s="1465"/>
    </row>
    <row r="2735" spans="11:15">
      <c r="K2735" s="1462">
        <v>44792</v>
      </c>
      <c r="L2735" s="1463" t="s">
        <v>2127</v>
      </c>
      <c r="M2735" s="1464">
        <v>5.0788E-2</v>
      </c>
      <c r="N2735" s="1465">
        <v>1.8118246823358428</v>
      </c>
      <c r="O2735" s="1465"/>
    </row>
    <row r="2736" spans="11:15">
      <c r="K2736" s="1462">
        <v>44793</v>
      </c>
      <c r="L2736" s="1463"/>
      <c r="M2736" s="1464">
        <v>0</v>
      </c>
      <c r="N2736" s="1465">
        <v>1.8118246823358428</v>
      </c>
      <c r="O2736" s="1465"/>
    </row>
    <row r="2737" spans="11:15">
      <c r="K2737" s="1462">
        <v>44794</v>
      </c>
      <c r="L2737" s="1463"/>
      <c r="M2737" s="1464">
        <v>0</v>
      </c>
      <c r="N2737" s="1465">
        <v>1.8118246823358428</v>
      </c>
      <c r="O2737" s="1465"/>
    </row>
    <row r="2738" spans="11:15">
      <c r="K2738" s="1462">
        <v>44795</v>
      </c>
      <c r="L2738" s="1463" t="s">
        <v>2127</v>
      </c>
      <c r="M2738" s="1464">
        <v>5.0788E-2</v>
      </c>
      <c r="N2738" s="1465">
        <v>1.8127448718555075</v>
      </c>
      <c r="O2738" s="1465"/>
    </row>
    <row r="2739" spans="11:15">
      <c r="K2739" s="1462">
        <v>44796</v>
      </c>
      <c r="L2739" s="1463" t="s">
        <v>2127</v>
      </c>
      <c r="M2739" s="1464">
        <v>5.0788E-2</v>
      </c>
      <c r="N2739" s="1465">
        <v>1.8136655287210255</v>
      </c>
      <c r="O2739" s="1465"/>
    </row>
    <row r="2740" spans="11:15">
      <c r="K2740" s="1462">
        <v>44797</v>
      </c>
      <c r="L2740" s="1463" t="s">
        <v>2127</v>
      </c>
      <c r="M2740" s="1464">
        <v>5.0788E-2</v>
      </c>
      <c r="N2740" s="1465">
        <v>1.8145866531697523</v>
      </c>
      <c r="O2740" s="1465"/>
    </row>
    <row r="2741" spans="11:15">
      <c r="K2741" s="1462">
        <v>44798</v>
      </c>
      <c r="L2741" s="1463" t="s">
        <v>2127</v>
      </c>
      <c r="M2741" s="1464">
        <v>5.0788E-2</v>
      </c>
      <c r="N2741" s="1465">
        <v>1.8155082454391642</v>
      </c>
      <c r="O2741" s="1465"/>
    </row>
    <row r="2742" spans="11:15">
      <c r="K2742" s="1462">
        <v>44799</v>
      </c>
      <c r="L2742" s="1463" t="s">
        <v>2127</v>
      </c>
      <c r="M2742" s="1464">
        <v>5.0788E-2</v>
      </c>
      <c r="N2742" s="1465">
        <v>1.8164303057668578</v>
      </c>
      <c r="O2742" s="1465"/>
    </row>
    <row r="2743" spans="11:15">
      <c r="K2743" s="1462">
        <v>44800</v>
      </c>
      <c r="L2743" s="1463"/>
      <c r="M2743" s="1464">
        <v>0</v>
      </c>
      <c r="N2743" s="1465">
        <v>1.8164303057668578</v>
      </c>
      <c r="O2743" s="1465"/>
    </row>
    <row r="2744" spans="11:15">
      <c r="K2744" s="1462">
        <v>44801</v>
      </c>
      <c r="L2744" s="1463"/>
      <c r="M2744" s="1464">
        <v>0</v>
      </c>
      <c r="N2744" s="1465">
        <v>1.8164303057668578</v>
      </c>
      <c r="O2744" s="1465"/>
    </row>
    <row r="2745" spans="11:15">
      <c r="K2745" s="1462">
        <v>44802</v>
      </c>
      <c r="L2745" s="1463" t="s">
        <v>2127</v>
      </c>
      <c r="M2745" s="1464">
        <v>5.0788E-2</v>
      </c>
      <c r="N2745" s="1465">
        <v>1.8173528343905507</v>
      </c>
      <c r="O2745" s="1465"/>
    </row>
    <row r="2746" spans="11:15">
      <c r="K2746" s="1462">
        <v>44803</v>
      </c>
      <c r="L2746" s="1463" t="s">
        <v>2127</v>
      </c>
      <c r="M2746" s="1464">
        <v>5.0788E-2</v>
      </c>
      <c r="N2746" s="1465">
        <v>1.8182758315480809</v>
      </c>
      <c r="O2746" s="1465"/>
    </row>
    <row r="2747" spans="11:15">
      <c r="K2747" s="1462">
        <v>44804</v>
      </c>
      <c r="L2747" s="1463" t="s">
        <v>2127</v>
      </c>
      <c r="M2747" s="1464">
        <v>5.0788E-2</v>
      </c>
      <c r="N2747" s="1465">
        <v>1.8191992974774076</v>
      </c>
      <c r="O2747" s="1465"/>
    </row>
    <row r="2748" spans="11:15">
      <c r="K2748" s="1462">
        <v>44805</v>
      </c>
      <c r="L2748" s="1463" t="s">
        <v>2127</v>
      </c>
      <c r="M2748" s="1464">
        <v>5.0788E-2</v>
      </c>
      <c r="N2748" s="1465">
        <v>1.8201232324166106</v>
      </c>
      <c r="O2748" s="1465"/>
    </row>
    <row r="2749" spans="11:15">
      <c r="K2749" s="1462">
        <v>44806</v>
      </c>
      <c r="L2749" s="1463" t="s">
        <v>2127</v>
      </c>
      <c r="M2749" s="1464">
        <v>5.0788E-2</v>
      </c>
      <c r="N2749" s="1465">
        <v>1.8210476366038904</v>
      </c>
      <c r="O2749" s="1465"/>
    </row>
    <row r="2750" spans="11:15">
      <c r="K2750" s="1462">
        <v>44807</v>
      </c>
      <c r="L2750" s="1463"/>
      <c r="M2750" s="1464">
        <v>0</v>
      </c>
      <c r="N2750" s="1465">
        <v>1.8210476366038904</v>
      </c>
      <c r="O2750" s="1465"/>
    </row>
    <row r="2751" spans="11:15">
      <c r="K2751" s="1462">
        <v>44808</v>
      </c>
      <c r="L2751" s="1463"/>
      <c r="M2751" s="1464">
        <v>0</v>
      </c>
      <c r="N2751" s="1465">
        <v>1.8210476366038904</v>
      </c>
      <c r="O2751" s="1465"/>
    </row>
    <row r="2752" spans="11:15">
      <c r="K2752" s="1462">
        <v>44809</v>
      </c>
      <c r="L2752" s="1463" t="s">
        <v>2127</v>
      </c>
      <c r="M2752" s="1464">
        <v>5.0788E-2</v>
      </c>
      <c r="N2752" s="1465">
        <v>1.8219725102775688</v>
      </c>
      <c r="O2752" s="1465"/>
    </row>
    <row r="2753" spans="11:15">
      <c r="K2753" s="1462">
        <v>44810</v>
      </c>
      <c r="L2753" s="1463" t="s">
        <v>2127</v>
      </c>
      <c r="M2753" s="1464">
        <v>5.0788E-2</v>
      </c>
      <c r="N2753" s="1465">
        <v>1.8228978536760887</v>
      </c>
      <c r="O2753" s="1465"/>
    </row>
    <row r="2754" spans="11:15">
      <c r="K2754" s="1462">
        <v>44811</v>
      </c>
      <c r="L2754" s="1463"/>
      <c r="M2754" s="1464">
        <v>0</v>
      </c>
      <c r="N2754" s="1465">
        <v>1.8228978536760887</v>
      </c>
      <c r="O2754" s="1465"/>
    </row>
    <row r="2755" spans="11:15">
      <c r="K2755" s="1462">
        <v>44812</v>
      </c>
      <c r="L2755" s="1463" t="s">
        <v>2127</v>
      </c>
      <c r="M2755" s="1464">
        <v>5.0788E-2</v>
      </c>
      <c r="N2755" s="1465">
        <v>1.8238236670380137</v>
      </c>
      <c r="O2755" s="1465"/>
    </row>
    <row r="2756" spans="11:15">
      <c r="K2756" s="1462">
        <v>44813</v>
      </c>
      <c r="L2756" s="1463" t="s">
        <v>2127</v>
      </c>
      <c r="M2756" s="1464">
        <v>5.0788E-2</v>
      </c>
      <c r="N2756" s="1465">
        <v>1.824749950602029</v>
      </c>
      <c r="O2756" s="1465"/>
    </row>
    <row r="2757" spans="11:15">
      <c r="K2757" s="1462">
        <v>44814</v>
      </c>
      <c r="L2757" s="1463"/>
      <c r="M2757" s="1464">
        <v>0</v>
      </c>
      <c r="N2757" s="1465">
        <v>1.824749950602029</v>
      </c>
      <c r="O2757" s="1465"/>
    </row>
    <row r="2758" spans="11:15">
      <c r="K2758" s="1462">
        <v>44815</v>
      </c>
      <c r="L2758" s="1463"/>
      <c r="M2758" s="1464">
        <v>0</v>
      </c>
      <c r="N2758" s="1465">
        <v>1.824749950602029</v>
      </c>
      <c r="O2758" s="1465"/>
    </row>
    <row r="2759" spans="11:15">
      <c r="K2759" s="1462">
        <v>44816</v>
      </c>
      <c r="L2759" s="1463" t="s">
        <v>2127</v>
      </c>
      <c r="M2759" s="1464">
        <v>5.0788E-2</v>
      </c>
      <c r="N2759" s="1465">
        <v>1.8256767046069409</v>
      </c>
      <c r="O2759" s="1465"/>
    </row>
    <row r="2760" spans="11:15">
      <c r="K2760" s="1462">
        <v>44817</v>
      </c>
      <c r="L2760" s="1463" t="s">
        <v>2127</v>
      </c>
      <c r="M2760" s="1464">
        <v>5.0788E-2</v>
      </c>
      <c r="N2760" s="1465">
        <v>1.8266039292916767</v>
      </c>
      <c r="O2760" s="1465"/>
    </row>
    <row r="2761" spans="11:15">
      <c r="K2761" s="1462">
        <v>44818</v>
      </c>
      <c r="L2761" s="1463" t="s">
        <v>2127</v>
      </c>
      <c r="M2761" s="1464">
        <v>5.0788E-2</v>
      </c>
      <c r="N2761" s="1465">
        <v>1.8275316248952853</v>
      </c>
      <c r="O2761" s="1465"/>
    </row>
    <row r="2762" spans="11:15">
      <c r="K2762" s="1462">
        <v>44819</v>
      </c>
      <c r="L2762" s="1463" t="s">
        <v>2127</v>
      </c>
      <c r="M2762" s="1464">
        <v>5.0788E-2</v>
      </c>
      <c r="N2762" s="1465">
        <v>1.8284597916569372</v>
      </c>
      <c r="O2762" s="1465"/>
    </row>
    <row r="2763" spans="11:15">
      <c r="K2763" s="1462">
        <v>44820</v>
      </c>
      <c r="L2763" s="1463" t="s">
        <v>2127</v>
      </c>
      <c r="M2763" s="1464">
        <v>5.0788E-2</v>
      </c>
      <c r="N2763" s="1465">
        <v>1.829388429815924</v>
      </c>
      <c r="O2763" s="1465"/>
    </row>
    <row r="2764" spans="11:15">
      <c r="K2764" s="1462">
        <v>44821</v>
      </c>
      <c r="L2764" s="1463"/>
      <c r="M2764" s="1464">
        <v>0</v>
      </c>
      <c r="N2764" s="1465">
        <v>1.829388429815924</v>
      </c>
      <c r="O2764" s="1465"/>
    </row>
    <row r="2765" spans="11:15">
      <c r="K2765" s="1462">
        <v>44822</v>
      </c>
      <c r="L2765" s="1463"/>
      <c r="M2765" s="1464">
        <v>0</v>
      </c>
      <c r="N2765" s="1465">
        <v>1.829388429815924</v>
      </c>
      <c r="O2765" s="1465"/>
    </row>
    <row r="2766" spans="11:15">
      <c r="K2766" s="1462">
        <v>44823</v>
      </c>
      <c r="L2766" s="1463" t="s">
        <v>2127</v>
      </c>
      <c r="M2766" s="1464">
        <v>5.0788E-2</v>
      </c>
      <c r="N2766" s="1465">
        <v>1.8303175396116589</v>
      </c>
      <c r="O2766" s="1465"/>
    </row>
    <row r="2767" spans="11:15">
      <c r="K2767" s="1462">
        <v>44824</v>
      </c>
      <c r="L2767" s="1463" t="s">
        <v>2127</v>
      </c>
      <c r="M2767" s="1464">
        <v>5.0788E-2</v>
      </c>
      <c r="N2767" s="1465">
        <v>1.8312471212836769</v>
      </c>
      <c r="O2767" s="1465"/>
    </row>
    <row r="2768" spans="11:15">
      <c r="K2768" s="1462">
        <v>44825</v>
      </c>
      <c r="L2768" s="1463" t="s">
        <v>2127</v>
      </c>
      <c r="M2768" s="1464">
        <v>5.0788E-2</v>
      </c>
      <c r="N2768" s="1465">
        <v>1.8321771750716345</v>
      </c>
      <c r="O2768" s="1465"/>
    </row>
    <row r="2769" spans="11:15">
      <c r="K2769" s="1462">
        <v>44826</v>
      </c>
      <c r="L2769" s="1463" t="s">
        <v>2127</v>
      </c>
      <c r="M2769" s="1464">
        <v>5.0788E-2</v>
      </c>
      <c r="N2769" s="1465">
        <v>1.8331077012153099</v>
      </c>
      <c r="O2769" s="1465"/>
    </row>
    <row r="2770" spans="11:15">
      <c r="K2770" s="1462">
        <v>44827</v>
      </c>
      <c r="L2770" s="1463" t="s">
        <v>2127</v>
      </c>
      <c r="M2770" s="1464">
        <v>5.0788E-2</v>
      </c>
      <c r="N2770" s="1465">
        <v>1.8340386999546032</v>
      </c>
      <c r="O2770" s="1465"/>
    </row>
    <row r="2771" spans="11:15">
      <c r="K2771" s="1462">
        <v>44828</v>
      </c>
      <c r="L2771" s="1463"/>
      <c r="M2771" s="1464">
        <v>0</v>
      </c>
      <c r="N2771" s="1465">
        <v>1.8340386999546032</v>
      </c>
      <c r="O2771" s="1465"/>
    </row>
    <row r="2772" spans="11:15">
      <c r="K2772" s="1462">
        <v>44829</v>
      </c>
      <c r="L2772" s="1463"/>
      <c r="M2772" s="1464">
        <v>0</v>
      </c>
      <c r="N2772" s="1465">
        <v>1.8340386999546032</v>
      </c>
      <c r="O2772" s="1465"/>
    </row>
    <row r="2773" spans="11:15">
      <c r="K2773" s="1462">
        <v>44830</v>
      </c>
      <c r="L2773" s="1463" t="s">
        <v>2127</v>
      </c>
      <c r="M2773" s="1464">
        <v>5.0788E-2</v>
      </c>
      <c r="N2773" s="1465">
        <v>1.8349701715295361</v>
      </c>
      <c r="O2773" s="1465"/>
    </row>
    <row r="2774" spans="11:15">
      <c r="K2774" s="1462">
        <v>44831</v>
      </c>
      <c r="L2774" s="1463" t="s">
        <v>2127</v>
      </c>
      <c r="M2774" s="1464">
        <v>5.0788E-2</v>
      </c>
      <c r="N2774" s="1465">
        <v>1.8359021161802527</v>
      </c>
      <c r="O2774" s="1465"/>
    </row>
    <row r="2775" spans="11:15">
      <c r="K2775" s="1462">
        <v>44832</v>
      </c>
      <c r="L2775" s="1463" t="s">
        <v>2127</v>
      </c>
      <c r="M2775" s="1464">
        <v>5.0788E-2</v>
      </c>
      <c r="N2775" s="1465">
        <v>1.8368345341470182</v>
      </c>
      <c r="O2775" s="1465"/>
    </row>
    <row r="2776" spans="11:15">
      <c r="K2776" s="1462">
        <v>44833</v>
      </c>
      <c r="L2776" s="1463" t="s">
        <v>2127</v>
      </c>
      <c r="M2776" s="1464">
        <v>5.0788E-2</v>
      </c>
      <c r="N2776" s="1465">
        <v>1.8377674256702208</v>
      </c>
      <c r="O2776" s="1465"/>
    </row>
    <row r="2777" spans="11:15">
      <c r="K2777" s="1462">
        <v>44834</v>
      </c>
      <c r="L2777" s="1463" t="s">
        <v>2127</v>
      </c>
      <c r="M2777" s="1464">
        <v>5.0788E-2</v>
      </c>
      <c r="N2777" s="1465">
        <v>1.8387007909903701</v>
      </c>
      <c r="O2777" s="1465"/>
    </row>
    <row r="2778" spans="11:15">
      <c r="K2778" s="1462">
        <v>44835</v>
      </c>
      <c r="L2778" s="1463"/>
      <c r="M2778" s="1464">
        <v>0</v>
      </c>
      <c r="N2778" s="1465">
        <v>1.8387007909903701</v>
      </c>
      <c r="O2778" s="1465"/>
    </row>
    <row r="2779" spans="11:15">
      <c r="K2779" s="1462">
        <v>44836</v>
      </c>
      <c r="L2779" s="1463"/>
      <c r="M2779" s="1464">
        <v>0</v>
      </c>
      <c r="N2779" s="1465">
        <v>1.8387007909903701</v>
      </c>
      <c r="O2779" s="1465"/>
    </row>
    <row r="2780" spans="11:15">
      <c r="K2780" s="1462">
        <v>44837</v>
      </c>
      <c r="L2780" s="1463" t="s">
        <v>2127</v>
      </c>
      <c r="M2780" s="1464">
        <v>5.0788E-2</v>
      </c>
      <c r="N2780" s="1465">
        <v>1.8396346303480984</v>
      </c>
      <c r="O2780" s="1465"/>
    </row>
    <row r="2781" spans="11:15">
      <c r="K2781" s="1462">
        <v>44838</v>
      </c>
      <c r="L2781" s="1463" t="s">
        <v>2127</v>
      </c>
      <c r="M2781" s="1464">
        <v>5.0788E-2</v>
      </c>
      <c r="N2781" s="1465">
        <v>1.8405689439841595</v>
      </c>
      <c r="O2781" s="1465"/>
    </row>
    <row r="2782" spans="11:15">
      <c r="K2782" s="1462">
        <v>44839</v>
      </c>
      <c r="L2782" s="1463" t="s">
        <v>2127</v>
      </c>
      <c r="M2782" s="1464">
        <v>5.0788E-2</v>
      </c>
      <c r="N2782" s="1465">
        <v>1.8415037321394301</v>
      </c>
      <c r="O2782" s="1465"/>
    </row>
    <row r="2783" spans="11:15">
      <c r="K2783" s="1462">
        <v>44840</v>
      </c>
      <c r="L2783" s="1463" t="s">
        <v>2127</v>
      </c>
      <c r="M2783" s="1464">
        <v>5.0788E-2</v>
      </c>
      <c r="N2783" s="1465">
        <v>1.8424389950549092</v>
      </c>
      <c r="O2783" s="1465"/>
    </row>
    <row r="2784" spans="11:15">
      <c r="K2784" s="1462">
        <v>44841</v>
      </c>
      <c r="L2784" s="1463" t="s">
        <v>2127</v>
      </c>
      <c r="M2784" s="1464">
        <v>5.0788E-2</v>
      </c>
      <c r="N2784" s="1465">
        <v>1.8433747329717176</v>
      </c>
      <c r="O2784" s="1465"/>
    </row>
    <row r="2785" spans="11:15">
      <c r="K2785" s="1462">
        <v>44842</v>
      </c>
      <c r="L2785" s="1463"/>
      <c r="M2785" s="1464">
        <v>0</v>
      </c>
      <c r="N2785" s="1465">
        <v>1.8433747329717176</v>
      </c>
      <c r="O2785" s="1465"/>
    </row>
    <row r="2786" spans="11:15">
      <c r="K2786" s="1462">
        <v>44843</v>
      </c>
      <c r="L2786" s="1463"/>
      <c r="M2786" s="1464">
        <v>0</v>
      </c>
      <c r="N2786" s="1465">
        <v>1.8433747329717176</v>
      </c>
      <c r="O2786" s="1465"/>
    </row>
    <row r="2787" spans="11:15">
      <c r="K2787" s="1462">
        <v>44844</v>
      </c>
      <c r="L2787" s="1463" t="s">
        <v>2127</v>
      </c>
      <c r="M2787" s="1464">
        <v>5.0788E-2</v>
      </c>
      <c r="N2787" s="1465">
        <v>1.8443109461310994</v>
      </c>
      <c r="O2787" s="1465"/>
    </row>
    <row r="2788" spans="11:15">
      <c r="K2788" s="1462">
        <v>44845</v>
      </c>
      <c r="L2788" s="1463" t="s">
        <v>2127</v>
      </c>
      <c r="M2788" s="1464">
        <v>5.0788E-2</v>
      </c>
      <c r="N2788" s="1465">
        <v>1.8452476347744204</v>
      </c>
      <c r="O2788" s="1465"/>
    </row>
    <row r="2789" spans="11:15">
      <c r="K2789" s="1462">
        <v>44846</v>
      </c>
      <c r="L2789" s="1463"/>
      <c r="M2789" s="1464">
        <v>0</v>
      </c>
      <c r="N2789" s="1465">
        <v>1.8452476347744204</v>
      </c>
      <c r="O2789" s="1465"/>
    </row>
    <row r="2790" spans="11:15">
      <c r="K2790" s="1462">
        <v>44847</v>
      </c>
      <c r="L2790" s="1463" t="s">
        <v>2127</v>
      </c>
      <c r="M2790" s="1464">
        <v>5.0788E-2</v>
      </c>
      <c r="N2790" s="1465">
        <v>1.8461847991431697</v>
      </c>
      <c r="O2790" s="1465"/>
    </row>
    <row r="2791" spans="11:15">
      <c r="K2791" s="1462">
        <v>44848</v>
      </c>
      <c r="L2791" s="1463" t="s">
        <v>2127</v>
      </c>
      <c r="M2791" s="1464">
        <v>5.0788E-2</v>
      </c>
      <c r="N2791" s="1465">
        <v>1.8471224394789585</v>
      </c>
      <c r="O2791" s="1465"/>
    </row>
    <row r="2792" spans="11:15">
      <c r="K2792" s="1462">
        <v>44849</v>
      </c>
      <c r="L2792" s="1463"/>
      <c r="M2792" s="1464">
        <v>0</v>
      </c>
      <c r="N2792" s="1465">
        <v>1.8471224394789585</v>
      </c>
      <c r="O2792" s="1465"/>
    </row>
    <row r="2793" spans="11:15">
      <c r="K2793" s="1462">
        <v>44850</v>
      </c>
      <c r="L2793" s="1463"/>
      <c r="M2793" s="1464">
        <v>0</v>
      </c>
      <c r="N2793" s="1465">
        <v>1.8471224394789585</v>
      </c>
      <c r="O2793" s="1465"/>
    </row>
    <row r="2794" spans="11:15">
      <c r="K2794" s="1462">
        <v>44851</v>
      </c>
      <c r="L2794" s="1463" t="s">
        <v>2127</v>
      </c>
      <c r="M2794" s="1464">
        <v>5.0788E-2</v>
      </c>
      <c r="N2794" s="1465">
        <v>1.848060556023521</v>
      </c>
      <c r="O2794" s="1465"/>
    </row>
    <row r="2795" spans="11:15">
      <c r="K2795" s="1462">
        <v>44852</v>
      </c>
      <c r="L2795" s="1463" t="s">
        <v>2127</v>
      </c>
      <c r="M2795" s="1464">
        <v>5.0788E-2</v>
      </c>
      <c r="N2795" s="1465">
        <v>1.8489991490187143</v>
      </c>
      <c r="O2795" s="1465"/>
    </row>
    <row r="2796" spans="11:15">
      <c r="K2796" s="1462">
        <v>44853</v>
      </c>
      <c r="L2796" s="1463" t="s">
        <v>2127</v>
      </c>
      <c r="M2796" s="1464">
        <v>5.0788E-2</v>
      </c>
      <c r="N2796" s="1465">
        <v>1.8499382187065179</v>
      </c>
      <c r="O2796" s="1465"/>
    </row>
    <row r="2797" spans="11:15">
      <c r="K2797" s="1462">
        <v>44854</v>
      </c>
      <c r="L2797" s="1463" t="s">
        <v>2127</v>
      </c>
      <c r="M2797" s="1464">
        <v>5.0788E-2</v>
      </c>
      <c r="N2797" s="1465">
        <v>1.8508777653290345</v>
      </c>
      <c r="O2797" s="1465"/>
    </row>
    <row r="2798" spans="11:15">
      <c r="K2798" s="1462">
        <v>44855</v>
      </c>
      <c r="L2798" s="1463" t="s">
        <v>2127</v>
      </c>
      <c r="M2798" s="1464">
        <v>5.0788E-2</v>
      </c>
      <c r="N2798" s="1465">
        <v>1.8518177891284897</v>
      </c>
      <c r="O2798" s="1465"/>
    </row>
    <row r="2799" spans="11:15">
      <c r="K2799" s="1462">
        <v>44856</v>
      </c>
      <c r="L2799" s="1463"/>
      <c r="M2799" s="1464">
        <v>0</v>
      </c>
      <c r="N2799" s="1465">
        <v>1.8518177891284897</v>
      </c>
      <c r="O2799" s="1465"/>
    </row>
    <row r="2800" spans="11:15">
      <c r="K2800" s="1462">
        <v>44857</v>
      </c>
      <c r="L2800" s="1463"/>
      <c r="M2800" s="1464">
        <v>0</v>
      </c>
      <c r="N2800" s="1465">
        <v>1.8518177891284897</v>
      </c>
      <c r="O2800" s="1465"/>
    </row>
    <row r="2801" spans="11:15">
      <c r="K2801" s="1462">
        <v>44858</v>
      </c>
      <c r="L2801" s="1463" t="s">
        <v>2127</v>
      </c>
      <c r="M2801" s="1464">
        <v>5.0788E-2</v>
      </c>
      <c r="N2801" s="1465">
        <v>1.8527582903472324</v>
      </c>
      <c r="O2801" s="1465"/>
    </row>
    <row r="2802" spans="11:15">
      <c r="K2802" s="1462">
        <v>44859</v>
      </c>
      <c r="L2802" s="1463" t="s">
        <v>2127</v>
      </c>
      <c r="M2802" s="1464">
        <v>5.0788E-2</v>
      </c>
      <c r="N2802" s="1465">
        <v>1.8536992692277339</v>
      </c>
      <c r="O2802" s="1465"/>
    </row>
    <row r="2803" spans="11:15">
      <c r="K2803" s="1462">
        <v>44860</v>
      </c>
      <c r="L2803" s="1463" t="s">
        <v>2127</v>
      </c>
      <c r="M2803" s="1464">
        <v>5.0788E-2</v>
      </c>
      <c r="N2803" s="1465">
        <v>1.8546407260125892</v>
      </c>
      <c r="O2803" s="1465"/>
    </row>
    <row r="2804" spans="11:15">
      <c r="K2804" s="1462">
        <v>44861</v>
      </c>
      <c r="L2804" s="1463" t="s">
        <v>2127</v>
      </c>
      <c r="M2804" s="1464">
        <v>5.0788E-2</v>
      </c>
      <c r="N2804" s="1465">
        <v>1.8555826609445165</v>
      </c>
      <c r="O2804" s="1465"/>
    </row>
    <row r="2805" spans="11:15">
      <c r="K2805" s="1462">
        <v>44862</v>
      </c>
      <c r="L2805" s="1463" t="s">
        <v>2127</v>
      </c>
      <c r="M2805" s="1464">
        <v>5.0788E-2</v>
      </c>
      <c r="N2805" s="1465">
        <v>1.856525074266357</v>
      </c>
      <c r="O2805" s="1465"/>
    </row>
    <row r="2806" spans="11:15">
      <c r="K2806" s="1462">
        <v>44863</v>
      </c>
      <c r="L2806" s="1463"/>
      <c r="M2806" s="1464">
        <v>0</v>
      </c>
      <c r="N2806" s="1465">
        <v>1.856525074266357</v>
      </c>
      <c r="O2806" s="1465"/>
    </row>
    <row r="2807" spans="11:15">
      <c r="K2807" s="1462">
        <v>44864</v>
      </c>
      <c r="L2807" s="1463"/>
      <c r="M2807" s="1464">
        <v>0</v>
      </c>
      <c r="N2807" s="1465">
        <v>1.856525074266357</v>
      </c>
      <c r="O2807" s="1465"/>
    </row>
    <row r="2808" spans="11:15">
      <c r="K2808" s="1462">
        <v>44865</v>
      </c>
      <c r="L2808" s="1463" t="s">
        <v>2127</v>
      </c>
      <c r="M2808" s="1464">
        <v>5.0788E-2</v>
      </c>
      <c r="N2808" s="1465">
        <v>1.8574679662210756</v>
      </c>
      <c r="O2808" s="1465"/>
    </row>
    <row r="2809" spans="11:15">
      <c r="K2809" s="1462">
        <v>44866</v>
      </c>
      <c r="L2809" s="1463" t="s">
        <v>2127</v>
      </c>
      <c r="M2809" s="1464">
        <v>5.0788E-2</v>
      </c>
      <c r="N2809" s="1465">
        <v>1.8584113370517599</v>
      </c>
      <c r="O2809" s="1465"/>
    </row>
    <row r="2810" spans="11:15">
      <c r="K2810" s="1462">
        <v>44867</v>
      </c>
      <c r="L2810" s="1463"/>
      <c r="M2810" s="1464">
        <v>0</v>
      </c>
      <c r="N2810" s="1465">
        <v>1.8584113370517599</v>
      </c>
      <c r="O2810" s="1465"/>
    </row>
    <row r="2811" spans="11:15">
      <c r="K2811" s="1462">
        <v>44868</v>
      </c>
      <c r="L2811" s="1463" t="s">
        <v>2127</v>
      </c>
      <c r="M2811" s="1464">
        <v>5.0788E-2</v>
      </c>
      <c r="N2811" s="1465">
        <v>1.8593551870016218</v>
      </c>
      <c r="O2811" s="1465"/>
    </row>
    <row r="2812" spans="11:15">
      <c r="K2812" s="1462">
        <v>44869</v>
      </c>
      <c r="L2812" s="1463" t="s">
        <v>2127</v>
      </c>
      <c r="M2812" s="1464">
        <v>5.0788E-2</v>
      </c>
      <c r="N2812" s="1465">
        <v>1.8602995163139961</v>
      </c>
      <c r="O2812" s="1465"/>
    </row>
    <row r="2813" spans="11:15">
      <c r="K2813" s="1462">
        <v>44870</v>
      </c>
      <c r="L2813" s="1463"/>
      <c r="M2813" s="1464">
        <v>0</v>
      </c>
      <c r="N2813" s="1465">
        <v>1.8602995163139961</v>
      </c>
      <c r="O2813" s="1465"/>
    </row>
    <row r="2814" spans="11:15">
      <c r="K2814" s="1462">
        <v>44871</v>
      </c>
      <c r="L2814" s="1463"/>
      <c r="M2814" s="1464">
        <v>0</v>
      </c>
      <c r="N2814" s="1465">
        <v>1.8602995163139961</v>
      </c>
      <c r="O2814" s="1465"/>
    </row>
    <row r="2815" spans="11:15">
      <c r="K2815" s="1462">
        <v>44872</v>
      </c>
      <c r="L2815" s="1463" t="s">
        <v>2127</v>
      </c>
      <c r="M2815" s="1464">
        <v>5.0788E-2</v>
      </c>
      <c r="N2815" s="1465">
        <v>1.8612443252323416</v>
      </c>
      <c r="O2815" s="1465"/>
    </row>
    <row r="2816" spans="11:15">
      <c r="K2816" s="1462">
        <v>44873</v>
      </c>
      <c r="L2816" s="1463" t="s">
        <v>2127</v>
      </c>
      <c r="M2816" s="1464">
        <v>5.0788E-2</v>
      </c>
      <c r="N2816" s="1465">
        <v>1.8621896140002407</v>
      </c>
      <c r="O2816" s="1465"/>
    </row>
    <row r="2817" spans="11:15">
      <c r="K2817" s="1462">
        <v>44874</v>
      </c>
      <c r="L2817" s="1463" t="s">
        <v>2127</v>
      </c>
      <c r="M2817" s="1464">
        <v>5.0788E-2</v>
      </c>
      <c r="N2817" s="1465">
        <v>1.8631353828613992</v>
      </c>
      <c r="O2817" s="1465"/>
    </row>
    <row r="2818" spans="11:15">
      <c r="K2818" s="1462">
        <v>44875</v>
      </c>
      <c r="L2818" s="1463" t="s">
        <v>2127</v>
      </c>
      <c r="M2818" s="1464">
        <v>5.0788E-2</v>
      </c>
      <c r="N2818" s="1465">
        <v>1.8640816320596469</v>
      </c>
      <c r="O2818" s="1465"/>
    </row>
    <row r="2819" spans="11:15">
      <c r="K2819" s="1462">
        <v>44876</v>
      </c>
      <c r="L2819" s="1463" t="s">
        <v>2127</v>
      </c>
      <c r="M2819" s="1464">
        <v>5.0788E-2</v>
      </c>
      <c r="N2819" s="1465">
        <v>1.8650283618389374</v>
      </c>
      <c r="O2819" s="1465"/>
    </row>
    <row r="2820" spans="11:15">
      <c r="K2820" s="1462">
        <v>44877</v>
      </c>
      <c r="L2820" s="1463"/>
      <c r="M2820" s="1464">
        <v>0</v>
      </c>
      <c r="N2820" s="1465">
        <v>1.8650283618389374</v>
      </c>
      <c r="O2820" s="1465"/>
    </row>
    <row r="2821" spans="11:15">
      <c r="K2821" s="1462">
        <v>44878</v>
      </c>
      <c r="L2821" s="1463"/>
      <c r="M2821" s="1464">
        <v>0</v>
      </c>
      <c r="N2821" s="1465">
        <v>1.8650283618389374</v>
      </c>
      <c r="O2821" s="1465"/>
    </row>
    <row r="2822" spans="11:15">
      <c r="K2822" s="1462">
        <v>44879</v>
      </c>
      <c r="L2822" s="1463" t="s">
        <v>2127</v>
      </c>
      <c r="M2822" s="1464">
        <v>5.0788E-2</v>
      </c>
      <c r="N2822" s="1465">
        <v>1.8659755724433482</v>
      </c>
      <c r="O2822" s="1465"/>
    </row>
    <row r="2823" spans="11:15">
      <c r="K2823" s="1462">
        <v>44880</v>
      </c>
      <c r="L2823" s="1463"/>
      <c r="M2823" s="1464">
        <v>0</v>
      </c>
      <c r="N2823" s="1465">
        <v>1.8659755724433482</v>
      </c>
      <c r="O2823" s="1465"/>
    </row>
    <row r="2824" spans="11:15">
      <c r="K2824" s="1462">
        <v>44881</v>
      </c>
      <c r="L2824" s="1463" t="s">
        <v>2127</v>
      </c>
      <c r="M2824" s="1464">
        <v>5.0788E-2</v>
      </c>
      <c r="N2824" s="1465">
        <v>1.8669232641170808</v>
      </c>
      <c r="O2824" s="1465"/>
    </row>
    <row r="2825" spans="11:15">
      <c r="K2825" s="1462">
        <v>44882</v>
      </c>
      <c r="L2825" s="1463" t="s">
        <v>2127</v>
      </c>
      <c r="M2825" s="1464">
        <v>5.0788E-2</v>
      </c>
      <c r="N2825" s="1465">
        <v>1.8678714371044605</v>
      </c>
      <c r="O2825" s="1465"/>
    </row>
    <row r="2826" spans="11:15">
      <c r="K2826" s="1462">
        <v>44883</v>
      </c>
      <c r="L2826" s="1463" t="s">
        <v>2127</v>
      </c>
      <c r="M2826" s="1464">
        <v>5.0788E-2</v>
      </c>
      <c r="N2826" s="1465">
        <v>1.8688200916499371</v>
      </c>
      <c r="O2826" s="1465"/>
    </row>
    <row r="2827" spans="11:15">
      <c r="K2827" s="1462">
        <v>44884</v>
      </c>
      <c r="L2827" s="1463"/>
      <c r="M2827" s="1464">
        <v>0</v>
      </c>
      <c r="N2827" s="1465">
        <v>1.8688200916499371</v>
      </c>
      <c r="O2827" s="1465"/>
    </row>
    <row r="2828" spans="11:15">
      <c r="K2828" s="1462">
        <v>44885</v>
      </c>
      <c r="L2828" s="1463"/>
      <c r="M2828" s="1464">
        <v>0</v>
      </c>
      <c r="N2828" s="1465">
        <v>1.8688200916499371</v>
      </c>
      <c r="O2828" s="1465"/>
    </row>
    <row r="2829" spans="11:15">
      <c r="K2829" s="1462">
        <v>44886</v>
      </c>
      <c r="L2829" s="1463" t="s">
        <v>2127</v>
      </c>
      <c r="M2829" s="1464">
        <v>5.0788E-2</v>
      </c>
      <c r="N2829" s="1465">
        <v>1.8697692279980844</v>
      </c>
      <c r="O2829" s="1465"/>
    </row>
    <row r="2830" spans="11:15">
      <c r="K2830" s="1462">
        <v>44887</v>
      </c>
      <c r="L2830" s="1463" t="s">
        <v>2127</v>
      </c>
      <c r="M2830" s="1464">
        <v>5.0788E-2</v>
      </c>
      <c r="N2830" s="1465">
        <v>1.8707188463936002</v>
      </c>
      <c r="O2830" s="1465"/>
    </row>
    <row r="2831" spans="11:15">
      <c r="K2831" s="1462">
        <v>44888</v>
      </c>
      <c r="L2831" s="1463" t="s">
        <v>2127</v>
      </c>
      <c r="M2831" s="1464">
        <v>5.0788E-2</v>
      </c>
      <c r="N2831" s="1465">
        <v>1.8716689470813066</v>
      </c>
      <c r="O2831" s="1465"/>
    </row>
    <row r="2832" spans="11:15">
      <c r="K2832" s="1462">
        <v>44889</v>
      </c>
      <c r="L2832" s="1463" t="s">
        <v>2127</v>
      </c>
      <c r="M2832" s="1464">
        <v>5.0788E-2</v>
      </c>
      <c r="N2832" s="1465">
        <v>1.8726195303061504</v>
      </c>
      <c r="O2832" s="1465"/>
    </row>
    <row r="2833" spans="11:15">
      <c r="K2833" s="1462">
        <v>44890</v>
      </c>
      <c r="L2833" s="1463" t="s">
        <v>2127</v>
      </c>
      <c r="M2833" s="1464">
        <v>5.0788E-2</v>
      </c>
      <c r="N2833" s="1465">
        <v>1.8735705963132023</v>
      </c>
      <c r="O2833" s="1465"/>
    </row>
    <row r="2834" spans="11:15">
      <c r="K2834" s="1462">
        <v>44891</v>
      </c>
      <c r="L2834" s="1463"/>
      <c r="M2834" s="1464">
        <v>0</v>
      </c>
      <c r="N2834" s="1465">
        <v>1.8735705963132023</v>
      </c>
      <c r="O2834" s="1465"/>
    </row>
    <row r="2835" spans="11:15">
      <c r="K2835" s="1462">
        <v>44892</v>
      </c>
      <c r="L2835" s="1463"/>
      <c r="M2835" s="1464">
        <v>0</v>
      </c>
      <c r="N2835" s="1465">
        <v>1.8735705963132023</v>
      </c>
      <c r="O2835" s="1465"/>
    </row>
    <row r="2836" spans="11:15">
      <c r="K2836" s="1462">
        <v>44893</v>
      </c>
      <c r="L2836" s="1463" t="s">
        <v>2127</v>
      </c>
      <c r="M2836" s="1464">
        <v>5.0788E-2</v>
      </c>
      <c r="N2836" s="1465">
        <v>1.8745221453476579</v>
      </c>
      <c r="O2836" s="1465"/>
    </row>
    <row r="2837" spans="11:15">
      <c r="K2837" s="1462">
        <v>44894</v>
      </c>
      <c r="L2837" s="1463" t="s">
        <v>2127</v>
      </c>
      <c r="M2837" s="1464">
        <v>5.0788E-2</v>
      </c>
      <c r="N2837" s="1465">
        <v>1.8754741776548371</v>
      </c>
      <c r="O2837" s="1465"/>
    </row>
    <row r="2838" spans="11:15">
      <c r="K2838" s="1462">
        <v>44895</v>
      </c>
      <c r="L2838" s="1463" t="s">
        <v>2127</v>
      </c>
      <c r="M2838" s="1464">
        <v>5.0788E-2</v>
      </c>
      <c r="N2838" s="1465">
        <v>1.8764266934801845</v>
      </c>
      <c r="O2838" s="1465"/>
    </row>
    <row r="2839" spans="11:15">
      <c r="K2839" s="1462">
        <v>44896</v>
      </c>
      <c r="L2839" s="1463" t="s">
        <v>2127</v>
      </c>
      <c r="M2839" s="1464">
        <v>5.0788E-2</v>
      </c>
      <c r="N2839" s="1465">
        <v>1.8773796930692692</v>
      </c>
      <c r="O2839" s="1465"/>
    </row>
    <row r="2840" spans="11:15">
      <c r="K2840" s="1462">
        <v>44897</v>
      </c>
      <c r="L2840" s="1463" t="s">
        <v>2127</v>
      </c>
      <c r="M2840" s="1464">
        <v>5.0788E-2</v>
      </c>
      <c r="N2840" s="1465">
        <v>1.8783331766677853</v>
      </c>
      <c r="O2840" s="1465"/>
    </row>
    <row r="2841" spans="11:15">
      <c r="K2841" s="1462">
        <v>44898</v>
      </c>
      <c r="L2841" s="1463"/>
      <c r="M2841" s="1464">
        <v>0</v>
      </c>
      <c r="N2841" s="1465">
        <v>1.8783331766677853</v>
      </c>
      <c r="O2841" s="1465"/>
    </row>
    <row r="2842" spans="11:15">
      <c r="K2842" s="1462">
        <v>44899</v>
      </c>
      <c r="L2842" s="1463"/>
      <c r="M2842" s="1464">
        <v>0</v>
      </c>
      <c r="N2842" s="1465">
        <v>1.8783331766677853</v>
      </c>
      <c r="O2842" s="1465"/>
    </row>
    <row r="2843" spans="11:15">
      <c r="K2843" s="1462">
        <v>44900</v>
      </c>
      <c r="L2843" s="1463" t="s">
        <v>2127</v>
      </c>
      <c r="M2843" s="1464">
        <v>5.0788E-2</v>
      </c>
      <c r="N2843" s="1465">
        <v>1.8792871445215513</v>
      </c>
      <c r="O2843" s="1465"/>
    </row>
    <row r="2844" spans="11:15">
      <c r="K2844" s="1462">
        <v>44901</v>
      </c>
      <c r="L2844" s="1463" t="s">
        <v>2127</v>
      </c>
      <c r="M2844" s="1464">
        <v>5.0788E-2</v>
      </c>
      <c r="N2844" s="1465">
        <v>1.8802415968765109</v>
      </c>
      <c r="O2844" s="1465"/>
    </row>
    <row r="2845" spans="11:15">
      <c r="K2845" s="1462">
        <v>44902</v>
      </c>
      <c r="L2845" s="1463" t="s">
        <v>2127</v>
      </c>
      <c r="M2845" s="1464">
        <v>5.0788E-2</v>
      </c>
      <c r="N2845" s="1465">
        <v>1.8811965339787327</v>
      </c>
      <c r="O2845" s="1465"/>
    </row>
    <row r="2846" spans="11:15">
      <c r="K2846" s="1462">
        <v>44903</v>
      </c>
      <c r="L2846" s="1463" t="s">
        <v>2127</v>
      </c>
      <c r="M2846" s="1464">
        <v>5.0788E-2</v>
      </c>
      <c r="N2846" s="1465">
        <v>1.8821519560744098</v>
      </c>
      <c r="O2846" s="1465"/>
    </row>
    <row r="2847" spans="11:15">
      <c r="K2847" s="1462">
        <v>44904</v>
      </c>
      <c r="L2847" s="1463" t="s">
        <v>2127</v>
      </c>
      <c r="M2847" s="1464">
        <v>5.0788E-2</v>
      </c>
      <c r="N2847" s="1465">
        <v>1.8831078634098608</v>
      </c>
      <c r="O2847" s="1465"/>
    </row>
    <row r="2848" spans="11:15">
      <c r="K2848" s="1462">
        <v>44905</v>
      </c>
      <c r="L2848" s="1463"/>
      <c r="M2848" s="1464">
        <v>0</v>
      </c>
      <c r="N2848" s="1465">
        <v>1.8831078634098608</v>
      </c>
      <c r="O2848" s="1465"/>
    </row>
    <row r="2849" spans="11:15">
      <c r="K2849" s="1462">
        <v>44906</v>
      </c>
      <c r="L2849" s="1463"/>
      <c r="M2849" s="1464">
        <v>0</v>
      </c>
      <c r="N2849" s="1465">
        <v>1.8831078634098608</v>
      </c>
      <c r="O2849" s="1465"/>
    </row>
    <row r="2850" spans="11:15">
      <c r="K2850" s="1462">
        <v>44907</v>
      </c>
      <c r="L2850" s="1463" t="s">
        <v>2127</v>
      </c>
      <c r="M2850" s="1464">
        <v>5.0788E-2</v>
      </c>
      <c r="N2850" s="1465">
        <v>1.8840642562315295</v>
      </c>
      <c r="O2850" s="1465"/>
    </row>
    <row r="2851" spans="11:15">
      <c r="K2851" s="1462">
        <v>44908</v>
      </c>
      <c r="L2851" s="1463" t="s">
        <v>2127</v>
      </c>
      <c r="M2851" s="1464">
        <v>5.0788E-2</v>
      </c>
      <c r="N2851" s="1465">
        <v>1.8850211347859844</v>
      </c>
      <c r="O2851" s="1465"/>
    </row>
    <row r="2852" spans="11:15">
      <c r="K2852" s="1462">
        <v>44909</v>
      </c>
      <c r="L2852" s="1463" t="s">
        <v>2127</v>
      </c>
      <c r="M2852" s="1464">
        <v>5.0788E-2</v>
      </c>
      <c r="N2852" s="1465">
        <v>1.8859784993199196</v>
      </c>
      <c r="O2852" s="1465"/>
    </row>
    <row r="2853" spans="11:15">
      <c r="K2853" s="1462">
        <v>44910</v>
      </c>
      <c r="L2853" s="1463" t="s">
        <v>2127</v>
      </c>
      <c r="M2853" s="1464">
        <v>5.0788E-2</v>
      </c>
      <c r="N2853" s="1465">
        <v>1.8869363500801541</v>
      </c>
      <c r="O2853" s="1465"/>
    </row>
    <row r="2854" spans="11:15">
      <c r="K2854" s="1462">
        <v>44911</v>
      </c>
      <c r="L2854" s="1463" t="s">
        <v>2127</v>
      </c>
      <c r="M2854" s="1464">
        <v>5.0788E-2</v>
      </c>
      <c r="N2854" s="1465">
        <v>1.8878946873136329</v>
      </c>
      <c r="O2854" s="1465"/>
    </row>
    <row r="2855" spans="11:15">
      <c r="K2855" s="1462">
        <v>44912</v>
      </c>
      <c r="L2855" s="1463"/>
      <c r="M2855" s="1464">
        <v>0</v>
      </c>
      <c r="N2855" s="1465">
        <v>1.8878946873136329</v>
      </c>
      <c r="O2855" s="1465"/>
    </row>
    <row r="2856" spans="11:15">
      <c r="K2856" s="1462">
        <v>44913</v>
      </c>
      <c r="L2856" s="1463"/>
      <c r="M2856" s="1464">
        <v>0</v>
      </c>
      <c r="N2856" s="1465">
        <v>1.8878946873136329</v>
      </c>
      <c r="O2856" s="1465"/>
    </row>
    <row r="2857" spans="11:15">
      <c r="K2857" s="1462">
        <v>44914</v>
      </c>
      <c r="L2857" s="1463" t="s">
        <v>2127</v>
      </c>
      <c r="M2857" s="1464">
        <v>5.0788E-2</v>
      </c>
      <c r="N2857" s="1465">
        <v>1.8888535112674258</v>
      </c>
      <c r="O2857" s="1465"/>
    </row>
    <row r="2858" spans="11:15">
      <c r="K2858" s="1462">
        <v>44915</v>
      </c>
      <c r="L2858" s="1463" t="s">
        <v>2127</v>
      </c>
      <c r="M2858" s="1464">
        <v>5.0788E-2</v>
      </c>
      <c r="N2858" s="1465">
        <v>1.8898128221887285</v>
      </c>
      <c r="O2858" s="1465"/>
    </row>
    <row r="2859" spans="11:15">
      <c r="K2859" s="1462">
        <v>44916</v>
      </c>
      <c r="L2859" s="1463" t="s">
        <v>2127</v>
      </c>
      <c r="M2859" s="1464">
        <v>5.0788E-2</v>
      </c>
      <c r="N2859" s="1465">
        <v>1.8907726203248618</v>
      </c>
      <c r="O2859" s="1465"/>
    </row>
    <row r="2860" spans="11:15">
      <c r="K2860" s="1462">
        <v>44917</v>
      </c>
      <c r="L2860" s="1463" t="s">
        <v>2127</v>
      </c>
      <c r="M2860" s="1464">
        <v>5.0788E-2</v>
      </c>
      <c r="N2860" s="1465">
        <v>1.8917329059232724</v>
      </c>
      <c r="O2860" s="1465"/>
    </row>
    <row r="2861" spans="11:15">
      <c r="K2861" s="1462">
        <v>44918</v>
      </c>
      <c r="L2861" s="1463" t="s">
        <v>2127</v>
      </c>
      <c r="M2861" s="1464">
        <v>5.0788E-2</v>
      </c>
      <c r="N2861" s="1465">
        <v>1.8926936792315328</v>
      </c>
      <c r="O2861" s="1465"/>
    </row>
    <row r="2862" spans="11:15">
      <c r="K2862" s="1462">
        <v>44919</v>
      </c>
      <c r="L2862" s="1463"/>
      <c r="M2862" s="1464">
        <v>0</v>
      </c>
      <c r="N2862" s="1465">
        <v>1.8926936792315328</v>
      </c>
      <c r="O2862" s="1465"/>
    </row>
    <row r="2863" spans="11:15">
      <c r="K2863" s="1462">
        <v>44920</v>
      </c>
      <c r="L2863" s="1463"/>
      <c r="M2863" s="1464">
        <v>0</v>
      </c>
      <c r="N2863" s="1465">
        <v>1.8926936792315328</v>
      </c>
      <c r="O2863" s="1465"/>
    </row>
    <row r="2864" spans="11:15">
      <c r="K2864" s="1462">
        <v>44921</v>
      </c>
      <c r="L2864" s="1463" t="s">
        <v>2127</v>
      </c>
      <c r="M2864" s="1464">
        <v>5.0788E-2</v>
      </c>
      <c r="N2864" s="1465">
        <v>1.8936549404973408</v>
      </c>
      <c r="O2864" s="1465"/>
    </row>
    <row r="2865" spans="11:15">
      <c r="K2865" s="1462">
        <v>44922</v>
      </c>
      <c r="L2865" s="1463" t="s">
        <v>2127</v>
      </c>
      <c r="M2865" s="1464">
        <v>5.0788E-2</v>
      </c>
      <c r="N2865" s="1465">
        <v>1.8946166899685206</v>
      </c>
      <c r="O2865" s="1465"/>
    </row>
    <row r="2866" spans="11:15">
      <c r="K2866" s="1462">
        <v>44923</v>
      </c>
      <c r="L2866" s="1463" t="s">
        <v>2127</v>
      </c>
      <c r="M2866" s="1464">
        <v>5.0788E-2</v>
      </c>
      <c r="N2866" s="1465">
        <v>1.895578927893022</v>
      </c>
      <c r="O2866" s="1465"/>
    </row>
    <row r="2867" spans="11:15">
      <c r="K2867" s="1462">
        <v>44924</v>
      </c>
      <c r="L2867" s="1463" t="s">
        <v>2127</v>
      </c>
      <c r="M2867" s="1464">
        <v>5.0788E-2</v>
      </c>
      <c r="N2867" s="1465">
        <v>1.8965416545189202</v>
      </c>
      <c r="O2867" s="1465"/>
    </row>
    <row r="2868" spans="11:15">
      <c r="K2868" s="1462">
        <v>44925</v>
      </c>
      <c r="L2868" s="1463" t="s">
        <v>2127</v>
      </c>
      <c r="M2868" s="1464">
        <v>5.0788E-2</v>
      </c>
      <c r="N2868" s="1465">
        <v>1.8975048700944173</v>
      </c>
      <c r="O2868" s="1465"/>
    </row>
    <row r="2869" spans="11:15">
      <c r="K2869" s="1462">
        <v>44926</v>
      </c>
      <c r="L2869" s="1463"/>
      <c r="M2869" s="1464">
        <v>0</v>
      </c>
      <c r="N2869" s="1465">
        <v>1.8975048700944173</v>
      </c>
      <c r="O2869" s="1465"/>
    </row>
    <row r="2870" spans="11:15">
      <c r="K2870" s="1462">
        <v>44927</v>
      </c>
      <c r="L2870" s="1463"/>
      <c r="M2870" s="1464">
        <v>0</v>
      </c>
      <c r="N2870" s="1465">
        <v>1.8975048700944173</v>
      </c>
      <c r="O2870" s="1465"/>
    </row>
    <row r="2871" spans="11:15">
      <c r="K2871" s="1462">
        <v>44928</v>
      </c>
      <c r="L2871" s="1463" t="s">
        <v>2127</v>
      </c>
      <c r="M2871" s="1464">
        <v>5.0788E-2</v>
      </c>
      <c r="N2871" s="1465">
        <v>1.8984685748678409</v>
      </c>
      <c r="O2871" s="1465"/>
    </row>
    <row r="2872" spans="11:15">
      <c r="K2872" s="1462">
        <v>44929</v>
      </c>
      <c r="L2872" s="1463" t="s">
        <v>2127</v>
      </c>
      <c r="M2872" s="1464">
        <v>5.0788E-2</v>
      </c>
      <c r="N2872" s="1465">
        <v>1.8994327690876449</v>
      </c>
      <c r="O2872" s="1465"/>
    </row>
    <row r="2873" spans="11:15">
      <c r="K2873" s="1462">
        <v>44930</v>
      </c>
      <c r="L2873" s="1463" t="s">
        <v>2127</v>
      </c>
      <c r="M2873" s="1464">
        <v>5.0788E-2</v>
      </c>
      <c r="N2873" s="1465">
        <v>1.9003974530024093</v>
      </c>
      <c r="O2873" s="1465"/>
    </row>
    <row r="2874" spans="11:15">
      <c r="K2874" s="1462">
        <v>44931</v>
      </c>
      <c r="L2874" s="1463" t="s">
        <v>2127</v>
      </c>
      <c r="M2874" s="1464">
        <v>5.0788E-2</v>
      </c>
      <c r="N2874" s="1465">
        <v>1.9013626268608401</v>
      </c>
      <c r="O2874" s="1465"/>
    </row>
    <row r="2875" spans="11:15">
      <c r="K2875" s="1462">
        <v>44932</v>
      </c>
      <c r="L2875" s="1463" t="s">
        <v>2127</v>
      </c>
      <c r="M2875" s="1464">
        <v>5.0788E-2</v>
      </c>
      <c r="N2875" s="1465">
        <v>1.9023282909117702</v>
      </c>
      <c r="O2875" s="1465"/>
    </row>
    <row r="2876" spans="11:15">
      <c r="K2876" s="1462">
        <v>44933</v>
      </c>
      <c r="L2876" s="1463"/>
      <c r="M2876" s="1464">
        <v>0</v>
      </c>
      <c r="N2876" s="1465">
        <v>1.9023282909117702</v>
      </c>
      <c r="O2876" s="1465"/>
    </row>
    <row r="2877" spans="11:15">
      <c r="K2877" s="1462">
        <v>44934</v>
      </c>
      <c r="L2877" s="1463"/>
      <c r="M2877" s="1464">
        <v>0</v>
      </c>
      <c r="N2877" s="1465">
        <v>1.9023282909117702</v>
      </c>
      <c r="O2877" s="1465"/>
    </row>
    <row r="2878" spans="11:15">
      <c r="K2878" s="1462">
        <v>44935</v>
      </c>
      <c r="L2878" s="1463" t="s">
        <v>2127</v>
      </c>
      <c r="M2878" s="1464">
        <v>5.0788E-2</v>
      </c>
      <c r="N2878" s="1465">
        <v>1.9032944454041585</v>
      </c>
      <c r="O2878" s="1465"/>
    </row>
    <row r="2879" spans="11:15">
      <c r="K2879" s="1462">
        <v>44936</v>
      </c>
      <c r="L2879" s="1463" t="s">
        <v>2127</v>
      </c>
      <c r="M2879" s="1464">
        <v>5.0788E-2</v>
      </c>
      <c r="N2879" s="1465">
        <v>1.9042610905870905</v>
      </c>
      <c r="O2879" s="1465"/>
    </row>
    <row r="2880" spans="11:15">
      <c r="K2880" s="1462">
        <v>44937</v>
      </c>
      <c r="L2880" s="1463" t="s">
        <v>2127</v>
      </c>
      <c r="M2880" s="1464">
        <v>5.0788E-2</v>
      </c>
      <c r="N2880" s="1465">
        <v>1.905228226709778</v>
      </c>
      <c r="O2880" s="1465"/>
    </row>
    <row r="2881" spans="11:15">
      <c r="K2881" s="1462">
        <v>44938</v>
      </c>
      <c r="L2881" s="1463" t="s">
        <v>2127</v>
      </c>
      <c r="M2881" s="1464">
        <v>5.0788E-2</v>
      </c>
      <c r="N2881" s="1465">
        <v>1.9061958540215593</v>
      </c>
      <c r="O2881" s="1465"/>
    </row>
    <row r="2882" spans="11:15">
      <c r="K2882" s="1462">
        <v>44939</v>
      </c>
      <c r="L2882" s="1463" t="s">
        <v>2127</v>
      </c>
      <c r="M2882" s="1464">
        <v>5.0788E-2</v>
      </c>
      <c r="N2882" s="1465">
        <v>1.9071639727718999</v>
      </c>
      <c r="O2882" s="1465"/>
    </row>
    <row r="2883" spans="11:15">
      <c r="K2883" s="1462">
        <v>44940</v>
      </c>
      <c r="L2883" s="1463"/>
      <c r="M2883" s="1464">
        <v>0</v>
      </c>
      <c r="N2883" s="1465">
        <v>1.9071639727718999</v>
      </c>
      <c r="O2883" s="1465"/>
    </row>
    <row r="2884" spans="11:15">
      <c r="K2884" s="1462">
        <v>44941</v>
      </c>
      <c r="L2884" s="1463"/>
      <c r="M2884" s="1464">
        <v>0</v>
      </c>
      <c r="N2884" s="1465">
        <v>1.9071639727718999</v>
      </c>
      <c r="O2884" s="1465"/>
    </row>
    <row r="2885" spans="11:15">
      <c r="K2885" s="1462">
        <v>44942</v>
      </c>
      <c r="L2885" s="1463" t="s">
        <v>2127</v>
      </c>
      <c r="M2885" s="1464">
        <v>5.0788E-2</v>
      </c>
      <c r="N2885" s="1465">
        <v>1.9081325832103913</v>
      </c>
      <c r="O2885" s="1465"/>
    </row>
    <row r="2886" spans="11:15">
      <c r="K2886" s="1462">
        <v>44943</v>
      </c>
      <c r="L2886" s="1463" t="s">
        <v>2127</v>
      </c>
      <c r="M2886" s="1464">
        <v>5.0788E-2</v>
      </c>
      <c r="N2886" s="1465">
        <v>1.9091016855867522</v>
      </c>
      <c r="O2886" s="1465"/>
    </row>
    <row r="2887" spans="11:15">
      <c r="K2887" s="1462">
        <v>44944</v>
      </c>
      <c r="L2887" s="1463" t="s">
        <v>2127</v>
      </c>
      <c r="M2887" s="1464">
        <v>5.0788E-2</v>
      </c>
      <c r="N2887" s="1465">
        <v>1.9100712801508279</v>
      </c>
      <c r="O2887" s="1465"/>
    </row>
    <row r="2888" spans="11:15">
      <c r="K2888" s="1462">
        <v>44945</v>
      </c>
      <c r="L2888" s="1463" t="s">
        <v>2127</v>
      </c>
      <c r="M2888" s="1464">
        <v>5.0788E-2</v>
      </c>
      <c r="N2888" s="1465">
        <v>1.911041367152591</v>
      </c>
      <c r="O2888" s="1465"/>
    </row>
    <row r="2889" spans="11:15">
      <c r="K2889" s="1462">
        <v>44946</v>
      </c>
      <c r="L2889" s="1463" t="s">
        <v>2127</v>
      </c>
      <c r="M2889" s="1464">
        <v>5.0788E-2</v>
      </c>
      <c r="N2889" s="1465">
        <v>1.9120119468421404</v>
      </c>
      <c r="O2889" s="1465"/>
    </row>
    <row r="2890" spans="11:15">
      <c r="K2890" s="1462">
        <v>44947</v>
      </c>
      <c r="L2890" s="1463"/>
      <c r="M2890" s="1464">
        <v>0</v>
      </c>
      <c r="N2890" s="1465">
        <v>1.9120119468421404</v>
      </c>
      <c r="O2890" s="1465"/>
    </row>
    <row r="2891" spans="11:15">
      <c r="K2891" s="1462">
        <v>44948</v>
      </c>
      <c r="L2891" s="1463"/>
      <c r="M2891" s="1464">
        <v>0</v>
      </c>
      <c r="N2891" s="1465">
        <v>1.9120119468421404</v>
      </c>
      <c r="O2891" s="1465"/>
    </row>
    <row r="2892" spans="11:15">
      <c r="K2892" s="1462">
        <v>44949</v>
      </c>
      <c r="L2892" s="1463" t="s">
        <v>2127</v>
      </c>
      <c r="M2892" s="1464">
        <v>5.0788E-2</v>
      </c>
      <c r="N2892" s="1465">
        <v>1.9129830194697026</v>
      </c>
      <c r="O2892" s="1465"/>
    </row>
    <row r="2893" spans="11:15">
      <c r="K2893" s="1462">
        <v>44950</v>
      </c>
      <c r="L2893" s="1463" t="s">
        <v>2127</v>
      </c>
      <c r="M2893" s="1464">
        <v>5.0788E-2</v>
      </c>
      <c r="N2893" s="1465">
        <v>1.913954585285631</v>
      </c>
      <c r="O2893" s="1465"/>
    </row>
    <row r="2894" spans="11:15">
      <c r="K2894" s="1462">
        <v>44951</v>
      </c>
      <c r="L2894" s="1463" t="s">
        <v>2127</v>
      </c>
      <c r="M2894" s="1464">
        <v>5.0788E-2</v>
      </c>
      <c r="N2894" s="1465">
        <v>1.9149266445404058</v>
      </c>
      <c r="O2894" s="1465"/>
    </row>
    <row r="2895" spans="11:15">
      <c r="K2895" s="1462">
        <v>44952</v>
      </c>
      <c r="L2895" s="1463" t="s">
        <v>2127</v>
      </c>
      <c r="M2895" s="1464">
        <v>5.0788E-2</v>
      </c>
      <c r="N2895" s="1465">
        <v>1.9158991974846351</v>
      </c>
      <c r="O2895" s="1465"/>
    </row>
    <row r="2896" spans="11:15">
      <c r="K2896" s="1462">
        <v>44953</v>
      </c>
      <c r="L2896" s="1463" t="s">
        <v>2127</v>
      </c>
      <c r="M2896" s="1464">
        <v>5.0788E-2</v>
      </c>
      <c r="N2896" s="1465">
        <v>1.9168722443690536</v>
      </c>
      <c r="O2896" s="1465"/>
    </row>
    <row r="2897" spans="11:15">
      <c r="K2897" s="1462">
        <v>44954</v>
      </c>
      <c r="L2897" s="1463"/>
      <c r="M2897" s="1464">
        <v>0</v>
      </c>
      <c r="N2897" s="1465">
        <v>1.9168722443690536</v>
      </c>
      <c r="O2897" s="1465"/>
    </row>
    <row r="2898" spans="11:15">
      <c r="K2898" s="1462">
        <v>44955</v>
      </c>
      <c r="L2898" s="1463"/>
      <c r="M2898" s="1464">
        <v>0</v>
      </c>
      <c r="N2898" s="1465">
        <v>1.9168722443690536</v>
      </c>
      <c r="O2898" s="1465"/>
    </row>
    <row r="2899" spans="11:15">
      <c r="K2899" s="1462">
        <v>44956</v>
      </c>
      <c r="L2899" s="1463" t="s">
        <v>2127</v>
      </c>
      <c r="M2899" s="1464">
        <v>5.0788E-2</v>
      </c>
      <c r="N2899" s="1465">
        <v>1.9178457854445237</v>
      </c>
      <c r="O2899" s="1465"/>
    </row>
    <row r="2900" spans="11:15">
      <c r="K2900" s="1462">
        <v>44957</v>
      </c>
      <c r="L2900" s="1463" t="s">
        <v>2127</v>
      </c>
      <c r="M2900" s="1464">
        <v>5.0788E-2</v>
      </c>
      <c r="N2900" s="1465">
        <v>1.9188198209620353</v>
      </c>
      <c r="O2900" s="1465"/>
    </row>
    <row r="2901" spans="11:15">
      <c r="K2901" s="1462">
        <v>44958</v>
      </c>
      <c r="L2901" s="1463" t="s">
        <v>2127</v>
      </c>
      <c r="M2901" s="1464">
        <v>5.0788E-2</v>
      </c>
      <c r="N2901" s="1465">
        <v>1.9197943511727056</v>
      </c>
      <c r="O2901" s="1465"/>
    </row>
    <row r="2902" spans="11:15">
      <c r="K2902" s="1462">
        <v>44959</v>
      </c>
      <c r="L2902" s="1463" t="s">
        <v>2127</v>
      </c>
      <c r="M2902" s="1464">
        <v>5.0788E-2</v>
      </c>
      <c r="N2902" s="1465">
        <v>1.9207693763277791</v>
      </c>
      <c r="O2902" s="1465"/>
    </row>
    <row r="2903" spans="11:15">
      <c r="K2903" s="1462">
        <v>44960</v>
      </c>
      <c r="L2903" s="1463" t="s">
        <v>2127</v>
      </c>
      <c r="M2903" s="1464">
        <v>5.0788E-2</v>
      </c>
      <c r="N2903" s="1465">
        <v>1.9217448966786286</v>
      </c>
      <c r="O2903" s="1465"/>
    </row>
    <row r="2904" spans="11:15">
      <c r="K2904" s="1462">
        <v>44961</v>
      </c>
      <c r="L2904" s="1463"/>
      <c r="M2904" s="1464">
        <v>0</v>
      </c>
      <c r="N2904" s="1465">
        <v>1.9217448966786286</v>
      </c>
      <c r="O2904" s="1465"/>
    </row>
    <row r="2905" spans="11:15">
      <c r="K2905" s="1462">
        <v>44962</v>
      </c>
      <c r="L2905" s="1463"/>
      <c r="M2905" s="1464">
        <v>0</v>
      </c>
      <c r="N2905" s="1465">
        <v>1.9217448966786286</v>
      </c>
      <c r="O2905" s="1465"/>
    </row>
    <row r="2906" spans="11:15">
      <c r="K2906" s="1462">
        <v>44963</v>
      </c>
      <c r="L2906" s="1463" t="s">
        <v>2127</v>
      </c>
      <c r="M2906" s="1464">
        <v>5.0788E-2</v>
      </c>
      <c r="N2906" s="1465">
        <v>1.9227209124767537</v>
      </c>
      <c r="O2906" s="1465"/>
    </row>
    <row r="2907" spans="11:15">
      <c r="K2907" s="1462">
        <v>44964</v>
      </c>
      <c r="L2907" s="1463" t="s">
        <v>2127</v>
      </c>
      <c r="M2907" s="1464">
        <v>5.0788E-2</v>
      </c>
      <c r="N2907" s="1465">
        <v>1.9236974239737825</v>
      </c>
      <c r="O2907" s="1465"/>
    </row>
    <row r="2908" spans="11:15">
      <c r="K2908" s="1462">
        <v>44965</v>
      </c>
      <c r="L2908" s="1463" t="s">
        <v>2127</v>
      </c>
      <c r="M2908" s="1464">
        <v>5.0788E-2</v>
      </c>
      <c r="N2908" s="1465">
        <v>1.9246744314214703</v>
      </c>
      <c r="O2908" s="1465"/>
    </row>
    <row r="2909" spans="11:15">
      <c r="K2909" s="1462">
        <v>44966</v>
      </c>
      <c r="L2909" s="1463" t="s">
        <v>2127</v>
      </c>
      <c r="M2909" s="1464">
        <v>5.0788E-2</v>
      </c>
      <c r="N2909" s="1465">
        <v>1.9256519350717007</v>
      </c>
      <c r="O2909" s="1465"/>
    </row>
    <row r="2910" spans="11:15">
      <c r="K2910" s="1462">
        <v>44967</v>
      </c>
      <c r="L2910" s="1463" t="s">
        <v>2127</v>
      </c>
      <c r="M2910" s="1464">
        <v>5.0788E-2</v>
      </c>
      <c r="N2910" s="1465">
        <v>1.9266299351764851</v>
      </c>
      <c r="O2910" s="1465"/>
    </row>
    <row r="2911" spans="11:15">
      <c r="K2911" s="1462">
        <v>44968</v>
      </c>
      <c r="L2911" s="1463"/>
      <c r="M2911" s="1464">
        <v>0</v>
      </c>
      <c r="N2911" s="1465">
        <v>1.9266299351764851</v>
      </c>
      <c r="O2911" s="1465"/>
    </row>
    <row r="2912" spans="11:15">
      <c r="K2912" s="1462">
        <v>44969</v>
      </c>
      <c r="L2912" s="1463"/>
      <c r="M2912" s="1464">
        <v>0</v>
      </c>
      <c r="N2912" s="1465">
        <v>1.9266299351764851</v>
      </c>
      <c r="O2912" s="1465"/>
    </row>
    <row r="2913" spans="11:15">
      <c r="K2913" s="1462">
        <v>44970</v>
      </c>
      <c r="L2913" s="1463" t="s">
        <v>2127</v>
      </c>
      <c r="M2913" s="1464">
        <v>5.0788E-2</v>
      </c>
      <c r="N2913" s="1465">
        <v>1.9276084319879625</v>
      </c>
      <c r="O2913" s="1465"/>
    </row>
    <row r="2914" spans="11:15">
      <c r="K2914" s="1462">
        <v>44971</v>
      </c>
      <c r="L2914" s="1463" t="s">
        <v>2127</v>
      </c>
      <c r="M2914" s="1464">
        <v>5.0788E-2</v>
      </c>
      <c r="N2914" s="1465">
        <v>1.9285874257584006</v>
      </c>
      <c r="O2914" s="1465"/>
    </row>
    <row r="2915" spans="11:15">
      <c r="K2915" s="1462">
        <v>44972</v>
      </c>
      <c r="L2915" s="1463" t="s">
        <v>2127</v>
      </c>
      <c r="M2915" s="1464">
        <v>5.0788E-2</v>
      </c>
      <c r="N2915" s="1465">
        <v>1.9295669167401948</v>
      </c>
      <c r="O2915" s="1465"/>
    </row>
    <row r="2916" spans="11:15">
      <c r="K2916" s="1462">
        <v>44973</v>
      </c>
      <c r="L2916" s="1463" t="s">
        <v>2127</v>
      </c>
      <c r="M2916" s="1464">
        <v>5.0788E-2</v>
      </c>
      <c r="N2916" s="1465">
        <v>1.9305469051858688</v>
      </c>
      <c r="O2916" s="1465"/>
    </row>
    <row r="2917" spans="11:15">
      <c r="K2917" s="1462">
        <v>44974</v>
      </c>
      <c r="L2917" s="1463" t="s">
        <v>2127</v>
      </c>
      <c r="M2917" s="1464">
        <v>5.0788E-2</v>
      </c>
      <c r="N2917" s="1465">
        <v>1.9315273913480746</v>
      </c>
      <c r="O2917" s="1465"/>
    </row>
    <row r="2918" spans="11:15">
      <c r="K2918" s="1462">
        <v>44975</v>
      </c>
      <c r="L2918" s="1463"/>
      <c r="M2918" s="1464">
        <v>0</v>
      </c>
      <c r="N2918" s="1465">
        <v>1.9315273913480746</v>
      </c>
      <c r="O2918" s="1465"/>
    </row>
    <row r="2919" spans="11:15">
      <c r="K2919" s="1462">
        <v>44976</v>
      </c>
      <c r="L2919" s="1463"/>
      <c r="M2919" s="1464">
        <v>0</v>
      </c>
      <c r="N2919" s="1465">
        <v>1.9315273913480746</v>
      </c>
      <c r="O2919" s="1465"/>
    </row>
    <row r="2920" spans="11:15">
      <c r="K2920" s="1462">
        <v>44977</v>
      </c>
      <c r="L2920" s="1463"/>
      <c r="M2920" s="1464">
        <v>0</v>
      </c>
      <c r="N2920" s="1465">
        <v>1.9315273913480746</v>
      </c>
      <c r="O2920" s="1465"/>
    </row>
    <row r="2921" spans="11:15">
      <c r="K2921" s="1462">
        <v>44978</v>
      </c>
      <c r="L2921" s="1463"/>
      <c r="M2921" s="1464">
        <v>0</v>
      </c>
      <c r="N2921" s="1465">
        <v>1.9315273913480746</v>
      </c>
      <c r="O2921" s="1465"/>
    </row>
    <row r="2922" spans="11:15">
      <c r="K2922" s="1462">
        <v>44979</v>
      </c>
      <c r="L2922" s="1463" t="s">
        <v>2127</v>
      </c>
      <c r="M2922" s="1464">
        <v>5.0788E-2</v>
      </c>
      <c r="N2922" s="1465">
        <v>1.9325083754795924</v>
      </c>
      <c r="O2922" s="1465"/>
    </row>
    <row r="2923" spans="11:15">
      <c r="K2923" s="1462">
        <v>44980</v>
      </c>
      <c r="L2923" s="1463" t="s">
        <v>2127</v>
      </c>
      <c r="M2923" s="1464">
        <v>5.0788E-2</v>
      </c>
      <c r="N2923" s="1465">
        <v>1.933489857833331</v>
      </c>
      <c r="O2923" s="1465"/>
    </row>
    <row r="2924" spans="11:15">
      <c r="K2924" s="1462">
        <v>44981</v>
      </c>
      <c r="L2924" s="1463" t="s">
        <v>2127</v>
      </c>
      <c r="M2924" s="1464">
        <v>5.0788E-2</v>
      </c>
      <c r="N2924" s="1465">
        <v>1.9344718386623274</v>
      </c>
      <c r="O2924" s="1465"/>
    </row>
    <row r="2925" spans="11:15">
      <c r="K2925" s="1462">
        <v>44982</v>
      </c>
      <c r="L2925" s="1463"/>
      <c r="M2925" s="1464">
        <v>0</v>
      </c>
      <c r="N2925" s="1465">
        <v>1.9344718386623274</v>
      </c>
      <c r="O2925" s="1465"/>
    </row>
    <row r="2926" spans="11:15">
      <c r="K2926" s="1462">
        <v>44983</v>
      </c>
      <c r="L2926" s="1463"/>
      <c r="M2926" s="1464">
        <v>0</v>
      </c>
      <c r="N2926" s="1465">
        <v>1.9344718386623274</v>
      </c>
      <c r="O2926" s="1465"/>
    </row>
    <row r="2927" spans="11:15">
      <c r="K2927" s="1462">
        <v>44984</v>
      </c>
      <c r="L2927" s="1463" t="s">
        <v>2127</v>
      </c>
      <c r="M2927" s="1464">
        <v>5.0788E-2</v>
      </c>
      <c r="N2927" s="1465">
        <v>1.9354543182197472</v>
      </c>
      <c r="O2927" s="1465"/>
    </row>
    <row r="2928" spans="11:15">
      <c r="K2928" s="1462">
        <v>44985</v>
      </c>
      <c r="L2928" s="1463" t="s">
        <v>2127</v>
      </c>
      <c r="M2928" s="1464">
        <v>5.0788E-2</v>
      </c>
      <c r="N2928" s="1465">
        <v>1.9364372967588848</v>
      </c>
      <c r="O2928" s="1465"/>
    </row>
    <row r="2929" spans="11:15">
      <c r="K2929" s="1462">
        <v>44986</v>
      </c>
      <c r="L2929" s="1463" t="s">
        <v>2127</v>
      </c>
      <c r="M2929" s="1464">
        <v>5.0788E-2</v>
      </c>
      <c r="N2929" s="1465">
        <v>1.9374207745331626</v>
      </c>
      <c r="O2929" s="1465"/>
    </row>
    <row r="2930" spans="11:15">
      <c r="K2930" s="1462">
        <v>44987</v>
      </c>
      <c r="L2930" s="1466" t="s">
        <v>2127</v>
      </c>
      <c r="M2930" s="848">
        <v>5.0788E-2</v>
      </c>
      <c r="N2930" s="1466">
        <v>1.9384047517961325</v>
      </c>
      <c r="O2930" s="1466"/>
    </row>
    <row r="2931" spans="11:15">
      <c r="K2931" s="1462">
        <v>44988</v>
      </c>
      <c r="L2931" s="1466" t="s">
        <v>2127</v>
      </c>
      <c r="M2931" s="848">
        <v>5.0788E-2</v>
      </c>
      <c r="N2931" s="1466">
        <v>1.9393892288014747</v>
      </c>
      <c r="O2931" s="1466"/>
    </row>
    <row r="2932" spans="11:15">
      <c r="K2932" s="1462">
        <v>44989</v>
      </c>
      <c r="L2932" s="1466"/>
      <c r="M2932" s="848">
        <v>0</v>
      </c>
      <c r="N2932" s="1466">
        <v>1.9393892288014747</v>
      </c>
      <c r="O2932" s="1466"/>
    </row>
    <row r="2933" spans="11:15">
      <c r="K2933" s="1462">
        <v>44990</v>
      </c>
      <c r="L2933" s="1466"/>
      <c r="M2933" s="848">
        <v>0</v>
      </c>
      <c r="N2933" s="1466">
        <v>1.9393892288014747</v>
      </c>
      <c r="O2933" s="1466"/>
    </row>
    <row r="2934" spans="11:15">
      <c r="K2934" s="1462">
        <v>44991</v>
      </c>
      <c r="L2934" s="1466" t="s">
        <v>2127</v>
      </c>
      <c r="M2934" s="848">
        <v>5.0788E-2</v>
      </c>
      <c r="N2934" s="1466">
        <v>1.9403742058029985</v>
      </c>
      <c r="O2934" s="1466"/>
    </row>
    <row r="2935" spans="11:15">
      <c r="K2935" s="1462">
        <v>44992</v>
      </c>
      <c r="L2935" s="1466" t="s">
        <v>2127</v>
      </c>
      <c r="M2935" s="848">
        <v>5.0788E-2</v>
      </c>
      <c r="N2935" s="1466">
        <v>1.9413596830546418</v>
      </c>
      <c r="O2935" s="1466"/>
    </row>
    <row r="2936" spans="11:15">
      <c r="K2936" s="1462">
        <v>44993</v>
      </c>
      <c r="L2936" s="1466" t="s">
        <v>2127</v>
      </c>
      <c r="M2936" s="848">
        <v>5.0788E-2</v>
      </c>
      <c r="N2936" s="1466">
        <v>1.9423456608104717</v>
      </c>
      <c r="O2936" s="1466"/>
    </row>
    <row r="2937" spans="11:15">
      <c r="K2937" s="1462">
        <v>44994</v>
      </c>
      <c r="L2937" s="1466" t="s">
        <v>2127</v>
      </c>
      <c r="M2937" s="848">
        <v>5.0788E-2</v>
      </c>
      <c r="N2937" s="1466">
        <v>1.9433321393246841</v>
      </c>
      <c r="O2937" s="1466"/>
    </row>
    <row r="2938" spans="11:15">
      <c r="K2938" s="1462">
        <v>44995</v>
      </c>
      <c r="L2938" s="1466" t="s">
        <v>2127</v>
      </c>
      <c r="M2938" s="848">
        <v>5.0788E-2</v>
      </c>
      <c r="N2938" s="1466">
        <v>1.9443191188516042</v>
      </c>
      <c r="O2938" s="1466"/>
    </row>
    <row r="2939" spans="11:15">
      <c r="K2939" s="1462">
        <v>44996</v>
      </c>
      <c r="L2939" s="1466"/>
      <c r="M2939" s="848">
        <v>0</v>
      </c>
      <c r="N2939" s="1466">
        <v>1.9443191188516042</v>
      </c>
      <c r="O2939" s="1466"/>
    </row>
    <row r="2940" spans="11:15">
      <c r="K2940" s="1462">
        <v>44997</v>
      </c>
      <c r="L2940" s="1466"/>
      <c r="M2940" s="848">
        <v>0</v>
      </c>
      <c r="N2940" s="1466">
        <v>1.9443191188516042</v>
      </c>
      <c r="O2940" s="1466"/>
    </row>
    <row r="2941" spans="11:15">
      <c r="K2941" s="1462">
        <v>44998</v>
      </c>
      <c r="L2941" s="1466" t="s">
        <v>2127</v>
      </c>
      <c r="M2941" s="848">
        <v>5.0788E-2</v>
      </c>
      <c r="N2941" s="1466">
        <v>1.9453065996456866</v>
      </c>
      <c r="O2941" s="1466"/>
    </row>
    <row r="2942" spans="11:15">
      <c r="K2942" s="1462">
        <v>44999</v>
      </c>
      <c r="L2942" s="1466" t="s">
        <v>2127</v>
      </c>
      <c r="M2942" s="848">
        <v>5.0788E-2</v>
      </c>
      <c r="N2942" s="1466">
        <v>1.9462945819615147</v>
      </c>
      <c r="O2942" s="1466"/>
    </row>
    <row r="2943" spans="11:15">
      <c r="K2943" s="1462">
        <v>45000</v>
      </c>
      <c r="L2943" s="1466" t="s">
        <v>2127</v>
      </c>
      <c r="M2943" s="848">
        <v>5.0788E-2</v>
      </c>
      <c r="N2943" s="1466">
        <v>1.9472830660538014</v>
      </c>
      <c r="O2943" s="1466"/>
    </row>
    <row r="2944" spans="11:15">
      <c r="K2944" s="1462">
        <v>45001</v>
      </c>
      <c r="L2944" s="1466" t="s">
        <v>2127</v>
      </c>
      <c r="M2944" s="848">
        <v>5.0788E-2</v>
      </c>
      <c r="N2944" s="1466">
        <v>1.9482720521773889</v>
      </c>
      <c r="O2944" s="1466"/>
    </row>
    <row r="2945" spans="11:15">
      <c r="K2945" s="1462">
        <v>45002</v>
      </c>
      <c r="L2945" s="1466" t="s">
        <v>2127</v>
      </c>
      <c r="M2945" s="848">
        <v>5.0788E-2</v>
      </c>
      <c r="N2945" s="1466">
        <v>1.9492615405872487</v>
      </c>
      <c r="O2945" s="1466"/>
    </row>
    <row r="2946" spans="11:15">
      <c r="K2946" s="1462">
        <v>45003</v>
      </c>
      <c r="L2946" s="1466"/>
      <c r="M2946" s="848">
        <v>0</v>
      </c>
      <c r="N2946" s="1466">
        <v>1.9492615405872487</v>
      </c>
      <c r="O2946" s="1466"/>
    </row>
    <row r="2947" spans="11:15">
      <c r="K2947" s="1462">
        <v>45004</v>
      </c>
      <c r="L2947" s="1466"/>
      <c r="M2947" s="848">
        <v>0</v>
      </c>
      <c r="N2947" s="1466">
        <v>1.9492615405872487</v>
      </c>
      <c r="O2947" s="1466"/>
    </row>
    <row r="2948" spans="11:15">
      <c r="K2948" s="1462">
        <v>45005</v>
      </c>
      <c r="L2948" s="1466" t="s">
        <v>2127</v>
      </c>
      <c r="M2948" s="848">
        <v>5.0788E-2</v>
      </c>
      <c r="N2948" s="1466">
        <v>1.9502515315384821</v>
      </c>
      <c r="O2948" s="1466"/>
    </row>
    <row r="2949" spans="11:15">
      <c r="K2949" s="1462">
        <v>45006</v>
      </c>
      <c r="L2949" s="1466" t="s">
        <v>2127</v>
      </c>
      <c r="M2949" s="848">
        <v>5.0788E-2</v>
      </c>
      <c r="N2949" s="1466">
        <v>1.9512420252863198</v>
      </c>
      <c r="O2949" s="1466"/>
    </row>
    <row r="2950" spans="11:15">
      <c r="K2950" s="1462">
        <v>45007</v>
      </c>
      <c r="L2950" s="1466" t="s">
        <v>2127</v>
      </c>
      <c r="M2950" s="848">
        <v>5.0788E-2</v>
      </c>
      <c r="N2950" s="1466">
        <v>1.9522330220861224</v>
      </c>
      <c r="O2950" s="1466"/>
    </row>
    <row r="2951" spans="11:15">
      <c r="K2951" s="1462">
        <v>45008</v>
      </c>
      <c r="L2951" s="1466" t="s">
        <v>2127</v>
      </c>
      <c r="M2951" s="848">
        <v>5.0788E-2</v>
      </c>
      <c r="N2951" s="1466">
        <v>1.9532245221933795</v>
      </c>
      <c r="O2951" s="1466"/>
    </row>
    <row r="2952" spans="11:15">
      <c r="K2952" s="1462">
        <v>45009</v>
      </c>
      <c r="L2952" s="1466" t="s">
        <v>2127</v>
      </c>
      <c r="M2952" s="848">
        <v>5.0788E-2</v>
      </c>
      <c r="N2952" s="1466">
        <v>1.9542165258637112</v>
      </c>
      <c r="O2952" s="1466"/>
    </row>
    <row r="2953" spans="11:15">
      <c r="K2953" s="1462">
        <v>45010</v>
      </c>
      <c r="L2953" s="1466"/>
      <c r="M2953" s="848">
        <v>0</v>
      </c>
      <c r="N2953" s="1466">
        <v>1.9542165258637112</v>
      </c>
      <c r="O2953" s="1466"/>
    </row>
    <row r="2954" spans="11:15">
      <c r="K2954" s="1462">
        <v>45011</v>
      </c>
      <c r="L2954" s="1466"/>
      <c r="M2954" s="848">
        <v>0</v>
      </c>
      <c r="N2954" s="1466">
        <v>1.9542165258637112</v>
      </c>
      <c r="O2954" s="1466"/>
    </row>
    <row r="2955" spans="11:15">
      <c r="K2955" s="1462">
        <v>45012</v>
      </c>
      <c r="L2955" s="1466" t="s">
        <v>2127</v>
      </c>
      <c r="M2955" s="848">
        <v>5.0788E-2</v>
      </c>
      <c r="N2955" s="1466">
        <v>1.9552090333528669</v>
      </c>
      <c r="O2955" s="1466"/>
    </row>
    <row r="2956" spans="11:15">
      <c r="K2956" s="1462">
        <v>45013</v>
      </c>
      <c r="L2956" s="1466" t="s">
        <v>2127</v>
      </c>
      <c r="M2956" s="848">
        <v>5.0788E-2</v>
      </c>
      <c r="N2956" s="1466">
        <v>1.9562020449167261</v>
      </c>
      <c r="O2956" s="1466"/>
    </row>
    <row r="2957" spans="11:15">
      <c r="K2957" s="1462">
        <v>45014</v>
      </c>
      <c r="L2957" s="1466" t="s">
        <v>2127</v>
      </c>
      <c r="M2957" s="848">
        <v>5.0788E-2</v>
      </c>
      <c r="N2957" s="1466">
        <v>1.9571955608112985</v>
      </c>
      <c r="O2957" s="1466"/>
    </row>
    <row r="2958" spans="11:15">
      <c r="K2958" s="1462">
        <v>45015</v>
      </c>
      <c r="L2958" s="1466" t="s">
        <v>2127</v>
      </c>
      <c r="M2958" s="848">
        <v>5.0788E-2</v>
      </c>
      <c r="N2958" s="1466">
        <v>1.9581895812927235</v>
      </c>
      <c r="O2958" s="1466"/>
    </row>
    <row r="2959" spans="11:15">
      <c r="K2959" s="1462">
        <v>45016</v>
      </c>
      <c r="L2959" s="1466" t="s">
        <v>2127</v>
      </c>
      <c r="M2959" s="848">
        <v>5.0788E-2</v>
      </c>
      <c r="N2959" s="1466">
        <v>1.9591841066172704</v>
      </c>
      <c r="O2959" s="1466"/>
    </row>
    <row r="2960" spans="11:15">
      <c r="K2960" s="1462">
        <v>45017</v>
      </c>
      <c r="L2960" s="1466"/>
      <c r="M2960" s="848">
        <v>0</v>
      </c>
      <c r="N2960" s="1466">
        <v>1.9591841066172704</v>
      </c>
      <c r="O2960" s="1466"/>
    </row>
    <row r="2961" spans="11:15">
      <c r="K2961" s="1462">
        <v>45018</v>
      </c>
      <c r="L2961" s="1466"/>
      <c r="M2961" s="848">
        <v>0</v>
      </c>
      <c r="N2961" s="1466">
        <v>1.9591841066172704</v>
      </c>
      <c r="O2961" s="1466"/>
    </row>
    <row r="2962" spans="11:15">
      <c r="K2962" s="1462">
        <v>45019</v>
      </c>
      <c r="L2962" s="1466" t="s">
        <v>2127</v>
      </c>
      <c r="M2962" s="848">
        <v>5.0788E-2</v>
      </c>
      <c r="N2962" s="1466">
        <v>1.9601791370413393</v>
      </c>
      <c r="O2962" s="1466"/>
    </row>
    <row r="2963" spans="11:15">
      <c r="K2963" s="1462">
        <v>45020</v>
      </c>
      <c r="L2963" s="1466" t="s">
        <v>2127</v>
      </c>
      <c r="M2963" s="848">
        <v>5.0788E-2</v>
      </c>
      <c r="N2963" s="1466">
        <v>1.9611746728214599</v>
      </c>
      <c r="O2963" s="1466"/>
    </row>
    <row r="2964" spans="11:15">
      <c r="K2964" s="1462">
        <v>45021</v>
      </c>
      <c r="L2964" s="1466" t="s">
        <v>2127</v>
      </c>
      <c r="M2964" s="848">
        <v>5.0788E-2</v>
      </c>
      <c r="N2964" s="1466">
        <v>1.9621707142142923</v>
      </c>
      <c r="O2964" s="1466"/>
    </row>
    <row r="2965" spans="11:15">
      <c r="K2965" s="1462">
        <v>45022</v>
      </c>
      <c r="L2965" s="1466" t="s">
        <v>2127</v>
      </c>
      <c r="M2965" s="848">
        <v>5.0788E-2</v>
      </c>
      <c r="N2965" s="1466">
        <v>1.9631672614766276</v>
      </c>
      <c r="O2965" s="1466"/>
    </row>
    <row r="2966" spans="11:15">
      <c r="K2966" s="1462">
        <v>45023</v>
      </c>
      <c r="L2966" s="1466"/>
      <c r="M2966" s="848">
        <v>0</v>
      </c>
      <c r="N2966" s="1466">
        <v>1.9631672614766276</v>
      </c>
      <c r="O2966" s="1466"/>
    </row>
    <row r="2967" spans="11:15">
      <c r="K2967" s="1462">
        <v>45024</v>
      </c>
      <c r="L2967" s="1466"/>
      <c r="M2967" s="848">
        <v>0</v>
      </c>
      <c r="N2967" s="1466">
        <v>1.9631672614766276</v>
      </c>
      <c r="O2967" s="1466"/>
    </row>
    <row r="2968" spans="11:15">
      <c r="K2968" s="1462">
        <v>45025</v>
      </c>
      <c r="L2968" s="1466"/>
      <c r="M2968" s="848">
        <v>0</v>
      </c>
      <c r="N2968" s="1466">
        <v>1.9631672614766276</v>
      </c>
      <c r="O2968" s="1466"/>
    </row>
    <row r="2969" spans="11:15">
      <c r="K2969" s="1462">
        <v>45026</v>
      </c>
      <c r="L2969" s="1466" t="s">
        <v>2127</v>
      </c>
      <c r="M2969" s="848">
        <v>5.0788E-2</v>
      </c>
      <c r="N2969" s="1466">
        <v>1.9641643148653865</v>
      </c>
      <c r="O2969" s="1466"/>
    </row>
    <row r="2970" spans="11:15">
      <c r="K2970" s="1462">
        <v>45027</v>
      </c>
      <c r="L2970" s="1466" t="s">
        <v>2127</v>
      </c>
      <c r="M2970" s="848">
        <v>5.0788E-2</v>
      </c>
      <c r="N2970" s="1466">
        <v>1.9651618746376203</v>
      </c>
      <c r="O2970" s="1466"/>
    </row>
    <row r="2971" spans="11:15">
      <c r="K2971" s="1462">
        <v>45028</v>
      </c>
      <c r="L2971" s="1466" t="s">
        <v>2127</v>
      </c>
      <c r="M2971" s="848">
        <v>5.0788E-2</v>
      </c>
      <c r="N2971" s="1466">
        <v>1.9661599410505113</v>
      </c>
      <c r="O2971" s="1466"/>
    </row>
    <row r="2972" spans="11:15">
      <c r="K2972" s="1462">
        <v>45029</v>
      </c>
      <c r="L2972" s="1466" t="s">
        <v>2127</v>
      </c>
      <c r="M2972" s="848">
        <v>5.0788E-2</v>
      </c>
      <c r="N2972" s="1466">
        <v>1.9671585143613721</v>
      </c>
      <c r="O2972" s="1466"/>
    </row>
    <row r="2973" spans="11:15">
      <c r="K2973" s="1462">
        <v>45030</v>
      </c>
      <c r="L2973" s="1466" t="s">
        <v>2127</v>
      </c>
      <c r="M2973" s="848">
        <v>5.0788E-2</v>
      </c>
      <c r="N2973" s="1466">
        <v>1.968157594827646</v>
      </c>
      <c r="O2973" s="1466"/>
    </row>
    <row r="2974" spans="11:15">
      <c r="K2974" s="1462">
        <v>45031</v>
      </c>
      <c r="L2974" s="1466"/>
      <c r="M2974" s="848">
        <v>0</v>
      </c>
      <c r="N2974" s="1466">
        <v>1.968157594827646</v>
      </c>
      <c r="O2974" s="1466"/>
    </row>
    <row r="2975" spans="11:15">
      <c r="K2975" s="1462">
        <v>45032</v>
      </c>
      <c r="L2975" s="1466"/>
      <c r="M2975" s="848">
        <v>0</v>
      </c>
      <c r="N2975" s="1466">
        <v>1.968157594827646</v>
      </c>
      <c r="O2975" s="1466"/>
    </row>
    <row r="2976" spans="11:15">
      <c r="K2976" s="1462">
        <v>45033</v>
      </c>
      <c r="L2976" s="1466" t="s">
        <v>2127</v>
      </c>
      <c r="M2976" s="848">
        <v>5.0788E-2</v>
      </c>
      <c r="N2976" s="1466">
        <v>1.969157182706907</v>
      </c>
      <c r="O2976" s="1466"/>
    </row>
    <row r="2977" spans="11:15">
      <c r="K2977" s="1462">
        <v>45034</v>
      </c>
      <c r="L2977" s="1466" t="s">
        <v>2127</v>
      </c>
      <c r="M2977" s="848">
        <v>5.0788E-2</v>
      </c>
      <c r="N2977" s="1466">
        <v>1.9701572782568602</v>
      </c>
      <c r="O2977" s="1466"/>
    </row>
    <row r="2978" spans="11:15">
      <c r="K2978" s="1462">
        <v>45035</v>
      </c>
      <c r="L2978" s="1466" t="s">
        <v>2127</v>
      </c>
      <c r="M2978" s="848">
        <v>5.0788E-2</v>
      </c>
      <c r="N2978" s="1466">
        <v>1.9711578817353412</v>
      </c>
      <c r="O2978" s="1466"/>
    </row>
    <row r="2979" spans="11:15">
      <c r="K2979" s="1462">
        <v>45036</v>
      </c>
      <c r="L2979" s="1466" t="s">
        <v>2127</v>
      </c>
      <c r="M2979" s="848">
        <v>5.0788E-2</v>
      </c>
      <c r="N2979" s="1466">
        <v>1.972158993400317</v>
      </c>
      <c r="O2979" s="1466"/>
    </row>
    <row r="2980" spans="11:15">
      <c r="K2980" s="1462">
        <v>45037</v>
      </c>
      <c r="L2980" s="1466"/>
      <c r="M2980" s="848">
        <v>0</v>
      </c>
      <c r="N2980" s="1466">
        <v>1.972158993400317</v>
      </c>
      <c r="O2980" s="1466"/>
    </row>
    <row r="2981" spans="11:15">
      <c r="K2981" s="1462">
        <v>45038</v>
      </c>
      <c r="L2981" s="1466"/>
      <c r="M2981" s="848">
        <v>0</v>
      </c>
      <c r="N2981" s="1466">
        <v>1.972158993400317</v>
      </c>
      <c r="O2981" s="1466"/>
    </row>
    <row r="2982" spans="11:15">
      <c r="K2982" s="1462">
        <v>45039</v>
      </c>
      <c r="L2982" s="1466"/>
      <c r="M2982" s="848">
        <v>0</v>
      </c>
      <c r="N2982" s="1466">
        <v>1.972158993400317</v>
      </c>
      <c r="O2982" s="1466"/>
    </row>
    <row r="2983" spans="11:15">
      <c r="K2983" s="1462">
        <v>45040</v>
      </c>
      <c r="L2983" s="1466" t="s">
        <v>2127</v>
      </c>
      <c r="M2983" s="848">
        <v>5.0788E-2</v>
      </c>
      <c r="N2983" s="1466">
        <v>1.9731606135098851</v>
      </c>
      <c r="O2983" s="1466"/>
    </row>
    <row r="2984" spans="11:15">
      <c r="K2984" s="1462">
        <v>45041</v>
      </c>
      <c r="L2984" s="1466" t="s">
        <v>2127</v>
      </c>
      <c r="M2984" s="848">
        <v>5.0788E-2</v>
      </c>
      <c r="N2984" s="1466">
        <v>1.9741627423222745</v>
      </c>
      <c r="O2984" s="1466"/>
    </row>
    <row r="2985" spans="11:15">
      <c r="K2985" s="1462">
        <v>45042</v>
      </c>
      <c r="L2985" s="1466" t="s">
        <v>2127</v>
      </c>
      <c r="M2985" s="848">
        <v>5.0788E-2</v>
      </c>
      <c r="N2985" s="1466">
        <v>1.9751653800958451</v>
      </c>
      <c r="O2985" s="1466"/>
    </row>
    <row r="2986" spans="11:15">
      <c r="K2986" s="1462">
        <v>45043</v>
      </c>
      <c r="L2986" s="1466" t="s">
        <v>2127</v>
      </c>
      <c r="M2986" s="848">
        <v>5.0788E-2</v>
      </c>
      <c r="N2986" s="1466">
        <v>1.9761685270890883</v>
      </c>
      <c r="O2986" s="1466"/>
    </row>
    <row r="2987" spans="11:15">
      <c r="K2987" s="1462">
        <v>45044</v>
      </c>
      <c r="L2987" s="1466" t="s">
        <v>2127</v>
      </c>
      <c r="M2987" s="848">
        <v>5.0788E-2</v>
      </c>
      <c r="N2987" s="1466">
        <v>1.9771721835606264</v>
      </c>
      <c r="O2987" s="1466"/>
    </row>
    <row r="2988" spans="11:15">
      <c r="K2988" s="1462">
        <v>45045</v>
      </c>
      <c r="L2988" s="1466"/>
      <c r="M2988" s="848">
        <v>0</v>
      </c>
      <c r="N2988" s="1466">
        <v>1.9771721835606264</v>
      </c>
      <c r="O2988" s="1466"/>
    </row>
    <row r="2989" spans="11:15">
      <c r="K2989" s="1462">
        <v>45046</v>
      </c>
      <c r="L2989" s="1466"/>
      <c r="M2989" s="848">
        <v>0</v>
      </c>
      <c r="N2989" s="1466">
        <v>1.9771721835606264</v>
      </c>
      <c r="O2989" s="1466"/>
    </row>
    <row r="2990" spans="11:15">
      <c r="K2990" s="1462">
        <v>45047</v>
      </c>
      <c r="L2990" s="1466"/>
      <c r="M2990" s="848">
        <v>0</v>
      </c>
      <c r="N2990" s="1466">
        <v>1.9771721835606264</v>
      </c>
      <c r="O2990" s="1466"/>
    </row>
    <row r="2991" spans="11:15">
      <c r="K2991" s="1462">
        <v>45048</v>
      </c>
      <c r="L2991" s="1466" t="s">
        <v>2127</v>
      </c>
      <c r="M2991" s="848">
        <v>5.0788E-2</v>
      </c>
      <c r="N2991" s="1466">
        <v>1.9781763497692133</v>
      </c>
      <c r="O2991" s="1466"/>
    </row>
    <row r="2992" spans="11:15">
      <c r="K2992" s="1462">
        <v>45049</v>
      </c>
      <c r="L2992" s="1466" t="s">
        <v>2127</v>
      </c>
      <c r="M2992" s="848">
        <v>5.0788E-2</v>
      </c>
      <c r="N2992" s="1466">
        <v>1.9791810259737341</v>
      </c>
      <c r="O2992" s="1466"/>
    </row>
    <row r="2993" spans="11:15">
      <c r="K2993" s="1462">
        <v>45050</v>
      </c>
      <c r="L2993" s="1466" t="s">
        <v>2127</v>
      </c>
      <c r="M2993" s="848">
        <v>5.0788E-2</v>
      </c>
      <c r="N2993" s="1466">
        <v>1.9801862124332057</v>
      </c>
      <c r="O2993" s="1466"/>
    </row>
    <row r="2994" spans="11:15">
      <c r="K2994" s="1462">
        <v>45051</v>
      </c>
      <c r="L2994" s="1466" t="s">
        <v>2127</v>
      </c>
      <c r="M2994" s="848">
        <v>5.0788E-2</v>
      </c>
      <c r="N2994" s="1466">
        <v>1.9811919094067763</v>
      </c>
      <c r="O2994" s="1466"/>
    </row>
    <row r="2995" spans="11:15">
      <c r="K2995" s="1462">
        <v>45052</v>
      </c>
      <c r="L2995" s="1466"/>
      <c r="M2995" s="848">
        <v>0</v>
      </c>
      <c r="N2995" s="1466">
        <v>1.9811919094067763</v>
      </c>
      <c r="O2995" s="1466"/>
    </row>
    <row r="2996" spans="11:15">
      <c r="K2996" s="1462">
        <v>45053</v>
      </c>
      <c r="L2996" s="1466"/>
      <c r="M2996" s="848">
        <v>0</v>
      </c>
      <c r="N2996" s="1466">
        <v>1.9811919094067763</v>
      </c>
      <c r="O2996" s="1466"/>
    </row>
    <row r="2997" spans="11:15">
      <c r="K2997" s="1462">
        <v>45054</v>
      </c>
      <c r="L2997" s="1466" t="s">
        <v>2127</v>
      </c>
      <c r="M2997" s="848">
        <v>5.0788E-2</v>
      </c>
      <c r="N2997" s="1466">
        <v>1.9821981171537257</v>
      </c>
      <c r="O2997" s="1466"/>
    </row>
    <row r="2998" spans="11:15">
      <c r="K2998" s="1462">
        <v>45055</v>
      </c>
      <c r="L2998" s="1466" t="s">
        <v>2127</v>
      </c>
      <c r="M2998" s="848">
        <v>5.0788E-2</v>
      </c>
      <c r="N2998" s="1466">
        <v>1.9832048359334657</v>
      </c>
      <c r="O2998" s="1466"/>
    </row>
    <row r="2999" spans="11:15">
      <c r="K2999" s="1462">
        <v>45056</v>
      </c>
      <c r="L2999" s="1466" t="s">
        <v>2127</v>
      </c>
      <c r="M2999" s="848">
        <v>5.0788E-2</v>
      </c>
      <c r="N2999" s="1466">
        <v>1.9842120660055396</v>
      </c>
      <c r="O2999" s="1466"/>
    </row>
    <row r="3000" spans="11:15">
      <c r="K3000" s="1462">
        <v>45057</v>
      </c>
      <c r="L3000" s="1466" t="s">
        <v>2127</v>
      </c>
      <c r="M3000" s="848">
        <v>5.0788E-2</v>
      </c>
      <c r="N3000" s="1466">
        <v>1.9852198076296226</v>
      </c>
      <c r="O3000" s="1466"/>
    </row>
    <row r="3001" spans="11:15">
      <c r="K3001" s="1462">
        <v>45058</v>
      </c>
      <c r="L3001" s="1466" t="s">
        <v>2127</v>
      </c>
      <c r="M3001" s="848">
        <v>5.0788E-2</v>
      </c>
      <c r="N3001" s="1466">
        <v>1.9862280610655216</v>
      </c>
      <c r="O3001" s="1466"/>
    </row>
    <row r="3002" spans="11:15">
      <c r="K3002" s="1462">
        <v>45059</v>
      </c>
      <c r="L3002" s="1466"/>
      <c r="M3002" s="848">
        <v>0</v>
      </c>
      <c r="N3002" s="1466">
        <v>1.9862280610655216</v>
      </c>
      <c r="O3002" s="1466"/>
    </row>
    <row r="3003" spans="11:15">
      <c r="K3003" s="1462">
        <v>45060</v>
      </c>
      <c r="L3003" s="1466"/>
      <c r="M3003" s="848">
        <v>0</v>
      </c>
      <c r="N3003" s="1466">
        <v>1.9862280610655216</v>
      </c>
      <c r="O3003" s="1466"/>
    </row>
    <row r="3004" spans="11:15">
      <c r="K3004" s="1462">
        <v>45061</v>
      </c>
      <c r="L3004" s="1466" t="s">
        <v>2127</v>
      </c>
      <c r="M3004" s="848">
        <v>5.0788E-2</v>
      </c>
      <c r="N3004" s="1466">
        <v>1.9872368265731757</v>
      </c>
      <c r="O3004" s="1466"/>
    </row>
    <row r="3005" spans="11:15">
      <c r="K3005" s="1462">
        <v>45062</v>
      </c>
      <c r="L3005" s="1466" t="s">
        <v>2127</v>
      </c>
      <c r="M3005" s="848">
        <v>5.0788E-2</v>
      </c>
      <c r="N3005" s="1466">
        <v>1.9882461044126558</v>
      </c>
      <c r="O3005" s="1466"/>
    </row>
    <row r="3006" spans="11:15">
      <c r="K3006" s="1462">
        <v>45063</v>
      </c>
      <c r="L3006" s="1466" t="s">
        <v>2127</v>
      </c>
      <c r="M3006" s="848">
        <v>5.0788E-2</v>
      </c>
      <c r="N3006" s="1466">
        <v>1.989255894844165</v>
      </c>
      <c r="O3006" s="1466"/>
    </row>
    <row r="3007" spans="11:15">
      <c r="K3007" s="1462">
        <v>45064</v>
      </c>
      <c r="L3007" s="1466" t="s">
        <v>2127</v>
      </c>
      <c r="M3007" s="848">
        <v>5.0788E-2</v>
      </c>
      <c r="N3007" s="1466">
        <v>1.9902661981280385</v>
      </c>
      <c r="O3007" s="1466"/>
    </row>
    <row r="3008" spans="11:15">
      <c r="K3008" s="1462">
        <v>45065</v>
      </c>
      <c r="L3008" s="1466" t="s">
        <v>2127</v>
      </c>
      <c r="M3008" s="848">
        <v>5.0788E-2</v>
      </c>
      <c r="N3008" s="1466">
        <v>1.9912770145247438</v>
      </c>
      <c r="O3008" s="1466"/>
    </row>
    <row r="3009" spans="11:15">
      <c r="K3009" s="1462">
        <v>45066</v>
      </c>
      <c r="L3009" s="1466"/>
      <c r="M3009" s="848">
        <v>0</v>
      </c>
      <c r="N3009" s="1466">
        <v>1.9912770145247438</v>
      </c>
      <c r="O3009" s="1466"/>
    </row>
    <row r="3010" spans="11:15">
      <c r="K3010" s="1462">
        <v>45067</v>
      </c>
      <c r="L3010" s="1466"/>
      <c r="M3010" s="848">
        <v>0</v>
      </c>
      <c r="N3010" s="1466">
        <v>1.9912770145247438</v>
      </c>
      <c r="O3010" s="1466"/>
    </row>
    <row r="3011" spans="11:15">
      <c r="K3011" s="1462">
        <v>45068</v>
      </c>
      <c r="L3011" s="1466" t="s">
        <v>2127</v>
      </c>
      <c r="M3011" s="848">
        <v>5.0788E-2</v>
      </c>
      <c r="N3011" s="1466">
        <v>1.9922883442948807</v>
      </c>
      <c r="O3011" s="1466"/>
    </row>
    <row r="3012" spans="11:15">
      <c r="K3012" s="1462">
        <v>45069</v>
      </c>
      <c r="L3012" s="1466" t="s">
        <v>2127</v>
      </c>
      <c r="M3012" s="848">
        <v>5.0788E-2</v>
      </c>
      <c r="N3012" s="1466">
        <v>1.9933001876991812</v>
      </c>
      <c r="O3012" s="1466"/>
    </row>
    <row r="3013" spans="11:15">
      <c r="K3013" s="1462">
        <v>45070</v>
      </c>
      <c r="L3013" s="1466" t="s">
        <v>2127</v>
      </c>
      <c r="M3013" s="848">
        <v>5.0788E-2</v>
      </c>
      <c r="N3013" s="1466">
        <v>1.9943125449985097</v>
      </c>
      <c r="O3013" s="1466"/>
    </row>
    <row r="3014" spans="11:15">
      <c r="K3014" s="1462">
        <v>45071</v>
      </c>
      <c r="L3014" s="1466" t="s">
        <v>2127</v>
      </c>
      <c r="M3014" s="848">
        <v>5.0788E-2</v>
      </c>
      <c r="N3014" s="1466">
        <v>1.9953254164538636</v>
      </c>
      <c r="O3014" s="1466"/>
    </row>
    <row r="3015" spans="11:15">
      <c r="K3015" s="1462">
        <v>45072</v>
      </c>
      <c r="L3015" s="1466" t="s">
        <v>2127</v>
      </c>
      <c r="M3015" s="848">
        <v>5.0788E-2</v>
      </c>
      <c r="N3015" s="1466">
        <v>1.9963388023263722</v>
      </c>
      <c r="O3015" s="1466"/>
    </row>
    <row r="3016" spans="11:15">
      <c r="K3016" s="1462">
        <v>45073</v>
      </c>
      <c r="L3016" s="1466"/>
      <c r="M3016" s="848">
        <v>0</v>
      </c>
      <c r="N3016" s="1466">
        <v>1.9963388023263722</v>
      </c>
      <c r="O3016" s="1466"/>
    </row>
    <row r="3017" spans="11:15">
      <c r="K3017" s="1462">
        <v>45074</v>
      </c>
      <c r="L3017" s="1466"/>
      <c r="M3017" s="848">
        <v>0</v>
      </c>
      <c r="N3017" s="1466">
        <v>1.9963388023263722</v>
      </c>
      <c r="O3017" s="1466"/>
    </row>
    <row r="3018" spans="11:15">
      <c r="K3018" s="1462">
        <v>45075</v>
      </c>
      <c r="L3018" s="1466" t="s">
        <v>2127</v>
      </c>
      <c r="M3018" s="848">
        <v>5.0788E-2</v>
      </c>
      <c r="N3018" s="1466">
        <v>1.9973527028772977</v>
      </c>
      <c r="O3018" s="1466"/>
    </row>
    <row r="3019" spans="11:15">
      <c r="K3019" s="1462">
        <v>45076</v>
      </c>
      <c r="L3019" s="1466" t="s">
        <v>2127</v>
      </c>
      <c r="M3019" s="848">
        <v>5.0788E-2</v>
      </c>
      <c r="N3019" s="1466">
        <v>1.9983671183680352</v>
      </c>
      <c r="O3019" s="1466"/>
    </row>
    <row r="3020" spans="11:15">
      <c r="K3020" s="1462">
        <v>45077</v>
      </c>
      <c r="L3020" s="1466" t="s">
        <v>2127</v>
      </c>
      <c r="M3020" s="848">
        <v>5.0788E-2</v>
      </c>
      <c r="N3020" s="1466">
        <v>1.999382049060112</v>
      </c>
      <c r="O3020" s="1466"/>
    </row>
    <row r="3021" spans="11:15">
      <c r="K3021" s="1462">
        <v>45078</v>
      </c>
      <c r="L3021" s="1466" t="s">
        <v>2127</v>
      </c>
      <c r="M3021" s="848">
        <v>5.0788E-2</v>
      </c>
      <c r="N3021" s="1466">
        <v>2.0003974952151888</v>
      </c>
      <c r="O3021" s="1466"/>
    </row>
    <row r="3022" spans="11:15">
      <c r="K3022" s="1462">
        <v>45079</v>
      </c>
      <c r="L3022" s="1466" t="s">
        <v>2127</v>
      </c>
      <c r="M3022" s="848">
        <v>5.0788E-2</v>
      </c>
      <c r="N3022" s="1466">
        <v>2.0014134570950586</v>
      </c>
      <c r="O3022" s="1466"/>
    </row>
    <row r="3023" spans="11:15">
      <c r="K3023" s="1462">
        <v>45080</v>
      </c>
      <c r="L3023" s="1466"/>
      <c r="M3023" s="848">
        <v>0</v>
      </c>
      <c r="N3023" s="1466">
        <v>2.0014134570950586</v>
      </c>
      <c r="O3023" s="1466"/>
    </row>
    <row r="3024" spans="11:15">
      <c r="K3024" s="1462">
        <v>45081</v>
      </c>
      <c r="L3024" s="1466"/>
      <c r="M3024" s="848">
        <v>0</v>
      </c>
      <c r="N3024" s="1466">
        <v>2.0014134570950586</v>
      </c>
      <c r="O3024" s="1466"/>
    </row>
    <row r="3025" spans="11:15">
      <c r="K3025" s="1462">
        <v>45082</v>
      </c>
      <c r="L3025" s="1466" t="s">
        <v>2127</v>
      </c>
      <c r="M3025" s="848">
        <v>5.0788E-2</v>
      </c>
      <c r="N3025" s="1466">
        <v>2.0024299349616479</v>
      </c>
      <c r="O3025" s="1466"/>
    </row>
    <row r="3026" spans="11:15">
      <c r="K3026" s="1462">
        <v>45083</v>
      </c>
      <c r="L3026" s="1466" t="s">
        <v>2127</v>
      </c>
      <c r="M3026" s="848">
        <v>5.0788E-2</v>
      </c>
      <c r="N3026" s="1466">
        <v>2.003446929077016</v>
      </c>
      <c r="O3026" s="1466"/>
    </row>
    <row r="3027" spans="11:15">
      <c r="K3027" s="1462">
        <v>45084</v>
      </c>
      <c r="L3027" s="1466" t="s">
        <v>2127</v>
      </c>
      <c r="M3027" s="848">
        <v>5.0788E-2</v>
      </c>
      <c r="N3027" s="1466">
        <v>2.0044644397033555</v>
      </c>
      <c r="O3027" s="1466"/>
    </row>
    <row r="3028" spans="11:15">
      <c r="K3028" s="1462">
        <v>45085</v>
      </c>
      <c r="L3028" s="1466"/>
      <c r="M3028" s="848">
        <v>0</v>
      </c>
      <c r="N3028" s="1466">
        <v>2.0044644397033555</v>
      </c>
      <c r="O3028" s="1466"/>
    </row>
    <row r="3029" spans="11:15">
      <c r="K3029" s="1462">
        <v>45086</v>
      </c>
      <c r="L3029" s="1466" t="s">
        <v>2127</v>
      </c>
      <c r="M3029" s="848">
        <v>5.0788E-2</v>
      </c>
      <c r="N3029" s="1466">
        <v>2.0054824671029921</v>
      </c>
      <c r="O3029" s="1466"/>
    </row>
    <row r="3030" spans="11:15">
      <c r="K3030" s="1462">
        <v>45087</v>
      </c>
      <c r="L3030" s="1466"/>
      <c r="M3030" s="848">
        <v>0</v>
      </c>
      <c r="N3030" s="1466">
        <v>2.0054824671029921</v>
      </c>
      <c r="O3030" s="1466"/>
    </row>
    <row r="3031" spans="11:15">
      <c r="K3031" s="1462">
        <v>45088</v>
      </c>
      <c r="L3031" s="1466"/>
      <c r="M3031" s="848">
        <v>0</v>
      </c>
      <c r="N3031" s="1466">
        <v>2.0054824671029921</v>
      </c>
      <c r="O3031" s="1466"/>
    </row>
    <row r="3032" spans="11:15">
      <c r="K3032" s="1462">
        <v>45089</v>
      </c>
      <c r="L3032" s="1466" t="s">
        <v>2127</v>
      </c>
      <c r="M3032" s="848">
        <v>5.0788E-2</v>
      </c>
      <c r="N3032" s="1466">
        <v>2.0065010115383846</v>
      </c>
      <c r="O3032" s="1466"/>
    </row>
    <row r="3033" spans="11:15">
      <c r="K3033" s="1462">
        <v>45090</v>
      </c>
      <c r="L3033" s="1466" t="s">
        <v>2127</v>
      </c>
      <c r="M3033" s="848">
        <v>5.0788E-2</v>
      </c>
      <c r="N3033" s="1466">
        <v>2.0075200732721248</v>
      </c>
      <c r="O3033" s="1466"/>
    </row>
    <row r="3034" spans="11:15">
      <c r="K3034" s="1462">
        <v>45091</v>
      </c>
      <c r="L3034" s="1466" t="s">
        <v>2127</v>
      </c>
      <c r="M3034" s="848">
        <v>5.0788E-2</v>
      </c>
      <c r="N3034" s="1466">
        <v>2.0085396525669381</v>
      </c>
      <c r="O3034" s="1466"/>
    </row>
    <row r="3035" spans="11:15">
      <c r="K3035" s="1462">
        <v>45092</v>
      </c>
      <c r="L3035" s="1466" t="s">
        <v>2127</v>
      </c>
      <c r="M3035" s="848">
        <v>5.0788E-2</v>
      </c>
      <c r="N3035" s="1466">
        <v>2.0095597496856836</v>
      </c>
      <c r="O3035" s="1466"/>
    </row>
    <row r="3036" spans="11:15">
      <c r="K3036" s="1462">
        <v>45093</v>
      </c>
      <c r="L3036" s="1466" t="s">
        <v>2127</v>
      </c>
      <c r="M3036" s="848">
        <v>5.0788E-2</v>
      </c>
      <c r="N3036" s="1466">
        <v>2.0105803648913541</v>
      </c>
      <c r="O3036" s="1466"/>
    </row>
    <row r="3037" spans="11:15">
      <c r="K3037" s="1462">
        <v>45094</v>
      </c>
      <c r="L3037" s="1466"/>
      <c r="M3037" s="848">
        <v>0</v>
      </c>
      <c r="N3037" s="1466">
        <v>2.0105803648913541</v>
      </c>
      <c r="O3037" s="1466"/>
    </row>
    <row r="3038" spans="11:15">
      <c r="K3038" s="1462">
        <v>45095</v>
      </c>
      <c r="L3038" s="1466"/>
      <c r="M3038" s="848">
        <v>0</v>
      </c>
      <c r="N3038" s="1466">
        <v>2.0105803648913541</v>
      </c>
      <c r="O3038" s="1466"/>
    </row>
    <row r="3039" spans="11:15">
      <c r="K3039" s="1462">
        <v>45096</v>
      </c>
      <c r="L3039" s="1466" t="s">
        <v>2127</v>
      </c>
      <c r="M3039" s="848">
        <v>5.0788E-2</v>
      </c>
      <c r="N3039" s="1466">
        <v>2.0116014984470749</v>
      </c>
      <c r="O3039" s="1466"/>
    </row>
    <row r="3040" spans="11:15">
      <c r="K3040" s="1462">
        <v>45097</v>
      </c>
      <c r="L3040" s="1466" t="s">
        <v>2127</v>
      </c>
      <c r="M3040" s="848">
        <v>5.0788E-2</v>
      </c>
      <c r="N3040" s="1466">
        <v>2.0126231506161063</v>
      </c>
      <c r="O3040" s="1466"/>
    </row>
    <row r="3041" spans="11:15">
      <c r="K3041" s="1462">
        <v>45098</v>
      </c>
      <c r="L3041" s="1466" t="s">
        <v>2127</v>
      </c>
      <c r="M3041" s="848">
        <v>5.0788E-2</v>
      </c>
      <c r="N3041" s="1466">
        <v>2.0136453216618411</v>
      </c>
      <c r="O3041" s="1466"/>
    </row>
    <row r="3042" spans="11:15">
      <c r="K3042" s="1462">
        <v>45099</v>
      </c>
      <c r="L3042" s="1466" t="s">
        <v>2127</v>
      </c>
      <c r="M3042" s="848">
        <v>5.0788E-2</v>
      </c>
      <c r="N3042" s="1466">
        <v>2.0146680118478066</v>
      </c>
      <c r="O3042" s="1466"/>
    </row>
    <row r="3043" spans="11:15">
      <c r="K3043" s="1462">
        <v>45100</v>
      </c>
      <c r="L3043" s="1466" t="s">
        <v>2127</v>
      </c>
      <c r="M3043" s="848">
        <v>5.0788E-2</v>
      </c>
      <c r="N3043" s="1466">
        <v>2.0156912214376641</v>
      </c>
      <c r="O3043" s="1466"/>
    </row>
    <row r="3044" spans="11:15">
      <c r="K3044" s="1462">
        <v>45101</v>
      </c>
      <c r="L3044" s="1466"/>
      <c r="M3044" s="848">
        <v>0</v>
      </c>
      <c r="N3044" s="1466">
        <v>2.0156912214376641</v>
      </c>
      <c r="O3044" s="1466"/>
    </row>
    <row r="3045" spans="11:15">
      <c r="K3045" s="1462">
        <v>45102</v>
      </c>
      <c r="L3045" s="1466"/>
      <c r="M3045" s="848">
        <v>0</v>
      </c>
      <c r="N3045" s="1466">
        <v>2.0156912214376641</v>
      </c>
      <c r="O3045" s="1466"/>
    </row>
    <row r="3046" spans="11:15">
      <c r="K3046" s="1462">
        <v>45103</v>
      </c>
      <c r="L3046" s="1466" t="s">
        <v>2127</v>
      </c>
      <c r="M3046" s="848">
        <v>5.0788E-2</v>
      </c>
      <c r="N3046" s="1466">
        <v>2.0167149506952078</v>
      </c>
      <c r="O3046" s="1466"/>
    </row>
    <row r="3047" spans="11:15">
      <c r="K3047" s="1462">
        <v>45104</v>
      </c>
      <c r="L3047" s="1466" t="s">
        <v>2127</v>
      </c>
      <c r="M3047" s="848">
        <v>5.0788E-2</v>
      </c>
      <c r="N3047" s="1466">
        <v>2.017739199884367</v>
      </c>
      <c r="O3047" s="1466"/>
    </row>
    <row r="3048" spans="11:15">
      <c r="K3048" s="1462">
        <v>45105</v>
      </c>
      <c r="L3048" s="1466" t="s">
        <v>2127</v>
      </c>
      <c r="M3048" s="848">
        <v>5.0788E-2</v>
      </c>
      <c r="N3048" s="1466">
        <v>2.0187639692692043</v>
      </c>
      <c r="O3048" s="1466"/>
    </row>
    <row r="3049" spans="11:15">
      <c r="K3049" s="1462">
        <v>45106</v>
      </c>
      <c r="L3049" s="1466" t="s">
        <v>2127</v>
      </c>
      <c r="M3049" s="848">
        <v>5.0788E-2</v>
      </c>
      <c r="N3049" s="1466">
        <v>2.0197892591139168</v>
      </c>
      <c r="O3049" s="1466"/>
    </row>
    <row r="3050" spans="11:15">
      <c r="K3050" s="1462">
        <v>45107</v>
      </c>
      <c r="L3050" s="1466" t="s">
        <v>2127</v>
      </c>
      <c r="M3050" s="848">
        <v>5.0788E-2</v>
      </c>
      <c r="N3050" s="1466">
        <v>2.0208150696828358</v>
      </c>
      <c r="O3050" s="1466"/>
    </row>
    <row r="3051" spans="11:15">
      <c r="K3051" s="1462">
        <v>45108</v>
      </c>
      <c r="L3051" s="1466"/>
      <c r="M3051" s="848">
        <v>0</v>
      </c>
      <c r="N3051" s="1466">
        <v>2.0208150696828358</v>
      </c>
      <c r="O3051" s="1466"/>
    </row>
    <row r="3052" spans="11:15">
      <c r="K3052" s="1462">
        <v>45109</v>
      </c>
      <c r="L3052" s="1466"/>
      <c r="M3052" s="848">
        <v>0</v>
      </c>
      <c r="N3052" s="1466">
        <v>2.0208150696828358</v>
      </c>
      <c r="O3052" s="1466"/>
    </row>
    <row r="3053" spans="11:15">
      <c r="K3053" s="1462">
        <v>45110</v>
      </c>
      <c r="L3053" s="1466" t="s">
        <v>2127</v>
      </c>
      <c r="M3053" s="848">
        <v>5.0788E-2</v>
      </c>
      <c r="N3053" s="1466">
        <v>2.0218414012404264</v>
      </c>
      <c r="O3053" s="1466"/>
    </row>
    <row r="3054" spans="11:15">
      <c r="K3054" s="1462">
        <v>45111</v>
      </c>
      <c r="L3054" s="1466" t="s">
        <v>2127</v>
      </c>
      <c r="M3054" s="848">
        <v>5.0788E-2</v>
      </c>
      <c r="N3054" s="1466">
        <v>2.0228682540512883</v>
      </c>
      <c r="O3054" s="1466"/>
    </row>
    <row r="3055" spans="11:15">
      <c r="K3055" s="1462">
        <v>45112</v>
      </c>
      <c r="L3055" s="1466" t="s">
        <v>2127</v>
      </c>
      <c r="M3055" s="848">
        <v>5.0788E-2</v>
      </c>
      <c r="N3055" s="1466">
        <v>2.0238956283801559</v>
      </c>
      <c r="O3055" s="1466"/>
    </row>
    <row r="3056" spans="11:15">
      <c r="K3056" s="1462">
        <v>45113</v>
      </c>
      <c r="L3056" s="1466" t="s">
        <v>2127</v>
      </c>
      <c r="M3056" s="848">
        <v>5.0788E-2</v>
      </c>
      <c r="N3056" s="1466">
        <v>2.0249235244918977</v>
      </c>
      <c r="O3056" s="1466"/>
    </row>
    <row r="3057" spans="11:15">
      <c r="K3057" s="1462">
        <v>45114</v>
      </c>
      <c r="L3057" s="1466" t="s">
        <v>2127</v>
      </c>
      <c r="M3057" s="848">
        <v>5.0788E-2</v>
      </c>
      <c r="N3057" s="1466">
        <v>2.0259519426515169</v>
      </c>
      <c r="O3057" s="1466"/>
    </row>
    <row r="3058" spans="11:15">
      <c r="K3058" s="1462">
        <v>45115</v>
      </c>
      <c r="L3058" s="1466"/>
      <c r="M3058" s="848">
        <v>0</v>
      </c>
      <c r="N3058" s="1466">
        <v>2.0259519426515169</v>
      </c>
      <c r="O3058" s="1466"/>
    </row>
    <row r="3059" spans="11:15">
      <c r="K3059" s="1462">
        <v>45116</v>
      </c>
      <c r="L3059" s="1466"/>
      <c r="M3059" s="848">
        <v>0</v>
      </c>
      <c r="N3059" s="1466">
        <v>2.0259519426515169</v>
      </c>
      <c r="O3059" s="1466"/>
    </row>
    <row r="3060" spans="11:15">
      <c r="K3060" s="1462">
        <v>45117</v>
      </c>
      <c r="L3060" s="1466" t="s">
        <v>2127</v>
      </c>
      <c r="M3060" s="848">
        <v>5.0788E-2</v>
      </c>
      <c r="N3060" s="1466">
        <v>2.0269808831241507</v>
      </c>
      <c r="O3060" s="1466"/>
    </row>
    <row r="3061" spans="11:15">
      <c r="K3061" s="1462">
        <v>45118</v>
      </c>
      <c r="L3061" s="1466" t="s">
        <v>2127</v>
      </c>
      <c r="M3061" s="848">
        <v>5.0788E-2</v>
      </c>
      <c r="N3061" s="1466">
        <v>2.0280103461750718</v>
      </c>
      <c r="O3061" s="1466"/>
    </row>
    <row r="3062" spans="11:15">
      <c r="K3062" s="1462">
        <v>45119</v>
      </c>
      <c r="L3062" s="1466" t="s">
        <v>2127</v>
      </c>
      <c r="M3062" s="848">
        <v>5.0788E-2</v>
      </c>
      <c r="N3062" s="1466">
        <v>2.029040332069687</v>
      </c>
      <c r="O3062" s="1466"/>
    </row>
    <row r="3063" spans="11:15">
      <c r="K3063" s="1462">
        <v>45120</v>
      </c>
      <c r="L3063" s="1466" t="s">
        <v>2127</v>
      </c>
      <c r="M3063" s="848">
        <v>5.0788E-2</v>
      </c>
      <c r="N3063" s="1466">
        <v>2.0300708410735386</v>
      </c>
      <c r="O3063" s="1466"/>
    </row>
    <row r="3064" spans="11:15">
      <c r="K3064" s="1462">
        <v>45121</v>
      </c>
      <c r="L3064" s="1466" t="s">
        <v>2127</v>
      </c>
      <c r="M3064" s="848">
        <v>5.0788E-2</v>
      </c>
      <c r="N3064" s="1466">
        <v>2.031101873452303</v>
      </c>
      <c r="O3064" s="1466"/>
    </row>
    <row r="3065" spans="11:15">
      <c r="K3065" s="1462">
        <v>45122</v>
      </c>
      <c r="L3065" s="1466"/>
      <c r="M3065" s="848">
        <v>0</v>
      </c>
      <c r="N3065" s="1466">
        <v>2.031101873452303</v>
      </c>
      <c r="O3065" s="1466"/>
    </row>
    <row r="3066" spans="11:15">
      <c r="K3066" s="1462">
        <v>45123</v>
      </c>
      <c r="L3066" s="1466"/>
      <c r="M3066" s="848">
        <v>0</v>
      </c>
      <c r="N3066" s="1466">
        <v>2.031101873452303</v>
      </c>
      <c r="O3066" s="1466"/>
    </row>
    <row r="3067" spans="11:15">
      <c r="K3067" s="1462">
        <v>45124</v>
      </c>
      <c r="L3067" s="1466" t="s">
        <v>2127</v>
      </c>
      <c r="M3067" s="848">
        <v>5.0788E-2</v>
      </c>
      <c r="N3067" s="1466">
        <v>2.0321334294717919</v>
      </c>
      <c r="O3067" s="1466"/>
    </row>
    <row r="3068" spans="11:15">
      <c r="K3068" s="1462">
        <v>45125</v>
      </c>
      <c r="L3068" s="1466" t="s">
        <v>2127</v>
      </c>
      <c r="M3068" s="848">
        <v>5.0788E-2</v>
      </c>
      <c r="N3068" s="1466">
        <v>2.0331655093979522</v>
      </c>
      <c r="O3068" s="1466"/>
    </row>
    <row r="3069" spans="11:15">
      <c r="K3069" s="1462">
        <v>45126</v>
      </c>
      <c r="L3069" s="1466" t="s">
        <v>2127</v>
      </c>
      <c r="M3069" s="848">
        <v>5.0788E-2</v>
      </c>
      <c r="N3069" s="1466">
        <v>2.0341981134968652</v>
      </c>
      <c r="O3069" s="1466"/>
    </row>
    <row r="3070" spans="11:15">
      <c r="K3070" s="1462">
        <v>45127</v>
      </c>
      <c r="L3070" s="1466" t="s">
        <v>2127</v>
      </c>
      <c r="M3070" s="848">
        <v>5.0788E-2</v>
      </c>
      <c r="N3070" s="1466">
        <v>2.0352312420347478</v>
      </c>
      <c r="O3070" s="1466"/>
    </row>
    <row r="3071" spans="11:15">
      <c r="K3071" s="1462">
        <v>45128</v>
      </c>
      <c r="L3071" s="1466" t="s">
        <v>2127</v>
      </c>
      <c r="M3071" s="848">
        <v>5.0788E-2</v>
      </c>
      <c r="N3071" s="1466">
        <v>2.0362648952779523</v>
      </c>
      <c r="O3071" s="1466"/>
    </row>
    <row r="3072" spans="11:15">
      <c r="K3072" s="1462">
        <v>45129</v>
      </c>
      <c r="L3072" s="1466"/>
      <c r="M3072" s="848">
        <v>0</v>
      </c>
      <c r="N3072" s="1466">
        <v>2.0362648952779523</v>
      </c>
      <c r="O3072" s="1466"/>
    </row>
    <row r="3073" spans="11:15">
      <c r="K3073" s="1462">
        <v>45130</v>
      </c>
      <c r="L3073" s="1466"/>
      <c r="M3073" s="848">
        <v>0</v>
      </c>
      <c r="N3073" s="1466">
        <v>2.0362648952779523</v>
      </c>
      <c r="O3073" s="1466"/>
    </row>
    <row r="3074" spans="11:15">
      <c r="K3074" s="1462">
        <v>45131</v>
      </c>
      <c r="L3074" s="1466" t="s">
        <v>2127</v>
      </c>
      <c r="M3074" s="848">
        <v>5.0788E-2</v>
      </c>
      <c r="N3074" s="1466">
        <v>2.0372990734929659</v>
      </c>
      <c r="O3074" s="1466"/>
    </row>
    <row r="3075" spans="11:15">
      <c r="K3075" s="1462">
        <v>45132</v>
      </c>
      <c r="L3075" s="1466" t="s">
        <v>2127</v>
      </c>
      <c r="M3075" s="848">
        <v>5.0788E-2</v>
      </c>
      <c r="N3075" s="1466">
        <v>2.0383337769464114</v>
      </c>
      <c r="O3075" s="1466"/>
    </row>
    <row r="3076" spans="11:15">
      <c r="K3076" s="1462">
        <v>45133</v>
      </c>
      <c r="L3076" s="1466" t="s">
        <v>2127</v>
      </c>
      <c r="M3076" s="848">
        <v>5.0788E-2</v>
      </c>
      <c r="N3076" s="1466">
        <v>2.0393690059050469</v>
      </c>
      <c r="O3076" s="1466"/>
    </row>
    <row r="3077" spans="11:15">
      <c r="K3077" s="1462">
        <v>45134</v>
      </c>
      <c r="L3077" s="1466" t="s">
        <v>2127</v>
      </c>
      <c r="M3077" s="848">
        <v>5.0788E-2</v>
      </c>
      <c r="N3077" s="1466">
        <v>2.040404760635766</v>
      </c>
      <c r="O3077" s="1466"/>
    </row>
    <row r="3078" spans="11:15">
      <c r="K3078" s="1462">
        <v>45135</v>
      </c>
      <c r="L3078" s="1466" t="s">
        <v>2127</v>
      </c>
      <c r="M3078" s="848">
        <v>5.0788E-2</v>
      </c>
      <c r="N3078" s="1466">
        <v>2.0414410414055979</v>
      </c>
      <c r="O3078" s="1466"/>
    </row>
    <row r="3079" spans="11:15">
      <c r="K3079" s="1462">
        <v>45136</v>
      </c>
      <c r="L3079" s="1466"/>
      <c r="M3079" s="848">
        <v>0</v>
      </c>
      <c r="N3079" s="1466">
        <v>2.0414410414055979</v>
      </c>
      <c r="O3079" s="1466"/>
    </row>
    <row r="3080" spans="11:15">
      <c r="K3080" s="1462">
        <v>45137</v>
      </c>
      <c r="L3080" s="1466"/>
      <c r="M3080" s="848">
        <v>0</v>
      </c>
      <c r="N3080" s="1466">
        <v>2.0414410414055979</v>
      </c>
      <c r="O3080" s="1466"/>
    </row>
    <row r="3081" spans="11:15">
      <c r="K3081" s="1462">
        <v>45138</v>
      </c>
      <c r="L3081" s="1466" t="s">
        <v>2127</v>
      </c>
      <c r="M3081" s="848">
        <v>5.0788E-2</v>
      </c>
      <c r="N3081" s="1466">
        <v>2.042477848481707</v>
      </c>
      <c r="O3081" s="1466"/>
    </row>
    <row r="3082" spans="11:15">
      <c r="K3082" s="1462">
        <v>45139</v>
      </c>
      <c r="L3082" s="1466" t="s">
        <v>2127</v>
      </c>
      <c r="M3082" s="848">
        <v>5.0788E-2</v>
      </c>
      <c r="N3082" s="1466">
        <v>2.0435151821313937</v>
      </c>
      <c r="O3082" s="1466"/>
    </row>
    <row r="3083" spans="11:15">
      <c r="K3083" s="1462">
        <v>45140</v>
      </c>
      <c r="L3083" s="1466" t="s">
        <v>2127</v>
      </c>
      <c r="M3083" s="848">
        <v>5.0788E-2</v>
      </c>
      <c r="N3083" s="1466">
        <v>2.0445530426220948</v>
      </c>
      <c r="O3083" s="1466"/>
    </row>
    <row r="3084" spans="11:15">
      <c r="K3084" s="1462">
        <v>45141</v>
      </c>
      <c r="L3084" s="1466" t="s">
        <v>2127</v>
      </c>
      <c r="M3084" s="848">
        <v>5.0788E-2</v>
      </c>
      <c r="N3084" s="1466">
        <v>2.0455914302213816</v>
      </c>
      <c r="O3084" s="1466"/>
    </row>
    <row r="3085" spans="11:15">
      <c r="K3085" s="1462">
        <v>45142</v>
      </c>
      <c r="L3085" s="1466" t="s">
        <v>2127</v>
      </c>
      <c r="M3085" s="848">
        <v>5.0788E-2</v>
      </c>
      <c r="N3085" s="1466">
        <v>2.0466303451969625</v>
      </c>
      <c r="O3085" s="1466"/>
    </row>
    <row r="3086" spans="11:15">
      <c r="K3086" s="1462">
        <v>45143</v>
      </c>
      <c r="L3086" s="1466"/>
      <c r="M3086" s="848">
        <v>0</v>
      </c>
      <c r="N3086" s="1466">
        <v>2.0466303451969625</v>
      </c>
      <c r="O3086" s="1466"/>
    </row>
    <row r="3087" spans="11:15">
      <c r="K3087" s="1462">
        <v>45144</v>
      </c>
      <c r="L3087" s="1466"/>
      <c r="M3087" s="848">
        <v>0</v>
      </c>
      <c r="N3087" s="1466">
        <v>2.0466303451969625</v>
      </c>
      <c r="O3087" s="1466"/>
    </row>
    <row r="3088" spans="11:15">
      <c r="K3088" s="1462">
        <v>45145</v>
      </c>
      <c r="L3088" s="1466" t="s">
        <v>2127</v>
      </c>
      <c r="M3088" s="848">
        <v>5.0788E-2</v>
      </c>
      <c r="N3088" s="1466">
        <v>2.0476697878166812</v>
      </c>
      <c r="O3088" s="1466"/>
    </row>
    <row r="3089" spans="11:15">
      <c r="K3089" s="1462">
        <v>45146</v>
      </c>
      <c r="L3089" s="1466" t="s">
        <v>2127</v>
      </c>
      <c r="M3089" s="848">
        <v>5.0788E-2</v>
      </c>
      <c r="N3089" s="1466">
        <v>2.0487097583485174</v>
      </c>
      <c r="O3089" s="1466"/>
    </row>
    <row r="3090" spans="11:15">
      <c r="K3090" s="1462">
        <v>45147</v>
      </c>
      <c r="L3090" s="1466" t="s">
        <v>2127</v>
      </c>
      <c r="M3090" s="848">
        <v>5.0788E-2</v>
      </c>
      <c r="N3090" s="1466">
        <v>2.0497502570605874</v>
      </c>
      <c r="O3090" s="1466"/>
    </row>
    <row r="3091" spans="11:15">
      <c r="K3091" s="1462">
        <v>45148</v>
      </c>
      <c r="L3091" s="1466" t="s">
        <v>2127</v>
      </c>
      <c r="M3091" s="848">
        <v>5.0788E-2</v>
      </c>
      <c r="N3091" s="1466">
        <v>2.0507912842211433</v>
      </c>
      <c r="O3091" s="1466"/>
    </row>
    <row r="3092" spans="11:15">
      <c r="K3092" s="1462">
        <v>45149</v>
      </c>
      <c r="L3092" s="1466" t="s">
        <v>2127</v>
      </c>
      <c r="M3092" s="848">
        <v>5.0788E-2</v>
      </c>
      <c r="N3092" s="1466">
        <v>2.0518328400985735</v>
      </c>
      <c r="O3092" s="1466"/>
    </row>
    <row r="3093" spans="11:15">
      <c r="K3093" s="1462">
        <v>45150</v>
      </c>
      <c r="L3093" s="1466"/>
      <c r="M3093" s="848">
        <v>0</v>
      </c>
      <c r="N3093" s="1466">
        <v>2.0518328400985735</v>
      </c>
      <c r="O3093" s="1466"/>
    </row>
    <row r="3094" spans="11:15">
      <c r="K3094" s="1462">
        <v>45151</v>
      </c>
      <c r="L3094" s="1466"/>
      <c r="M3094" s="848">
        <v>0</v>
      </c>
      <c r="N3094" s="1466">
        <v>2.0518328400985735</v>
      </c>
      <c r="O3094" s="1466"/>
    </row>
    <row r="3095" spans="11:15">
      <c r="K3095" s="1462">
        <v>45152</v>
      </c>
      <c r="L3095" s="1466" t="s">
        <v>2127</v>
      </c>
      <c r="M3095" s="848">
        <v>5.0788E-2</v>
      </c>
      <c r="N3095" s="1466">
        <v>2.0528749249614027</v>
      </c>
      <c r="O3095" s="1466"/>
    </row>
    <row r="3096" spans="11:15">
      <c r="K3096" s="1462">
        <v>45153</v>
      </c>
      <c r="L3096" s="1466" t="s">
        <v>2127</v>
      </c>
      <c r="M3096" s="848">
        <v>5.0788E-2</v>
      </c>
      <c r="N3096" s="1466">
        <v>2.053917539078292</v>
      </c>
      <c r="O3096" s="1466"/>
    </row>
    <row r="3097" spans="11:15">
      <c r="K3097" s="1462">
        <v>45154</v>
      </c>
      <c r="L3097" s="1466" t="s">
        <v>2127</v>
      </c>
      <c r="M3097" s="848">
        <v>5.0788E-2</v>
      </c>
      <c r="N3097" s="1466">
        <v>2.0549606827180393</v>
      </c>
      <c r="O3097" s="1466"/>
    </row>
    <row r="3098" spans="11:15">
      <c r="K3098" s="1462">
        <v>45155</v>
      </c>
      <c r="L3098" s="1466" t="s">
        <v>2127</v>
      </c>
      <c r="M3098" s="848">
        <v>5.0788E-2</v>
      </c>
      <c r="N3098" s="1466">
        <v>2.056004356149578</v>
      </c>
      <c r="O3098" s="1466"/>
    </row>
    <row r="3099" spans="11:15">
      <c r="K3099" s="1462">
        <v>45156</v>
      </c>
      <c r="L3099" s="1466" t="s">
        <v>2127</v>
      </c>
      <c r="M3099" s="848">
        <v>5.0788E-2</v>
      </c>
      <c r="N3099" s="1466">
        <v>2.0570485596419794</v>
      </c>
      <c r="O3099" s="1466"/>
    </row>
    <row r="3100" spans="11:15">
      <c r="K3100" s="1462">
        <v>45157</v>
      </c>
      <c r="L3100" s="1466"/>
      <c r="M3100" s="848">
        <v>0</v>
      </c>
      <c r="N3100" s="1466">
        <v>2.0570485596419794</v>
      </c>
      <c r="O3100" s="1466"/>
    </row>
    <row r="3101" spans="11:15">
      <c r="K3101" s="1462">
        <v>45158</v>
      </c>
      <c r="L3101" s="1466"/>
      <c r="M3101" s="848">
        <v>0</v>
      </c>
      <c r="N3101" s="1466">
        <v>2.0570485596419794</v>
      </c>
      <c r="O3101" s="1466"/>
    </row>
    <row r="3102" spans="11:15">
      <c r="K3102" s="1462">
        <v>45159</v>
      </c>
      <c r="L3102" s="1466" t="s">
        <v>2127</v>
      </c>
      <c r="M3102" s="848">
        <v>5.0788E-2</v>
      </c>
      <c r="N3102" s="1466">
        <v>2.0580932934644505</v>
      </c>
      <c r="O3102" s="1466"/>
    </row>
    <row r="3103" spans="11:15">
      <c r="K3103" s="1462">
        <v>45160</v>
      </c>
      <c r="L3103" s="1466" t="s">
        <v>2127</v>
      </c>
      <c r="M3103" s="848">
        <v>5.0788E-2</v>
      </c>
      <c r="N3103" s="1466">
        <v>2.0591385578863353</v>
      </c>
      <c r="O3103" s="1466"/>
    </row>
    <row r="3104" spans="11:15">
      <c r="K3104" s="1462">
        <v>45161</v>
      </c>
      <c r="L3104" s="1466" t="s">
        <v>2127</v>
      </c>
      <c r="M3104" s="848">
        <v>5.0788E-2</v>
      </c>
      <c r="N3104" s="1466">
        <v>2.0601843531771147</v>
      </c>
      <c r="O3104" s="1466"/>
    </row>
    <row r="3105" spans="11:15">
      <c r="K3105" s="1462">
        <v>45162</v>
      </c>
      <c r="L3105" s="1466" t="s">
        <v>2127</v>
      </c>
      <c r="M3105" s="848">
        <v>5.0788E-2</v>
      </c>
      <c r="N3105" s="1466">
        <v>2.0612306796064064</v>
      </c>
      <c r="O3105" s="1466"/>
    </row>
    <row r="3106" spans="11:15">
      <c r="K3106" s="1462">
        <v>45163</v>
      </c>
      <c r="L3106" s="1466" t="s">
        <v>2127</v>
      </c>
      <c r="M3106" s="848">
        <v>5.0788E-2</v>
      </c>
      <c r="N3106" s="1466">
        <v>2.0622775374439648</v>
      </c>
      <c r="O3106" s="1466"/>
    </row>
    <row r="3107" spans="11:15">
      <c r="K3107" s="1462">
        <v>45164</v>
      </c>
      <c r="L3107" s="1466"/>
      <c r="M3107" s="848">
        <v>0</v>
      </c>
      <c r="N3107" s="1466">
        <v>2.0622775374439648</v>
      </c>
      <c r="O3107" s="1466"/>
    </row>
    <row r="3108" spans="11:15">
      <c r="K3108" s="1462">
        <v>45165</v>
      </c>
      <c r="L3108" s="1466"/>
      <c r="M3108" s="848">
        <v>0</v>
      </c>
      <c r="N3108" s="1466">
        <v>2.0622775374439648</v>
      </c>
      <c r="O3108" s="1466"/>
    </row>
    <row r="3109" spans="11:15">
      <c r="K3109" s="1462">
        <v>45166</v>
      </c>
      <c r="L3109" s="1466" t="s">
        <v>2127</v>
      </c>
      <c r="M3109" s="848">
        <v>5.0788E-2</v>
      </c>
      <c r="N3109" s="1466">
        <v>2.0633249269596821</v>
      </c>
      <c r="O3109" s="1466"/>
    </row>
    <row r="3110" spans="11:15">
      <c r="K3110" s="1462">
        <v>45167</v>
      </c>
      <c r="L3110" s="1466" t="s">
        <v>2127</v>
      </c>
      <c r="M3110" s="848">
        <v>5.0788E-2</v>
      </c>
      <c r="N3110" s="1466">
        <v>2.0643728484235866</v>
      </c>
      <c r="O3110" s="1466"/>
    </row>
    <row r="3111" spans="11:15">
      <c r="K3111" s="1462">
        <v>45168</v>
      </c>
      <c r="L3111" s="1466" t="s">
        <v>2127</v>
      </c>
      <c r="M3111" s="848">
        <v>5.0788E-2</v>
      </c>
      <c r="N3111" s="1466">
        <v>2.0654213021058441</v>
      </c>
      <c r="O3111" s="1466"/>
    </row>
    <row r="3112" spans="11:15">
      <c r="K3112" s="1462">
        <v>45169</v>
      </c>
      <c r="L3112" s="1466" t="s">
        <v>2127</v>
      </c>
      <c r="M3112" s="848">
        <v>5.0788E-2</v>
      </c>
      <c r="N3112" s="1466">
        <v>2.0664702882767578</v>
      </c>
      <c r="O3112" s="1466"/>
    </row>
    <row r="3113" spans="11:15">
      <c r="K3113" s="1462">
        <v>45170</v>
      </c>
      <c r="L3113" s="1466" t="s">
        <v>2127</v>
      </c>
      <c r="M3113" s="848">
        <v>5.0788E-2</v>
      </c>
      <c r="N3113" s="1466">
        <v>2.067519807206768</v>
      </c>
      <c r="O3113" s="1466"/>
    </row>
    <row r="3114" spans="11:15">
      <c r="K3114" s="1462">
        <v>45171</v>
      </c>
      <c r="L3114" s="1466"/>
      <c r="M3114" s="848">
        <v>0</v>
      </c>
      <c r="N3114" s="1466">
        <v>2.067519807206768</v>
      </c>
      <c r="O3114" s="1466"/>
    </row>
    <row r="3115" spans="11:15">
      <c r="K3115" s="1462">
        <v>45172</v>
      </c>
      <c r="L3115" s="1466"/>
      <c r="M3115" s="848">
        <v>0</v>
      </c>
      <c r="N3115" s="1466">
        <v>2.067519807206768</v>
      </c>
      <c r="O3115" s="1466"/>
    </row>
    <row r="3116" spans="11:15">
      <c r="K3116" s="1462">
        <v>45173</v>
      </c>
      <c r="L3116" s="1466" t="s">
        <v>2127</v>
      </c>
      <c r="M3116" s="848">
        <v>5.0788E-2</v>
      </c>
      <c r="N3116" s="1466">
        <v>2.0685698591664523</v>
      </c>
      <c r="O3116" s="1466"/>
    </row>
    <row r="3117" spans="11:15">
      <c r="K3117" s="1462">
        <v>45174</v>
      </c>
      <c r="L3117" s="1466" t="s">
        <v>2127</v>
      </c>
      <c r="M3117" s="848">
        <v>5.0788E-2</v>
      </c>
      <c r="N3117" s="1466">
        <v>2.0696204444265258</v>
      </c>
      <c r="O3117" s="1466"/>
    </row>
    <row r="3118" spans="11:15">
      <c r="K3118" s="1462">
        <v>45175</v>
      </c>
      <c r="L3118" s="1466" t="s">
        <v>2127</v>
      </c>
      <c r="M3118" s="848">
        <v>5.0788E-2</v>
      </c>
      <c r="N3118" s="1466">
        <v>2.0706715632578412</v>
      </c>
      <c r="O3118" s="1466"/>
    </row>
    <row r="3119" spans="11:15">
      <c r="K3119" s="1462">
        <v>45176</v>
      </c>
      <c r="L3119" s="1466"/>
      <c r="M3119" s="848">
        <v>0</v>
      </c>
      <c r="N3119" s="1466">
        <v>2.0706715632578412</v>
      </c>
      <c r="O3119" s="1466"/>
    </row>
    <row r="3120" spans="11:15">
      <c r="K3120" s="1462">
        <v>45177</v>
      </c>
      <c r="L3120" s="1466" t="s">
        <v>2127</v>
      </c>
      <c r="M3120" s="848">
        <v>5.0788E-2</v>
      </c>
      <c r="N3120" s="1466">
        <v>2.0717232159313888</v>
      </c>
      <c r="O3120" s="1466"/>
    </row>
    <row r="3121" spans="11:15">
      <c r="K3121" s="1462">
        <v>45178</v>
      </c>
      <c r="L3121" s="1466"/>
      <c r="M3121" s="848">
        <v>0</v>
      </c>
      <c r="N3121" s="1466">
        <v>2.0717232159313888</v>
      </c>
      <c r="O3121" s="1466"/>
    </row>
    <row r="3122" spans="11:15">
      <c r="K3122" s="1462">
        <v>45179</v>
      </c>
      <c r="L3122" s="1466"/>
      <c r="M3122" s="848">
        <v>0</v>
      </c>
      <c r="N3122" s="1466">
        <v>2.0717232159313888</v>
      </c>
      <c r="O3122" s="1466"/>
    </row>
    <row r="3123" spans="11:15">
      <c r="K3123" s="1462">
        <v>45180</v>
      </c>
      <c r="L3123" s="1466" t="s">
        <v>2127</v>
      </c>
      <c r="M3123" s="848">
        <v>5.0788E-2</v>
      </c>
      <c r="N3123" s="1466">
        <v>2.0727754027182961</v>
      </c>
      <c r="O3123" s="1466"/>
    </row>
    <row r="3124" spans="11:15">
      <c r="K3124" s="1462">
        <v>45181</v>
      </c>
      <c r="L3124" s="1466" t="s">
        <v>2127</v>
      </c>
      <c r="M3124" s="848">
        <v>5.0788E-2</v>
      </c>
      <c r="N3124" s="1466">
        <v>2.0738281238898288</v>
      </c>
      <c r="O3124" s="1466"/>
    </row>
    <row r="3125" spans="11:15">
      <c r="K3125" s="1462">
        <v>45182</v>
      </c>
      <c r="L3125" s="1466" t="s">
        <v>2127</v>
      </c>
      <c r="M3125" s="848">
        <v>5.0788E-2</v>
      </c>
      <c r="N3125" s="1466">
        <v>2.07488137971739</v>
      </c>
      <c r="O3125" s="1466"/>
    </row>
    <row r="3126" spans="11:15">
      <c r="K3126" s="1462">
        <v>45183</v>
      </c>
      <c r="L3126" s="1466" t="s">
        <v>2127</v>
      </c>
      <c r="M3126" s="848">
        <v>5.0788E-2</v>
      </c>
      <c r="N3126" s="1466">
        <v>2.0759351704725209</v>
      </c>
      <c r="O3126" s="1466"/>
    </row>
    <row r="3127" spans="11:15">
      <c r="K3127" s="1462">
        <v>45184</v>
      </c>
      <c r="L3127" s="1466" t="s">
        <v>2127</v>
      </c>
      <c r="M3127" s="848">
        <v>5.0788E-2</v>
      </c>
      <c r="N3127" s="1466">
        <v>2.0769894964269007</v>
      </c>
      <c r="O3127" s="1466"/>
    </row>
    <row r="3128" spans="11:15">
      <c r="K3128" s="1462">
        <v>45185</v>
      </c>
      <c r="L3128" s="1466"/>
      <c r="M3128" s="848">
        <v>0</v>
      </c>
      <c r="N3128" s="1466">
        <v>2.0769894964269007</v>
      </c>
      <c r="O3128" s="1466"/>
    </row>
    <row r="3129" spans="11:15">
      <c r="K3129" s="1462">
        <v>45186</v>
      </c>
      <c r="L3129" s="1466"/>
      <c r="M3129" s="848">
        <v>0</v>
      </c>
      <c r="N3129" s="1466">
        <v>2.0769894964269007</v>
      </c>
      <c r="O3129" s="1466"/>
    </row>
    <row r="3130" spans="11:15">
      <c r="K3130" s="1462">
        <v>45187</v>
      </c>
      <c r="L3130" s="1466" t="s">
        <v>2127</v>
      </c>
      <c r="M3130" s="848">
        <v>5.0788E-2</v>
      </c>
      <c r="N3130" s="1466">
        <v>2.0780443578523462</v>
      </c>
      <c r="O3130" s="1466"/>
    </row>
    <row r="3131" spans="11:15">
      <c r="K3131" s="1462">
        <v>45188</v>
      </c>
      <c r="L3131" s="1466" t="s">
        <v>2127</v>
      </c>
      <c r="M3131" s="848">
        <v>5.0788E-2</v>
      </c>
      <c r="N3131" s="1466">
        <v>2.0790997550208123</v>
      </c>
      <c r="O3131" s="1466"/>
    </row>
    <row r="3132" spans="11:15">
      <c r="K3132" s="1462">
        <v>45189</v>
      </c>
      <c r="L3132" s="1466" t="s">
        <v>2127</v>
      </c>
      <c r="M3132" s="848">
        <v>5.0788E-2</v>
      </c>
      <c r="N3132" s="1466">
        <v>2.0801556882043926</v>
      </c>
      <c r="O3132" s="1466"/>
    </row>
    <row r="3133" spans="11:15">
      <c r="K3133" s="1462">
        <v>45190</v>
      </c>
      <c r="L3133" s="1466" t="s">
        <v>2127</v>
      </c>
      <c r="M3133" s="848">
        <v>5.0788E-2</v>
      </c>
      <c r="N3133" s="1466">
        <v>2.081212157675318</v>
      </c>
      <c r="O3133" s="1466"/>
    </row>
    <row r="3134" spans="11:15">
      <c r="K3134" s="1462">
        <v>45191</v>
      </c>
      <c r="L3134" s="1466" t="s">
        <v>2127</v>
      </c>
      <c r="M3134" s="848">
        <v>5.0788E-2</v>
      </c>
      <c r="N3134" s="1466">
        <v>2.0822691637059583</v>
      </c>
      <c r="O3134" s="1466"/>
    </row>
    <row r="3135" spans="11:15">
      <c r="K3135" s="1462">
        <v>45192</v>
      </c>
      <c r="L3135" s="1466"/>
      <c r="M3135" s="848">
        <v>0</v>
      </c>
      <c r="N3135" s="1466">
        <v>2.0822691637059583</v>
      </c>
      <c r="O3135" s="1466"/>
    </row>
    <row r="3136" spans="11:15">
      <c r="K3136" s="1462">
        <v>45193</v>
      </c>
      <c r="L3136" s="1466"/>
      <c r="M3136" s="848">
        <v>0</v>
      </c>
      <c r="N3136" s="1466">
        <v>2.0822691637059583</v>
      </c>
      <c r="O3136" s="1466"/>
    </row>
    <row r="3137" spans="11:15">
      <c r="K3137" s="1462">
        <v>45194</v>
      </c>
      <c r="L3137" s="1466" t="s">
        <v>2127</v>
      </c>
      <c r="M3137" s="848">
        <v>5.0788E-2</v>
      </c>
      <c r="N3137" s="1466">
        <v>2.0833267065688212</v>
      </c>
      <c r="O3137" s="1466"/>
    </row>
    <row r="3138" spans="11:15">
      <c r="K3138" s="1462">
        <v>45195</v>
      </c>
      <c r="L3138" s="1466" t="s">
        <v>2127</v>
      </c>
      <c r="M3138" s="848">
        <v>5.0788E-2</v>
      </c>
      <c r="N3138" s="1466">
        <v>2.0843847865365532</v>
      </c>
      <c r="O3138" s="1466"/>
    </row>
    <row r="3139" spans="11:15">
      <c r="K3139" s="1462">
        <v>45196</v>
      </c>
      <c r="L3139" s="1466" t="s">
        <v>2127</v>
      </c>
      <c r="M3139" s="848">
        <v>5.0788E-2</v>
      </c>
      <c r="N3139" s="1466">
        <v>2.0854434038819396</v>
      </c>
      <c r="O3139" s="1466"/>
    </row>
    <row r="3140" spans="11:15">
      <c r="K3140" s="1462">
        <v>45197</v>
      </c>
      <c r="L3140" s="1466" t="s">
        <v>2127</v>
      </c>
      <c r="M3140" s="848">
        <v>5.0788E-2</v>
      </c>
      <c r="N3140" s="1466">
        <v>2.0865025588779034</v>
      </c>
      <c r="O3140" s="1466"/>
    </row>
    <row r="3141" spans="11:15">
      <c r="K3141" s="1462">
        <v>45198</v>
      </c>
      <c r="L3141" s="1466" t="s">
        <v>2127</v>
      </c>
      <c r="M3141" s="848">
        <v>5.0788E-2</v>
      </c>
      <c r="N3141" s="1466">
        <v>2.0875622517975061</v>
      </c>
      <c r="O3141" s="1466"/>
    </row>
    <row r="3142" spans="11:15">
      <c r="K3142" s="1462">
        <v>45199</v>
      </c>
      <c r="L3142" s="1466"/>
      <c r="M3142" s="848">
        <v>0</v>
      </c>
      <c r="N3142" s="1466">
        <v>2.0875622517975061</v>
      </c>
      <c r="O3142" s="1466"/>
    </row>
    <row r="3143" spans="11:15">
      <c r="K3143" s="1462">
        <v>45200</v>
      </c>
      <c r="L3143" s="1466"/>
      <c r="M3143" s="848">
        <v>0</v>
      </c>
      <c r="N3143" s="1466">
        <v>2.0875622517975061</v>
      </c>
      <c r="O3143" s="1466"/>
    </row>
    <row r="3144" spans="11:15">
      <c r="K3144" s="1462">
        <v>45201</v>
      </c>
      <c r="L3144" s="1466" t="s">
        <v>2127</v>
      </c>
      <c r="M3144" s="848">
        <v>5.0788E-2</v>
      </c>
      <c r="N3144" s="1466">
        <v>2.0886224829139493</v>
      </c>
      <c r="O3144" s="1466"/>
    </row>
    <row r="3145" spans="11:15">
      <c r="K3145" s="1462">
        <v>45202</v>
      </c>
      <c r="L3145" s="1466" t="s">
        <v>2127</v>
      </c>
      <c r="M3145" s="848">
        <v>5.0788E-2</v>
      </c>
      <c r="N3145" s="1466">
        <v>2.0896832525005715</v>
      </c>
      <c r="O3145" s="1466"/>
    </row>
    <row r="3146" spans="11:15">
      <c r="K3146" s="1462">
        <v>45203</v>
      </c>
      <c r="L3146" s="1466" t="s">
        <v>2127</v>
      </c>
      <c r="M3146" s="848">
        <v>5.0788E-2</v>
      </c>
      <c r="N3146" s="1466">
        <v>2.0907445608308515</v>
      </c>
      <c r="O3146" s="1466"/>
    </row>
    <row r="3147" spans="11:15">
      <c r="K3147" s="1462">
        <v>45204</v>
      </c>
      <c r="L3147" s="1466" t="s">
        <v>2127</v>
      </c>
      <c r="M3147" s="848">
        <v>5.0788E-2</v>
      </c>
      <c r="N3147" s="1466">
        <v>2.0918064081784062</v>
      </c>
      <c r="O3147" s="1466"/>
    </row>
    <row r="3148" spans="11:15">
      <c r="K3148" s="1462">
        <v>45205</v>
      </c>
      <c r="L3148" s="1466" t="s">
        <v>2127</v>
      </c>
      <c r="M3148" s="848">
        <v>5.0788E-2</v>
      </c>
      <c r="N3148" s="1466">
        <v>2.092868794816992</v>
      </c>
      <c r="O3148" s="1466"/>
    </row>
    <row r="3149" spans="11:15">
      <c r="K3149" s="1462">
        <v>45206</v>
      </c>
      <c r="L3149" s="1466"/>
      <c r="M3149" s="848">
        <v>0</v>
      </c>
      <c r="N3149" s="1466">
        <v>2.092868794816992</v>
      </c>
      <c r="O3149" s="1466"/>
    </row>
    <row r="3150" spans="11:15">
      <c r="K3150" s="1462">
        <v>45207</v>
      </c>
      <c r="L3150" s="1466"/>
      <c r="M3150" s="848">
        <v>0</v>
      </c>
      <c r="N3150" s="1466">
        <v>2.092868794816992</v>
      </c>
      <c r="O3150" s="1466"/>
    </row>
    <row r="3151" spans="11:15">
      <c r="K3151" s="1462">
        <v>45208</v>
      </c>
      <c r="L3151" s="1466" t="s">
        <v>2127</v>
      </c>
      <c r="M3151" s="848">
        <v>5.0788E-2</v>
      </c>
      <c r="N3151" s="1466">
        <v>2.0939317210205037</v>
      </c>
      <c r="O3151" s="1466"/>
    </row>
    <row r="3152" spans="11:15">
      <c r="K3152" s="1462">
        <v>45209</v>
      </c>
      <c r="L3152" s="1466" t="s">
        <v>2127</v>
      </c>
      <c r="M3152" s="848">
        <v>5.0788E-2</v>
      </c>
      <c r="N3152" s="1466">
        <v>2.0949951870629757</v>
      </c>
      <c r="O3152" s="1466"/>
    </row>
    <row r="3153" spans="11:15">
      <c r="K3153" s="1462">
        <v>45210</v>
      </c>
      <c r="L3153" s="1466" t="s">
        <v>2127</v>
      </c>
      <c r="M3153" s="848">
        <v>5.0788E-2</v>
      </c>
      <c r="N3153" s="1466">
        <v>2.0960591932185815</v>
      </c>
      <c r="O3153" s="1466"/>
    </row>
    <row r="3154" spans="11:15">
      <c r="K3154" s="1462">
        <v>45211</v>
      </c>
      <c r="L3154" s="1466"/>
      <c r="M3154" s="848">
        <v>0</v>
      </c>
      <c r="N3154" s="1466">
        <v>2.0960591932185815</v>
      </c>
      <c r="O3154" s="1466"/>
    </row>
    <row r="3155" spans="11:15">
      <c r="K3155" s="1462">
        <v>45212</v>
      </c>
      <c r="L3155" s="1466" t="s">
        <v>2127</v>
      </c>
      <c r="M3155" s="848">
        <v>5.0788E-2</v>
      </c>
      <c r="N3155" s="1466">
        <v>2.0971237397616336</v>
      </c>
      <c r="O3155" s="1466"/>
    </row>
    <row r="3156" spans="11:15">
      <c r="K3156" s="1462">
        <v>45213</v>
      </c>
      <c r="L3156" s="1466"/>
      <c r="M3156" s="848">
        <v>0</v>
      </c>
      <c r="N3156" s="1466">
        <v>2.0971237397616336</v>
      </c>
      <c r="O3156" s="1466"/>
    </row>
    <row r="3157" spans="11:15">
      <c r="K3157" s="1462">
        <v>45214</v>
      </c>
      <c r="L3157" s="1466"/>
      <c r="M3157" s="848">
        <v>0</v>
      </c>
      <c r="N3157" s="1466">
        <v>2.0971237397616336</v>
      </c>
      <c r="O3157" s="1466"/>
    </row>
    <row r="3158" spans="11:15">
      <c r="K3158" s="1462">
        <v>45215</v>
      </c>
      <c r="L3158" s="1466" t="s">
        <v>2127</v>
      </c>
      <c r="M3158" s="848">
        <v>5.0788E-2</v>
      </c>
      <c r="N3158" s="1466">
        <v>2.0981888269665836</v>
      </c>
      <c r="O3158" s="1466"/>
    </row>
    <row r="3159" spans="11:15">
      <c r="K3159" s="1462">
        <v>45216</v>
      </c>
      <c r="L3159" s="1466" t="s">
        <v>2127</v>
      </c>
      <c r="M3159" s="848">
        <v>5.0788E-2</v>
      </c>
      <c r="N3159" s="1466">
        <v>2.0992544551080234</v>
      </c>
      <c r="O3159" s="1466"/>
    </row>
    <row r="3160" spans="11:15">
      <c r="K3160" s="1462">
        <v>45217</v>
      </c>
      <c r="L3160" s="1466" t="s">
        <v>2127</v>
      </c>
      <c r="M3160" s="848">
        <v>5.0788E-2</v>
      </c>
      <c r="N3160" s="1466">
        <v>2.1003206244606836</v>
      </c>
      <c r="O3160" s="1466"/>
    </row>
    <row r="3161" spans="11:15">
      <c r="K3161" s="1462">
        <v>45218</v>
      </c>
      <c r="L3161" s="1466" t="s">
        <v>2127</v>
      </c>
      <c r="M3161" s="848">
        <v>5.0788E-2</v>
      </c>
      <c r="N3161" s="1466">
        <v>2.1013873352994348</v>
      </c>
      <c r="O3161" s="1466"/>
    </row>
    <row r="3162" spans="11:15">
      <c r="K3162" s="1462">
        <v>45219</v>
      </c>
      <c r="L3162" s="1466" t="s">
        <v>2127</v>
      </c>
      <c r="M3162" s="848">
        <v>5.0788E-2</v>
      </c>
      <c r="N3162" s="1466">
        <v>2.1024545878992869</v>
      </c>
      <c r="O3162" s="1466"/>
    </row>
    <row r="3163" spans="11:15">
      <c r="K3163" s="1462">
        <v>45220</v>
      </c>
      <c r="L3163" s="1466"/>
      <c r="M3163" s="848">
        <v>0</v>
      </c>
      <c r="N3163" s="1466">
        <v>2.1024545878992869</v>
      </c>
      <c r="O3163" s="1466"/>
    </row>
    <row r="3164" spans="11:15">
      <c r="K3164" s="1462">
        <v>45221</v>
      </c>
      <c r="L3164" s="1466"/>
      <c r="M3164" s="848">
        <v>0</v>
      </c>
      <c r="N3164" s="1466">
        <v>2.1024545878992869</v>
      </c>
      <c r="O3164" s="1466"/>
    </row>
    <row r="3165" spans="11:15">
      <c r="K3165" s="1462">
        <v>45222</v>
      </c>
      <c r="L3165" s="1466" t="s">
        <v>2127</v>
      </c>
      <c r="M3165" s="848">
        <v>5.0788E-2</v>
      </c>
      <c r="N3165" s="1466">
        <v>2.103522382535389</v>
      </c>
      <c r="O3165" s="1466"/>
    </row>
    <row r="3166" spans="11:15">
      <c r="K3166" s="1462">
        <v>45223</v>
      </c>
      <c r="L3166" s="1466" t="s">
        <v>2127</v>
      </c>
      <c r="M3166" s="848">
        <v>5.0788E-2</v>
      </c>
      <c r="N3166" s="1466">
        <v>2.1045907194830313</v>
      </c>
      <c r="O3166" s="1466"/>
    </row>
    <row r="3167" spans="11:15">
      <c r="K3167" s="1462">
        <v>45224</v>
      </c>
      <c r="L3167" s="1466" t="s">
        <v>2127</v>
      </c>
      <c r="M3167" s="848">
        <v>5.0788E-2</v>
      </c>
      <c r="N3167" s="1466">
        <v>2.1056595990176423</v>
      </c>
      <c r="O3167" s="1466"/>
    </row>
    <row r="3168" spans="11:15">
      <c r="K3168" s="1462">
        <v>45225</v>
      </c>
      <c r="L3168" s="1466" t="s">
        <v>2127</v>
      </c>
      <c r="M3168" s="848">
        <v>5.0788E-2</v>
      </c>
      <c r="N3168" s="1466">
        <v>2.1067290214147913</v>
      </c>
      <c r="O3168" s="1466"/>
    </row>
    <row r="3169" spans="11:15">
      <c r="K3169" s="1462">
        <v>45226</v>
      </c>
      <c r="L3169" s="1466" t="s">
        <v>2127</v>
      </c>
      <c r="M3169" s="848">
        <v>5.0788E-2</v>
      </c>
      <c r="N3169" s="1466">
        <v>2.1077989869501876</v>
      </c>
      <c r="O3169" s="1466"/>
    </row>
    <row r="3170" spans="11:15">
      <c r="K3170" s="1462">
        <v>45227</v>
      </c>
      <c r="L3170" s="1466"/>
      <c r="M3170" s="848">
        <v>0</v>
      </c>
      <c r="N3170" s="1466">
        <v>2.1077989869501876</v>
      </c>
      <c r="O3170" s="1466"/>
    </row>
    <row r="3171" spans="11:15">
      <c r="K3171" s="1462">
        <v>45228</v>
      </c>
      <c r="L3171" s="1466"/>
      <c r="M3171" s="848">
        <v>0</v>
      </c>
      <c r="N3171" s="1466">
        <v>2.1077989869501876</v>
      </c>
      <c r="O3171" s="1466"/>
    </row>
    <row r="3172" spans="11:15">
      <c r="K3172" s="1462">
        <v>45229</v>
      </c>
      <c r="L3172" s="1466" t="s">
        <v>2127</v>
      </c>
      <c r="M3172" s="848">
        <v>5.0788E-2</v>
      </c>
      <c r="N3172" s="1466">
        <v>2.1088694958996799</v>
      </c>
      <c r="O3172" s="1466"/>
    </row>
    <row r="3173" spans="11:15">
      <c r="K3173" s="1462">
        <v>45230</v>
      </c>
      <c r="L3173" s="1466" t="s">
        <v>2127</v>
      </c>
      <c r="M3173" s="848">
        <v>5.0788E-2</v>
      </c>
      <c r="N3173" s="1466">
        <v>2.1099405485392575</v>
      </c>
      <c r="O3173" s="1466"/>
    </row>
    <row r="3174" spans="11:15">
      <c r="K3174" s="1462">
        <v>45231</v>
      </c>
      <c r="L3174" s="1466" t="s">
        <v>2127</v>
      </c>
      <c r="M3174" s="848">
        <v>5.0788E-2</v>
      </c>
      <c r="N3174" s="1466">
        <v>2.1110121451450499</v>
      </c>
      <c r="O3174" s="1466"/>
    </row>
    <row r="3175" spans="11:15">
      <c r="K3175" s="1462">
        <v>45232</v>
      </c>
      <c r="L3175" s="1466"/>
      <c r="M3175" s="848">
        <v>0</v>
      </c>
      <c r="N3175" s="1466">
        <v>2.1110121451450499</v>
      </c>
      <c r="O3175" s="1466"/>
    </row>
    <row r="3176" spans="11:15">
      <c r="K3176" s="1462">
        <v>45233</v>
      </c>
      <c r="L3176" s="1466" t="s">
        <v>2127</v>
      </c>
      <c r="M3176" s="848">
        <v>5.0788E-2</v>
      </c>
      <c r="N3176" s="1466">
        <v>2.1120842859933262</v>
      </c>
      <c r="O3176" s="1466"/>
    </row>
    <row r="3177" spans="11:15">
      <c r="K3177" s="1462">
        <v>45234</v>
      </c>
      <c r="L3177" s="1466"/>
      <c r="M3177" s="848">
        <v>0</v>
      </c>
      <c r="N3177" s="1466">
        <v>2.1120842859933262</v>
      </c>
      <c r="O3177" s="1466"/>
    </row>
    <row r="3178" spans="11:15">
      <c r="K3178" s="1462">
        <v>45235</v>
      </c>
      <c r="L3178" s="1466"/>
      <c r="M3178" s="848">
        <v>0</v>
      </c>
      <c r="N3178" s="1466">
        <v>2.1120842859933262</v>
      </c>
      <c r="O3178" s="1466"/>
    </row>
    <row r="3179" spans="11:15">
      <c r="K3179" s="1462">
        <v>45236</v>
      </c>
      <c r="L3179" s="1466" t="s">
        <v>2127</v>
      </c>
      <c r="M3179" s="848">
        <v>5.0788E-2</v>
      </c>
      <c r="N3179" s="1466">
        <v>2.1131569713604965</v>
      </c>
      <c r="O3179" s="1466"/>
    </row>
    <row r="3180" spans="11:15">
      <c r="K3180" s="1462">
        <v>45237</v>
      </c>
      <c r="L3180" s="1466" t="s">
        <v>2127</v>
      </c>
      <c r="M3180" s="848">
        <v>5.0788E-2</v>
      </c>
      <c r="N3180" s="1466">
        <v>2.1142302015231111</v>
      </c>
      <c r="O3180" s="1466"/>
    </row>
    <row r="3181" spans="11:15">
      <c r="K3181" s="1462">
        <v>45238</v>
      </c>
      <c r="L3181" s="1466" t="s">
        <v>2127</v>
      </c>
      <c r="M3181" s="848">
        <v>5.0788E-2</v>
      </c>
      <c r="N3181" s="1466">
        <v>2.1153039767578607</v>
      </c>
      <c r="O3181" s="1466"/>
    </row>
    <row r="3182" spans="11:15">
      <c r="K3182" s="1462">
        <v>45239</v>
      </c>
      <c r="L3182" s="1466" t="s">
        <v>2127</v>
      </c>
      <c r="M3182" s="848">
        <v>5.0788E-2</v>
      </c>
      <c r="N3182" s="1466">
        <v>2.1163782973415768</v>
      </c>
      <c r="O3182" s="1466"/>
    </row>
    <row r="3183" spans="11:15">
      <c r="K3183" s="1462">
        <v>45240</v>
      </c>
      <c r="L3183" s="1466" t="s">
        <v>2127</v>
      </c>
      <c r="M3183" s="848">
        <v>5.0788E-2</v>
      </c>
      <c r="N3183" s="1466">
        <v>2.1174531635512306</v>
      </c>
      <c r="O3183" s="1466"/>
    </row>
    <row r="3184" spans="11:15">
      <c r="K3184" s="1462">
        <v>45241</v>
      </c>
      <c r="L3184" s="1466"/>
      <c r="M3184" s="848">
        <v>0</v>
      </c>
      <c r="N3184" s="1466">
        <v>2.1174531635512306</v>
      </c>
      <c r="O3184" s="1466"/>
    </row>
    <row r="3185" spans="11:15">
      <c r="K3185" s="1462">
        <v>45242</v>
      </c>
      <c r="L3185" s="1466"/>
      <c r="M3185" s="848">
        <v>0</v>
      </c>
      <c r="N3185" s="1466">
        <v>2.1174531635512306</v>
      </c>
      <c r="O3185" s="1466"/>
    </row>
    <row r="3186" spans="11:15">
      <c r="K3186" s="1462">
        <v>45243</v>
      </c>
      <c r="L3186" s="1466" t="s">
        <v>2127</v>
      </c>
      <c r="M3186" s="848">
        <v>5.0788E-2</v>
      </c>
      <c r="N3186" s="1466">
        <v>2.1185285756639352</v>
      </c>
      <c r="O3186" s="1466"/>
    </row>
    <row r="3187" spans="11:15">
      <c r="K3187" s="1462">
        <v>45244</v>
      </c>
      <c r="L3187" s="1466" t="s">
        <v>2127</v>
      </c>
      <c r="M3187" s="848">
        <v>5.0788E-2</v>
      </c>
      <c r="N3187" s="1466">
        <v>2.1196045339569434</v>
      </c>
      <c r="O3187" s="1466"/>
    </row>
    <row r="3188" spans="11:15">
      <c r="K3188" s="1462">
        <v>45245</v>
      </c>
      <c r="L3188" s="1466"/>
      <c r="M3188" s="848">
        <v>0</v>
      </c>
      <c r="N3188" s="1466">
        <v>2.1196045339569434</v>
      </c>
      <c r="O3188" s="1466"/>
    </row>
    <row r="3189" spans="11:15">
      <c r="K3189" s="1462">
        <v>45246</v>
      </c>
      <c r="L3189" s="1466" t="s">
        <v>2127</v>
      </c>
      <c r="M3189" s="848">
        <v>5.0788E-2</v>
      </c>
      <c r="N3189" s="1466">
        <v>2.1206810387076493</v>
      </c>
      <c r="O3189" s="1466"/>
    </row>
    <row r="3190" spans="11:15">
      <c r="K3190" s="1462">
        <v>45247</v>
      </c>
      <c r="L3190" s="1466" t="s">
        <v>2127</v>
      </c>
      <c r="M3190" s="848">
        <v>5.0788E-2</v>
      </c>
      <c r="N3190" s="1466">
        <v>2.1217580901935884</v>
      </c>
      <c r="O3190" s="1466"/>
    </row>
    <row r="3191" spans="11:15">
      <c r="K3191" s="1462">
        <v>45248</v>
      </c>
      <c r="L3191" s="1466"/>
      <c r="M3191" s="848">
        <v>0</v>
      </c>
      <c r="N3191" s="1466">
        <v>2.1217580901935884</v>
      </c>
      <c r="O3191" s="1466"/>
    </row>
    <row r="3192" spans="11:15">
      <c r="K3192" s="1462">
        <v>45249</v>
      </c>
      <c r="L3192" s="1466"/>
      <c r="M3192" s="848">
        <v>0</v>
      </c>
      <c r="N3192" s="1466">
        <v>2.1217580901935884</v>
      </c>
      <c r="O3192" s="1466"/>
    </row>
    <row r="3193" spans="11:15">
      <c r="K3193" s="1462">
        <v>45250</v>
      </c>
      <c r="L3193" s="1466" t="s">
        <v>2127</v>
      </c>
      <c r="M3193" s="848">
        <v>5.0788E-2</v>
      </c>
      <c r="N3193" s="1466">
        <v>2.1228356886924358</v>
      </c>
      <c r="O3193" s="1466"/>
    </row>
    <row r="3194" spans="11:15">
      <c r="K3194" s="1462">
        <v>45251</v>
      </c>
      <c r="L3194" s="1466" t="s">
        <v>2127</v>
      </c>
      <c r="M3194" s="848">
        <v>5.0788E-2</v>
      </c>
      <c r="N3194" s="1466">
        <v>2.1239138344820088</v>
      </c>
      <c r="O3194" s="1466"/>
    </row>
    <row r="3195" spans="11:15">
      <c r="K3195" s="1462">
        <v>45252</v>
      </c>
      <c r="L3195" s="1466" t="s">
        <v>2127</v>
      </c>
      <c r="M3195" s="848">
        <v>5.0788E-2</v>
      </c>
      <c r="N3195" s="1466">
        <v>2.1249925278402655</v>
      </c>
      <c r="O3195" s="1466"/>
    </row>
    <row r="3196" spans="11:15">
      <c r="K3196" s="1462">
        <v>45253</v>
      </c>
      <c r="L3196" s="1466" t="s">
        <v>2127</v>
      </c>
      <c r="M3196" s="848">
        <v>5.0788E-2</v>
      </c>
      <c r="N3196" s="1466">
        <v>2.1260717690453048</v>
      </c>
      <c r="O3196" s="1466"/>
    </row>
    <row r="3197" spans="11:15">
      <c r="K3197" s="1462">
        <v>45254</v>
      </c>
      <c r="L3197" s="1466" t="s">
        <v>2127</v>
      </c>
      <c r="M3197" s="848">
        <v>5.0788E-2</v>
      </c>
      <c r="N3197" s="1466">
        <v>2.1271515583753677</v>
      </c>
      <c r="O3197" s="1466"/>
    </row>
    <row r="3198" spans="11:15">
      <c r="K3198" s="1462">
        <v>45255</v>
      </c>
      <c r="L3198" s="1466"/>
      <c r="M3198" s="848">
        <v>0</v>
      </c>
      <c r="N3198" s="1466">
        <v>2.1271515583753677</v>
      </c>
      <c r="O3198" s="1466"/>
    </row>
    <row r="3199" spans="11:15">
      <c r="K3199" s="1462">
        <v>45256</v>
      </c>
      <c r="L3199" s="1466"/>
      <c r="M3199" s="848">
        <v>0</v>
      </c>
      <c r="N3199" s="1466">
        <v>2.1271515583753677</v>
      </c>
      <c r="O3199" s="1466"/>
    </row>
    <row r="3200" spans="11:15">
      <c r="K3200" s="1462">
        <v>45257</v>
      </c>
      <c r="L3200" s="1466" t="s">
        <v>2127</v>
      </c>
      <c r="M3200" s="848">
        <v>5.0788E-2</v>
      </c>
      <c r="N3200" s="1466">
        <v>2.1282318961088356</v>
      </c>
      <c r="O3200" s="1466"/>
    </row>
    <row r="3201" spans="11:15">
      <c r="K3201" s="1462">
        <v>45258</v>
      </c>
      <c r="L3201" s="1466" t="s">
        <v>2127</v>
      </c>
      <c r="M3201" s="848">
        <v>5.0788E-2</v>
      </c>
      <c r="N3201" s="1466">
        <v>2.1293127825242313</v>
      </c>
      <c r="O3201" s="1466"/>
    </row>
    <row r="3202" spans="11:15">
      <c r="K3202" s="1462">
        <v>45259</v>
      </c>
      <c r="L3202" s="1466" t="s">
        <v>2127</v>
      </c>
      <c r="M3202" s="848">
        <v>5.0788E-2</v>
      </c>
      <c r="N3202" s="1466">
        <v>2.1303942179002195</v>
      </c>
      <c r="O3202" s="1466"/>
    </row>
    <row r="3203" spans="11:15">
      <c r="K3203" s="1462">
        <v>45260</v>
      </c>
      <c r="L3203" s="1466" t="s">
        <v>2127</v>
      </c>
      <c r="M3203" s="848">
        <v>5.0788E-2</v>
      </c>
      <c r="N3203" s="1466">
        <v>2.1314762025156067</v>
      </c>
      <c r="O3203" s="1466"/>
    </row>
    <row r="3204" spans="11:15">
      <c r="K3204" s="1462">
        <v>45261</v>
      </c>
      <c r="L3204" s="1466" t="s">
        <v>2127</v>
      </c>
      <c r="M3204" s="848">
        <v>5.0788E-2</v>
      </c>
      <c r="N3204" s="1466">
        <v>2.1325587366493401</v>
      </c>
      <c r="O3204" s="1466"/>
    </row>
    <row r="3205" spans="11:15">
      <c r="K3205" s="1462">
        <v>45262</v>
      </c>
      <c r="L3205" s="1466"/>
      <c r="M3205" s="848">
        <v>0</v>
      </c>
      <c r="N3205" s="1466">
        <v>2.1325587366493401</v>
      </c>
      <c r="O3205" s="1466"/>
    </row>
    <row r="3206" spans="11:15">
      <c r="K3206" s="1462">
        <v>45263</v>
      </c>
      <c r="L3206" s="1466"/>
      <c r="M3206" s="848">
        <v>0</v>
      </c>
      <c r="N3206" s="1466">
        <v>2.1325587366493401</v>
      </c>
      <c r="O3206" s="1466"/>
    </row>
    <row r="3207" spans="11:15">
      <c r="K3207" s="1462">
        <v>45264</v>
      </c>
      <c r="L3207" s="1466" t="s">
        <v>2127</v>
      </c>
      <c r="M3207" s="848">
        <v>5.0788E-2</v>
      </c>
      <c r="N3207" s="1466">
        <v>2.1336418205805097</v>
      </c>
      <c r="O3207" s="1466"/>
    </row>
    <row r="3208" spans="11:15">
      <c r="K3208" s="1462">
        <v>45265</v>
      </c>
      <c r="L3208" s="1466" t="s">
        <v>2127</v>
      </c>
      <c r="M3208" s="848">
        <v>5.0788E-2</v>
      </c>
      <c r="N3208" s="1466">
        <v>2.1347254545883461</v>
      </c>
      <c r="O3208" s="1466"/>
    </row>
    <row r="3209" spans="11:15">
      <c r="K3209" s="1462">
        <v>45266</v>
      </c>
      <c r="L3209" s="1466" t="s">
        <v>2127</v>
      </c>
      <c r="M3209" s="848">
        <v>5.0788E-2</v>
      </c>
      <c r="N3209" s="1466">
        <v>2.1358096389522223</v>
      </c>
      <c r="O3209" s="1466"/>
    </row>
    <row r="3210" spans="11:15">
      <c r="K3210" s="1462">
        <v>45267</v>
      </c>
      <c r="L3210" s="1466" t="s">
        <v>2127</v>
      </c>
      <c r="M3210" s="848">
        <v>5.0788E-2</v>
      </c>
      <c r="N3210" s="1466">
        <v>2.1368943739516535</v>
      </c>
      <c r="O3210" s="1466"/>
    </row>
    <row r="3211" spans="11:15">
      <c r="K3211" s="1462">
        <v>45268</v>
      </c>
      <c r="L3211" s="1466" t="s">
        <v>2127</v>
      </c>
      <c r="M3211" s="848">
        <v>5.0788E-2</v>
      </c>
      <c r="N3211" s="1466">
        <v>2.1379796598662959</v>
      </c>
      <c r="O3211" s="1466"/>
    </row>
    <row r="3212" spans="11:15">
      <c r="K3212" s="1462">
        <v>45269</v>
      </c>
      <c r="L3212" s="1466"/>
      <c r="M3212" s="848">
        <v>0</v>
      </c>
      <c r="N3212" s="1466">
        <v>2.1379796598662959</v>
      </c>
      <c r="O3212" s="1466"/>
    </row>
    <row r="3213" spans="11:15">
      <c r="K3213" s="1462">
        <v>45270</v>
      </c>
      <c r="L3213" s="1466"/>
      <c r="M3213" s="848">
        <v>0</v>
      </c>
      <c r="N3213" s="1466">
        <v>2.1379796598662959</v>
      </c>
      <c r="O3213" s="1466"/>
    </row>
    <row r="3214" spans="11:15">
      <c r="K3214" s="1462">
        <v>45271</v>
      </c>
      <c r="L3214" s="1466" t="s">
        <v>2127</v>
      </c>
      <c r="M3214" s="848">
        <v>5.0788E-2</v>
      </c>
      <c r="N3214" s="1466">
        <v>2.1390654969759488</v>
      </c>
      <c r="O3214" s="1466"/>
    </row>
    <row r="3215" spans="11:15">
      <c r="K3215" s="1462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62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62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62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62">
        <v>45276</v>
      </c>
      <c r="M3219" s="1">
        <v>0</v>
      </c>
      <c r="N3219" s="1">
        <v>2.1434143629656153</v>
      </c>
    </row>
    <row r="3220" spans="11:14">
      <c r="K3220" s="1462">
        <v>45277</v>
      </c>
      <c r="M3220" s="1">
        <v>0</v>
      </c>
      <c r="N3220" s="1">
        <v>2.1434143629656153</v>
      </c>
    </row>
    <row r="3221" spans="11:14">
      <c r="K3221" s="1462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62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62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62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62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62">
        <v>45283</v>
      </c>
      <c r="M3226" s="1">
        <v>0</v>
      </c>
      <c r="N3226" s="1">
        <v>2.1488628809754942</v>
      </c>
    </row>
    <row r="3227" spans="11:14">
      <c r="K3227" s="1462">
        <v>45284</v>
      </c>
      <c r="M3227" s="1">
        <v>0</v>
      </c>
      <c r="N3227" s="1">
        <v>2.1488628809754942</v>
      </c>
    </row>
    <row r="3228" spans="11:14">
      <c r="K3228" s="1462">
        <v>45285</v>
      </c>
      <c r="M3228" s="1">
        <v>0</v>
      </c>
      <c r="N3228" s="1">
        <v>2.1488628809754942</v>
      </c>
    </row>
    <row r="3229" spans="11:14">
      <c r="K3229" s="1462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62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62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62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62">
        <v>45290</v>
      </c>
      <c r="M3233" s="1">
        <v>0</v>
      </c>
      <c r="N3233" s="1">
        <v>2.1532316657147845</v>
      </c>
    </row>
    <row r="3234" spans="11:14">
      <c r="K3234" s="1462">
        <v>45291</v>
      </c>
      <c r="M3234" s="1">
        <v>0</v>
      </c>
      <c r="N3234" s="1">
        <v>2.1532316657147845</v>
      </c>
    </row>
    <row r="3235" spans="11:14">
      <c r="K3235" s="1462">
        <v>45292</v>
      </c>
      <c r="M3235" s="1">
        <v>0</v>
      </c>
      <c r="N3235" s="1">
        <v>2.1532316657147845</v>
      </c>
    </row>
    <row r="3236" spans="11:14">
      <c r="K3236" s="1462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62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62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62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62">
        <v>45297</v>
      </c>
      <c r="M3240" s="1">
        <v>0</v>
      </c>
      <c r="N3240" s="1">
        <v>2.1576093324912993</v>
      </c>
    </row>
    <row r="3241" spans="11:14">
      <c r="K3241" s="1462">
        <v>45298</v>
      </c>
      <c r="M3241" s="1">
        <v>0</v>
      </c>
      <c r="N3241" s="1">
        <v>2.1576093324912993</v>
      </c>
    </row>
    <row r="3242" spans="11:14">
      <c r="K3242" s="1462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62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62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62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62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62">
        <v>45304</v>
      </c>
      <c r="M3247" s="1">
        <v>0</v>
      </c>
      <c r="N3247" s="1">
        <v>2.1630939338401936</v>
      </c>
    </row>
    <row r="3248" spans="11:14">
      <c r="K3248" s="1462">
        <v>45305</v>
      </c>
      <c r="M3248" s="1">
        <v>0</v>
      </c>
      <c r="N3248" s="1">
        <v>2.1630939338401936</v>
      </c>
    </row>
    <row r="3249" spans="11:14">
      <c r="K3249" s="1462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62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62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62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62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62">
        <v>45311</v>
      </c>
      <c r="M3254" s="1">
        <v>0</v>
      </c>
      <c r="N3254" s="1">
        <v>2.1685924769400353</v>
      </c>
    </row>
    <row r="3255" spans="11:14">
      <c r="K3255" s="1462">
        <v>45312</v>
      </c>
      <c r="M3255" s="1">
        <v>0</v>
      </c>
      <c r="N3255" s="1">
        <v>2.1685924769400353</v>
      </c>
    </row>
    <row r="3256" spans="11:14">
      <c r="K3256" s="1462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62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62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62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62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62">
        <v>45318</v>
      </c>
      <c r="M3261" s="1">
        <v>0</v>
      </c>
      <c r="N3261" s="1">
        <v>2.1741049972304873</v>
      </c>
    </row>
    <row r="3262" spans="11:14">
      <c r="K3262" s="1462">
        <v>45319</v>
      </c>
      <c r="M3262" s="1">
        <v>0</v>
      </c>
      <c r="N3262" s="1">
        <v>2.1741049972304873</v>
      </c>
    </row>
    <row r="3263" spans="11:14">
      <c r="K3263" s="1462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62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62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62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62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62">
        <v>45325</v>
      </c>
      <c r="M3268" s="1">
        <v>0</v>
      </c>
      <c r="N3268" s="1">
        <v>2.1796315302412985</v>
      </c>
    </row>
    <row r="3269" spans="11:14">
      <c r="K3269" s="1462">
        <v>45326</v>
      </c>
      <c r="M3269" s="1">
        <v>0</v>
      </c>
      <c r="N3269" s="1">
        <v>2.1796315302412985</v>
      </c>
    </row>
    <row r="3270" spans="11:14">
      <c r="K3270" s="1462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62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62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62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62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62">
        <v>45332</v>
      </c>
      <c r="M3275" s="1">
        <v>0</v>
      </c>
      <c r="N3275" s="1">
        <v>2.1851721115925344</v>
      </c>
    </row>
    <row r="3276" spans="11:14">
      <c r="K3276" s="1462">
        <v>45333</v>
      </c>
      <c r="M3276" s="1">
        <v>0</v>
      </c>
      <c r="N3276" s="1">
        <v>2.1851721115925344</v>
      </c>
    </row>
    <row r="3277" spans="11:14">
      <c r="K3277" s="1462">
        <v>45334</v>
      </c>
      <c r="M3277" s="1">
        <v>0</v>
      </c>
      <c r="N3277" s="1">
        <v>2.1851721115925344</v>
      </c>
    </row>
    <row r="3278" spans="11:14">
      <c r="K3278" s="1462">
        <v>45335</v>
      </c>
      <c r="M3278" s="1">
        <v>0</v>
      </c>
      <c r="N3278" s="1">
        <v>2.1851721115925344</v>
      </c>
    </row>
    <row r="3279" spans="11:14">
      <c r="K3279" s="1462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62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62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62">
        <v>45339</v>
      </c>
      <c r="M3282" s="1">
        <v>0</v>
      </c>
      <c r="N3282" s="1">
        <v>2.1885032184585205</v>
      </c>
    </row>
    <row r="3283" spans="11:14">
      <c r="K3283" s="1462">
        <v>45340</v>
      </c>
      <c r="M3283" s="1">
        <v>0</v>
      </c>
      <c r="N3283" s="1">
        <v>2.1885032184585205</v>
      </c>
    </row>
    <row r="3284" spans="11:14">
      <c r="K3284" s="1462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62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62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62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62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62">
        <v>45346</v>
      </c>
      <c r="M3289" s="1">
        <v>0</v>
      </c>
      <c r="N3289" s="1">
        <v>2.194066351470259</v>
      </c>
    </row>
    <row r="3290" spans="11:14">
      <c r="K3290" s="1462">
        <v>45347</v>
      </c>
      <c r="M3290" s="1">
        <v>0</v>
      </c>
      <c r="N3290" s="1">
        <v>2.194066351470259</v>
      </c>
    </row>
    <row r="3291" spans="11:14">
      <c r="K3291" s="1462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62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62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62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62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62">
        <v>45353</v>
      </c>
      <c r="M3296" s="1">
        <v>0</v>
      </c>
      <c r="N3296" s="1">
        <v>2.1996436258589185</v>
      </c>
    </row>
    <row r="3297" spans="11:14">
      <c r="K3297" s="1462">
        <v>45354</v>
      </c>
      <c r="M3297" s="1">
        <v>0</v>
      </c>
      <c r="N3297" s="1">
        <v>2.1996436258589185</v>
      </c>
    </row>
    <row r="3298" spans="11:14">
      <c r="K3298" s="1462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62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62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62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62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62">
        <v>45360</v>
      </c>
      <c r="M3303" s="1">
        <v>0</v>
      </c>
      <c r="N3303" s="1">
        <v>2.2052350775716074</v>
      </c>
    </row>
    <row r="3304" spans="11:14">
      <c r="K3304" s="1462">
        <v>45361</v>
      </c>
      <c r="M3304" s="1">
        <v>0</v>
      </c>
      <c r="N3304" s="1">
        <v>2.2052350775716074</v>
      </c>
    </row>
    <row r="3305" spans="11:14">
      <c r="K3305" s="1462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62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62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62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62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62">
        <v>45367</v>
      </c>
      <c r="M3310" s="1">
        <v>0</v>
      </c>
      <c r="N3310" s="1">
        <v>2.21084074264681</v>
      </c>
    </row>
    <row r="3311" spans="11:14">
      <c r="K3311" s="1462">
        <v>45368</v>
      </c>
      <c r="M3311" s="1">
        <v>0</v>
      </c>
      <c r="N3311" s="1">
        <v>2.21084074264681</v>
      </c>
    </row>
    <row r="3312" spans="11:14">
      <c r="K3312" s="1462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62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62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62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62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62"/>
    </row>
    <row r="3318" spans="11:14">
      <c r="K3318" s="1462"/>
    </row>
    <row r="3319" spans="11:14">
      <c r="K3319" s="1462"/>
    </row>
    <row r="3320" spans="11:14">
      <c r="K3320" s="1462"/>
    </row>
    <row r="3321" spans="11:14">
      <c r="K3321" s="1462"/>
    </row>
    <row r="3322" spans="11:14">
      <c r="K3322" s="1462"/>
    </row>
    <row r="3323" spans="11:14">
      <c r="K3323" s="1462"/>
    </row>
    <row r="3324" spans="11:14">
      <c r="K3324" s="1462"/>
    </row>
    <row r="3325" spans="11:14">
      <c r="K3325" s="1462"/>
    </row>
    <row r="3326" spans="11:14">
      <c r="K3326" s="1462"/>
    </row>
    <row r="3327" spans="11:14">
      <c r="K3327" s="1462"/>
    </row>
    <row r="3328" spans="11:14">
      <c r="K3328" s="1462"/>
    </row>
    <row r="3329" spans="11:11">
      <c r="K3329" s="1462"/>
    </row>
    <row r="3330" spans="11:11">
      <c r="K3330" s="1462"/>
    </row>
    <row r="3331" spans="11:11">
      <c r="K3331" s="1462"/>
    </row>
    <row r="3332" spans="11:11">
      <c r="K3332" s="1462"/>
    </row>
    <row r="3333" spans="11:11">
      <c r="K3333" s="1462"/>
    </row>
    <row r="3334" spans="11:11">
      <c r="K3334" s="1462"/>
    </row>
    <row r="3335" spans="11:11">
      <c r="K3335" s="1462"/>
    </row>
    <row r="3336" spans="11:11">
      <c r="K3336" s="1462"/>
    </row>
    <row r="3337" spans="11:11">
      <c r="K3337" s="1462"/>
    </row>
    <row r="3338" spans="11:11">
      <c r="K3338" s="1462"/>
    </row>
    <row r="3339" spans="11:11">
      <c r="K3339" s="1462"/>
    </row>
    <row r="3340" spans="11:11">
      <c r="K3340" s="1462"/>
    </row>
    <row r="3341" spans="11:11">
      <c r="K3341" s="1462"/>
    </row>
    <row r="3342" spans="11:11">
      <c r="K3342" s="1462"/>
    </row>
    <row r="3343" spans="11:11">
      <c r="K3343" s="1462"/>
    </row>
    <row r="3344" spans="11:11">
      <c r="K3344" s="1462"/>
    </row>
    <row r="3345" spans="11:11">
      <c r="K3345" s="1462"/>
    </row>
    <row r="3346" spans="11:11">
      <c r="K3346" s="1462"/>
    </row>
    <row r="3347" spans="11:11">
      <c r="K3347" s="1462"/>
    </row>
    <row r="3348" spans="11:11">
      <c r="K3348" s="1462"/>
    </row>
    <row r="3349" spans="11:11">
      <c r="K3349" s="1462"/>
    </row>
    <row r="3350" spans="11:11">
      <c r="K3350" s="1462"/>
    </row>
    <row r="3351" spans="11:11">
      <c r="K3351" s="1462"/>
    </row>
    <row r="3352" spans="11:11">
      <c r="K3352" s="1462"/>
    </row>
    <row r="3353" spans="11:11">
      <c r="K3353" s="1462"/>
    </row>
    <row r="3354" spans="11:11">
      <c r="K3354" s="1462"/>
    </row>
    <row r="3355" spans="11:11">
      <c r="K3355" s="1462"/>
    </row>
    <row r="3356" spans="11:11">
      <c r="K3356" s="1462"/>
    </row>
    <row r="3357" spans="11:11">
      <c r="K3357" s="1462"/>
    </row>
    <row r="3358" spans="11:11">
      <c r="K3358" s="1462"/>
    </row>
    <row r="3359" spans="11:11">
      <c r="K3359" s="1462"/>
    </row>
    <row r="3360" spans="11:11">
      <c r="K3360" s="1462"/>
    </row>
    <row r="3361" spans="11:11">
      <c r="K3361" s="1462"/>
    </row>
    <row r="3362" spans="11:11">
      <c r="K3362" s="1462"/>
    </row>
    <row r="3363" spans="11:11">
      <c r="K3363" s="1462"/>
    </row>
    <row r="3364" spans="11:11">
      <c r="K3364" s="1462"/>
    </row>
    <row r="3365" spans="11:11">
      <c r="K3365" s="1462"/>
    </row>
    <row r="3366" spans="11:11">
      <c r="K3366" s="1462"/>
    </row>
    <row r="3367" spans="11:11">
      <c r="K3367" s="1462"/>
    </row>
    <row r="3368" spans="11:11">
      <c r="K3368" s="1462"/>
    </row>
    <row r="3369" spans="11:11">
      <c r="K3369" s="1462"/>
    </row>
    <row r="3370" spans="11:11">
      <c r="K3370" s="1462"/>
    </row>
    <row r="3371" spans="11:11">
      <c r="K3371" s="1462"/>
    </row>
    <row r="3372" spans="11:11">
      <c r="K3372" s="1462"/>
    </row>
    <row r="3373" spans="11:11">
      <c r="K3373" s="1462"/>
    </row>
    <row r="3374" spans="11:11">
      <c r="K3374" s="1462"/>
    </row>
    <row r="3375" spans="11:11">
      <c r="K3375" s="1462"/>
    </row>
    <row r="3376" spans="11:11">
      <c r="K3376" s="1462"/>
    </row>
    <row r="3377" spans="11:11">
      <c r="K3377" s="1462"/>
    </row>
    <row r="3378" spans="11:11">
      <c r="K3378" s="1462"/>
    </row>
    <row r="3379" spans="11:11">
      <c r="K3379" s="1462"/>
    </row>
    <row r="3380" spans="11:11">
      <c r="K3380" s="1462"/>
    </row>
    <row r="3381" spans="11:11">
      <c r="K3381" s="1462"/>
    </row>
    <row r="3382" spans="11:11">
      <c r="K3382" s="1462"/>
    </row>
    <row r="3383" spans="11:11">
      <c r="K3383" s="1462"/>
    </row>
    <row r="3384" spans="11:11">
      <c r="K3384" s="1462"/>
    </row>
    <row r="3385" spans="11:11">
      <c r="K3385" s="1462"/>
    </row>
    <row r="3386" spans="11:11">
      <c r="K3386" s="1462"/>
    </row>
    <row r="3387" spans="11:11">
      <c r="K3387" s="1462"/>
    </row>
    <row r="3388" spans="11:11">
      <c r="K3388" s="1462"/>
    </row>
    <row r="3389" spans="11:11">
      <c r="K3389" s="1462"/>
    </row>
    <row r="3390" spans="11:11">
      <c r="K3390" s="1462"/>
    </row>
    <row r="3391" spans="11:11">
      <c r="K3391" s="1462"/>
    </row>
    <row r="3392" spans="11:11">
      <c r="K3392" s="1462"/>
    </row>
    <row r="3393" spans="11:11">
      <c r="K3393" s="1462"/>
    </row>
    <row r="3394" spans="11:11">
      <c r="K3394" s="1462"/>
    </row>
    <row r="3395" spans="11:11">
      <c r="K3395" s="1462"/>
    </row>
    <row r="3396" spans="11:11">
      <c r="K3396" s="1462"/>
    </row>
    <row r="3397" spans="11:11">
      <c r="K3397" s="1462"/>
    </row>
    <row r="3398" spans="11:11">
      <c r="K3398" s="1462"/>
    </row>
    <row r="3399" spans="11:11">
      <c r="K3399" s="1462"/>
    </row>
    <row r="3400" spans="11:11">
      <c r="K3400" s="1462"/>
    </row>
    <row r="3401" spans="11:11">
      <c r="K3401" s="1462"/>
    </row>
    <row r="3402" spans="11:11">
      <c r="K3402" s="1462"/>
    </row>
    <row r="3403" spans="11:11">
      <c r="K3403" s="1462"/>
    </row>
    <row r="3404" spans="11:11">
      <c r="K3404" s="1462"/>
    </row>
    <row r="3405" spans="11:11">
      <c r="K3405" s="1462"/>
    </row>
    <row r="3406" spans="11:11">
      <c r="K3406" s="1462"/>
    </row>
    <row r="3407" spans="11:11">
      <c r="K3407" s="1462"/>
    </row>
    <row r="3408" spans="11:11">
      <c r="K3408" s="1462"/>
    </row>
    <row r="3409" spans="11:11">
      <c r="K3409" s="1462"/>
    </row>
    <row r="3410" spans="11:11">
      <c r="K3410" s="1462"/>
    </row>
    <row r="3411" spans="11:11">
      <c r="K3411" s="1462"/>
    </row>
    <row r="3412" spans="11:11">
      <c r="K3412" s="1462"/>
    </row>
    <row r="3413" spans="11:11">
      <c r="K3413" s="1462"/>
    </row>
    <row r="3414" spans="11:11">
      <c r="K3414" s="1462"/>
    </row>
    <row r="3415" spans="11:11">
      <c r="K3415" s="1462"/>
    </row>
    <row r="3416" spans="11:11">
      <c r="K3416" s="1462"/>
    </row>
    <row r="3417" spans="11:11">
      <c r="K3417" s="1462"/>
    </row>
    <row r="3418" spans="11:11">
      <c r="K3418" s="1462"/>
    </row>
    <row r="3419" spans="11:11">
      <c r="K3419" s="1462"/>
    </row>
    <row r="3420" spans="11:11">
      <c r="K3420" s="1462"/>
    </row>
    <row r="3421" spans="11:11">
      <c r="K3421" s="1462"/>
    </row>
    <row r="3422" spans="11:11">
      <c r="K3422" s="1462"/>
    </row>
    <row r="3423" spans="11:11">
      <c r="K3423" s="1462"/>
    </row>
    <row r="3424" spans="11:11">
      <c r="K3424" s="1462"/>
    </row>
    <row r="3425" spans="11:11">
      <c r="K3425" s="1462"/>
    </row>
    <row r="3426" spans="11:11">
      <c r="K3426" s="1462"/>
    </row>
    <row r="3427" spans="11:11">
      <c r="K3427" s="1462"/>
    </row>
    <row r="3428" spans="11:11">
      <c r="K3428" s="1462"/>
    </row>
    <row r="3429" spans="11:11">
      <c r="K3429" s="1462"/>
    </row>
    <row r="3430" spans="11:11">
      <c r="K3430" s="1462"/>
    </row>
    <row r="3431" spans="11:11">
      <c r="K3431" s="1462"/>
    </row>
    <row r="3432" spans="11:11">
      <c r="K3432" s="1462"/>
    </row>
    <row r="3433" spans="11:11">
      <c r="K3433" s="1462"/>
    </row>
    <row r="3434" spans="11:11">
      <c r="K3434" s="1462"/>
    </row>
    <row r="3435" spans="11:11">
      <c r="K3435" s="1462"/>
    </row>
    <row r="3436" spans="11:11">
      <c r="K3436" s="1462"/>
    </row>
    <row r="3437" spans="11:11">
      <c r="K3437" s="1462"/>
    </row>
    <row r="3438" spans="11:11">
      <c r="K3438" s="1462"/>
    </row>
    <row r="3439" spans="11:11">
      <c r="K3439" s="1462"/>
    </row>
    <row r="3440" spans="11:11">
      <c r="K3440" s="1462"/>
    </row>
    <row r="3441" spans="11:11">
      <c r="K3441" s="1462"/>
    </row>
    <row r="3442" spans="11:11">
      <c r="K3442" s="1462"/>
    </row>
    <row r="3443" spans="11:11">
      <c r="K3443" s="1462"/>
    </row>
    <row r="3444" spans="11:11">
      <c r="K3444" s="1462"/>
    </row>
    <row r="3445" spans="11:11">
      <c r="K3445" s="1462"/>
    </row>
    <row r="3446" spans="11:11">
      <c r="K3446" s="1462"/>
    </row>
    <row r="3447" spans="11:11">
      <c r="K3447" s="1462"/>
    </row>
    <row r="3448" spans="11:11">
      <c r="K3448" s="1462"/>
    </row>
    <row r="3449" spans="11:11">
      <c r="K3449" s="1462"/>
    </row>
    <row r="3450" spans="11:11">
      <c r="K3450" s="1462"/>
    </row>
    <row r="3451" spans="11:11">
      <c r="K3451" s="1462"/>
    </row>
    <row r="3452" spans="11:11">
      <c r="K3452" s="1462"/>
    </row>
    <row r="3453" spans="11:11">
      <c r="K3453" s="1462"/>
    </row>
    <row r="3454" spans="11:11">
      <c r="K3454" s="1462"/>
    </row>
    <row r="3455" spans="11:11">
      <c r="K3455" s="1462"/>
    </row>
    <row r="3456" spans="11:11">
      <c r="K3456" s="1462"/>
    </row>
    <row r="3457" spans="11:11">
      <c r="K3457" s="1462"/>
    </row>
    <row r="3458" spans="11:11">
      <c r="K3458" s="1462"/>
    </row>
    <row r="3459" spans="11:11">
      <c r="K3459" s="1462"/>
    </row>
    <row r="3460" spans="11:11">
      <c r="K3460" s="1462"/>
    </row>
    <row r="3461" spans="11:11">
      <c r="K3461" s="1462"/>
    </row>
    <row r="3462" spans="11:11">
      <c r="K3462" s="1462"/>
    </row>
    <row r="3463" spans="11:11">
      <c r="K3463" s="1462"/>
    </row>
    <row r="3464" spans="11:11">
      <c r="K3464" s="1462"/>
    </row>
    <row r="3465" spans="11:11">
      <c r="K3465" s="1462"/>
    </row>
    <row r="3466" spans="11:11">
      <c r="K3466" s="1462"/>
    </row>
    <row r="3467" spans="11:11">
      <c r="K3467" s="1462"/>
    </row>
    <row r="3468" spans="11:11">
      <c r="K3468" s="1462"/>
    </row>
    <row r="3469" spans="11:11">
      <c r="K3469" s="1462"/>
    </row>
    <row r="3470" spans="11:11">
      <c r="K3470" s="1462"/>
    </row>
    <row r="3471" spans="11:11">
      <c r="K3471" s="1462"/>
    </row>
    <row r="3472" spans="11:11">
      <c r="K3472" s="1462"/>
    </row>
    <row r="3473" spans="11:11">
      <c r="K3473" s="1462"/>
    </row>
    <row r="3474" spans="11:11">
      <c r="K3474" s="1462"/>
    </row>
    <row r="3475" spans="11:11">
      <c r="K3475" s="1462"/>
    </row>
    <row r="3476" spans="11:11">
      <c r="K3476" s="1462"/>
    </row>
    <row r="3477" spans="11:11">
      <c r="K3477" s="1462"/>
    </row>
    <row r="3478" spans="11:11">
      <c r="K3478" s="1462"/>
    </row>
    <row r="3479" spans="11:11">
      <c r="K3479" s="1462"/>
    </row>
    <row r="3480" spans="11:11">
      <c r="K3480" s="1462"/>
    </row>
    <row r="3481" spans="11:11">
      <c r="K3481" s="1462"/>
    </row>
    <row r="3482" spans="11:11">
      <c r="K3482" s="1462"/>
    </row>
    <row r="3483" spans="11:11">
      <c r="K3483" s="1462"/>
    </row>
    <row r="3484" spans="11:11">
      <c r="K3484" s="1462"/>
    </row>
    <row r="3485" spans="11:11">
      <c r="K3485" s="1462"/>
    </row>
    <row r="3486" spans="11:11">
      <c r="K3486" s="1462"/>
    </row>
    <row r="3487" spans="11:11">
      <c r="K3487" s="1462"/>
    </row>
    <row r="3488" spans="11:11">
      <c r="K3488" s="1462"/>
    </row>
    <row r="3489" spans="11:11">
      <c r="K3489" s="1462"/>
    </row>
    <row r="3490" spans="11:11">
      <c r="K3490" s="1462"/>
    </row>
    <row r="3491" spans="11:11">
      <c r="K3491" s="1462"/>
    </row>
    <row r="3492" spans="11:11">
      <c r="K3492" s="1462"/>
    </row>
    <row r="3493" spans="11:11">
      <c r="K3493" s="1462"/>
    </row>
    <row r="3494" spans="11:11">
      <c r="K3494" s="1462"/>
    </row>
    <row r="3495" spans="11:11">
      <c r="K3495" s="1462"/>
    </row>
    <row r="3496" spans="11:11">
      <c r="K3496" s="1462"/>
    </row>
    <row r="3497" spans="11:11">
      <c r="K3497" s="1462"/>
    </row>
    <row r="3498" spans="11:11">
      <c r="K3498" s="1462"/>
    </row>
    <row r="3499" spans="11:11">
      <c r="K3499" s="1462"/>
    </row>
    <row r="3500" spans="11:11">
      <c r="K3500" s="1462"/>
    </row>
    <row r="3501" spans="11:11">
      <c r="K3501" s="1462"/>
    </row>
    <row r="3502" spans="11:11">
      <c r="K3502" s="1462"/>
    </row>
    <row r="3503" spans="11:11">
      <c r="K3503" s="1462"/>
    </row>
    <row r="3504" spans="11:11">
      <c r="K3504" s="1462"/>
    </row>
    <row r="3505" spans="11:11">
      <c r="K3505" s="1462"/>
    </row>
    <row r="3506" spans="11:11">
      <c r="K3506" s="1462"/>
    </row>
    <row r="3507" spans="11:11">
      <c r="K3507" s="1462"/>
    </row>
    <row r="3508" spans="11:11">
      <c r="K3508" s="1462"/>
    </row>
    <row r="3509" spans="11:11">
      <c r="K3509" s="1462"/>
    </row>
    <row r="3510" spans="11:11">
      <c r="K3510" s="1462"/>
    </row>
    <row r="3511" spans="11:11">
      <c r="K3511" s="1462"/>
    </row>
    <row r="3512" spans="11:11">
      <c r="K3512" s="1462"/>
    </row>
    <row r="3513" spans="11:11">
      <c r="K3513" s="1462"/>
    </row>
    <row r="3514" spans="11:11">
      <c r="K3514" s="1462"/>
    </row>
    <row r="3515" spans="11:11">
      <c r="K3515" s="1462"/>
    </row>
    <row r="3516" spans="11:11">
      <c r="K3516" s="1462"/>
    </row>
    <row r="3517" spans="11:11">
      <c r="K3517" s="1462"/>
    </row>
    <row r="3518" spans="11:11">
      <c r="K3518" s="1462"/>
    </row>
    <row r="3519" spans="11:11">
      <c r="K3519" s="1462"/>
    </row>
    <row r="3520" spans="11:11">
      <c r="K3520" s="1462"/>
    </row>
    <row r="3521" spans="11:11">
      <c r="K3521" s="1462"/>
    </row>
    <row r="3522" spans="11:11">
      <c r="K3522" s="1462"/>
    </row>
    <row r="3523" spans="11:11">
      <c r="K3523" s="1462"/>
    </row>
    <row r="3524" spans="11:11">
      <c r="K3524" s="1462"/>
    </row>
    <row r="3525" spans="11:11">
      <c r="K3525" s="1462"/>
    </row>
    <row r="3526" spans="11:11">
      <c r="K3526" s="1462"/>
    </row>
    <row r="3527" spans="11:11">
      <c r="K3527" s="1462"/>
    </row>
    <row r="3528" spans="11:11">
      <c r="K3528" s="1462"/>
    </row>
    <row r="3529" spans="11:11">
      <c r="K3529" s="1462"/>
    </row>
    <row r="3530" spans="11:11">
      <c r="K3530" s="1462"/>
    </row>
    <row r="3531" spans="11:11">
      <c r="K3531" s="1462"/>
    </row>
    <row r="3532" spans="11:11">
      <c r="K3532" s="1462"/>
    </row>
    <row r="3533" spans="11:11">
      <c r="K3533" s="1462"/>
    </row>
    <row r="3534" spans="11:11">
      <c r="K3534" s="1462"/>
    </row>
    <row r="3535" spans="11:11">
      <c r="K3535" s="1462"/>
    </row>
    <row r="3536" spans="11:11">
      <c r="K3536" s="1462"/>
    </row>
    <row r="3537" spans="11:11">
      <c r="K3537" s="1462"/>
    </row>
    <row r="3538" spans="11:11">
      <c r="K3538" s="1462"/>
    </row>
    <row r="3539" spans="11:11">
      <c r="K3539" s="1462"/>
    </row>
    <row r="3540" spans="11:11">
      <c r="K3540" s="1462"/>
    </row>
    <row r="3541" spans="11:11">
      <c r="K3541" s="1462"/>
    </row>
    <row r="3542" spans="11:11">
      <c r="K3542" s="1462"/>
    </row>
    <row r="3543" spans="11:11">
      <c r="K3543" s="1462"/>
    </row>
    <row r="3544" spans="11:11">
      <c r="K3544" s="1462"/>
    </row>
    <row r="3545" spans="11:11">
      <c r="K3545" s="1462"/>
    </row>
    <row r="3546" spans="11:11">
      <c r="K3546" s="1462"/>
    </row>
    <row r="3547" spans="11:11">
      <c r="K3547" s="1462"/>
    </row>
    <row r="3548" spans="11:11">
      <c r="K3548" s="1462"/>
    </row>
    <row r="3549" spans="11:11">
      <c r="K3549" s="1462"/>
    </row>
    <row r="3550" spans="11:11">
      <c r="K3550" s="1462"/>
    </row>
    <row r="3551" spans="11:11">
      <c r="K3551" s="1462"/>
    </row>
    <row r="3552" spans="11:11">
      <c r="K3552" s="1462"/>
    </row>
    <row r="3553" spans="11:11">
      <c r="K3553" s="1462"/>
    </row>
    <row r="3554" spans="11:11">
      <c r="K3554" s="1462"/>
    </row>
    <row r="3555" spans="11:11">
      <c r="K3555" s="1462"/>
    </row>
    <row r="3556" spans="11:11">
      <c r="K3556" s="1462"/>
    </row>
    <row r="3557" spans="11:11">
      <c r="K3557" s="1462"/>
    </row>
    <row r="3558" spans="11:11">
      <c r="K3558" s="1462"/>
    </row>
    <row r="3559" spans="11:11">
      <c r="K3559" s="1462"/>
    </row>
    <row r="3560" spans="11:11">
      <c r="K3560" s="1462"/>
    </row>
    <row r="3561" spans="11:11">
      <c r="K3561" s="1462"/>
    </row>
    <row r="3562" spans="11:11">
      <c r="K3562" s="1462"/>
    </row>
    <row r="3563" spans="11:11">
      <c r="K3563" s="1462"/>
    </row>
    <row r="3564" spans="11:11">
      <c r="K3564" s="1462"/>
    </row>
    <row r="3565" spans="11:11">
      <c r="K3565" s="1462"/>
    </row>
    <row r="3566" spans="11:11">
      <c r="K3566" s="1462"/>
    </row>
    <row r="3567" spans="11:11">
      <c r="K3567" s="1462"/>
    </row>
    <row r="3568" spans="11:11">
      <c r="K3568" s="1462"/>
    </row>
    <row r="3569" spans="11:11">
      <c r="K3569" s="1462"/>
    </row>
    <row r="3570" spans="11:11">
      <c r="K3570" s="1462"/>
    </row>
    <row r="3571" spans="11:11">
      <c r="K3571" s="1462"/>
    </row>
    <row r="3572" spans="11:11">
      <c r="K3572" s="1462"/>
    </row>
    <row r="3573" spans="11:11">
      <c r="K3573" s="1462"/>
    </row>
    <row r="3574" spans="11:11">
      <c r="K3574" s="1462"/>
    </row>
    <row r="3575" spans="11:11">
      <c r="K3575" s="1462"/>
    </row>
    <row r="3576" spans="11:11">
      <c r="K3576" s="1462"/>
    </row>
    <row r="3577" spans="11:11">
      <c r="K3577" s="1462"/>
    </row>
    <row r="3578" spans="11:11">
      <c r="K3578" s="1462"/>
    </row>
    <row r="3579" spans="11:11">
      <c r="K3579" s="1462"/>
    </row>
    <row r="3580" spans="11:11">
      <c r="K3580" s="1462"/>
    </row>
    <row r="3581" spans="11:11">
      <c r="K3581" s="1462"/>
    </row>
    <row r="3582" spans="11:11">
      <c r="K3582" s="1462"/>
    </row>
    <row r="3583" spans="11:11">
      <c r="K3583" s="1462"/>
    </row>
    <row r="3584" spans="11:11">
      <c r="K3584" s="1462"/>
    </row>
    <row r="3585" spans="11:11">
      <c r="K3585" s="1462"/>
    </row>
    <row r="3586" spans="11:11">
      <c r="K3586" s="1462"/>
    </row>
    <row r="3587" spans="11:11">
      <c r="K3587" s="1462"/>
    </row>
    <row r="3588" spans="11:11">
      <c r="K3588" s="1462"/>
    </row>
    <row r="3589" spans="11:11">
      <c r="K3589" s="1462"/>
    </row>
    <row r="3590" spans="11:11">
      <c r="K3590" s="1462"/>
    </row>
    <row r="3591" spans="11:11">
      <c r="K3591" s="1462"/>
    </row>
    <row r="3592" spans="11:11">
      <c r="K3592" s="1462"/>
    </row>
    <row r="3593" spans="11:11">
      <c r="K3593" s="1462"/>
    </row>
    <row r="3594" spans="11:11">
      <c r="K3594" s="1462"/>
    </row>
    <row r="3595" spans="11:11">
      <c r="K3595" s="1462"/>
    </row>
    <row r="3596" spans="11:11">
      <c r="K3596" s="1462"/>
    </row>
    <row r="3597" spans="11:11">
      <c r="K3597" s="1462"/>
    </row>
    <row r="3598" spans="11:11">
      <c r="K3598" s="1462"/>
    </row>
    <row r="3599" spans="11:11">
      <c r="K3599" s="1462"/>
    </row>
    <row r="3600" spans="11:11">
      <c r="K3600" s="1462"/>
    </row>
    <row r="3601" spans="11:11">
      <c r="K3601" s="1462"/>
    </row>
    <row r="3602" spans="11:11">
      <c r="K3602" s="1462"/>
    </row>
    <row r="3603" spans="11:11">
      <c r="K3603" s="1462"/>
    </row>
    <row r="3604" spans="11:11">
      <c r="K3604" s="1462"/>
    </row>
    <row r="3605" spans="11:11">
      <c r="K3605" s="1462"/>
    </row>
    <row r="3606" spans="11:11">
      <c r="K3606" s="1462"/>
    </row>
    <row r="3607" spans="11:11">
      <c r="K3607" s="1462"/>
    </row>
    <row r="3608" spans="11:11">
      <c r="K3608" s="1462"/>
    </row>
    <row r="3609" spans="11:11">
      <c r="K3609" s="1462"/>
    </row>
    <row r="3610" spans="11:11">
      <c r="K3610" s="1462"/>
    </row>
    <row r="3611" spans="11:11">
      <c r="K3611" s="1462"/>
    </row>
    <row r="3612" spans="11:11">
      <c r="K3612" s="1462"/>
    </row>
    <row r="3613" spans="11:11">
      <c r="K3613" s="1462"/>
    </row>
    <row r="3614" spans="11:11">
      <c r="K3614" s="1462"/>
    </row>
    <row r="3615" spans="11:11">
      <c r="K3615" s="1462"/>
    </row>
    <row r="3616" spans="11:11">
      <c r="K3616" s="1462"/>
    </row>
    <row r="3617" spans="11:11">
      <c r="K3617" s="1462"/>
    </row>
    <row r="3618" spans="11:11">
      <c r="K3618" s="1462"/>
    </row>
    <row r="3619" spans="11:11">
      <c r="K3619" s="1462"/>
    </row>
    <row r="3620" spans="11:11">
      <c r="K3620" s="1462"/>
    </row>
    <row r="3621" spans="11:11">
      <c r="K3621" s="1462"/>
    </row>
    <row r="3622" spans="11:11">
      <c r="K3622" s="1462"/>
    </row>
    <row r="3623" spans="11:11">
      <c r="K3623" s="1462"/>
    </row>
    <row r="3624" spans="11:11">
      <c r="K3624" s="1462"/>
    </row>
    <row r="3625" spans="11:11">
      <c r="K3625" s="1462"/>
    </row>
    <row r="3626" spans="11:11">
      <c r="K3626" s="1462"/>
    </row>
    <row r="3627" spans="11:11">
      <c r="K3627" s="1462"/>
    </row>
    <row r="3628" spans="11:11">
      <c r="K3628" s="1462"/>
    </row>
    <row r="3629" spans="11:11">
      <c r="K3629" s="1462"/>
    </row>
    <row r="3630" spans="11:11">
      <c r="K3630" s="1462"/>
    </row>
    <row r="3631" spans="11:11">
      <c r="K3631" s="1462"/>
    </row>
    <row r="3632" spans="11:11">
      <c r="K3632" s="1462"/>
    </row>
    <row r="3633" spans="11:11">
      <c r="K3633" s="1462"/>
    </row>
    <row r="3634" spans="11:11">
      <c r="K3634" s="1462"/>
    </row>
    <row r="3635" spans="11:11">
      <c r="K3635" s="1462"/>
    </row>
    <row r="3636" spans="11:11">
      <c r="K3636" s="1462"/>
    </row>
    <row r="3637" spans="11:11">
      <c r="K3637" s="1462"/>
    </row>
    <row r="3638" spans="11:11">
      <c r="K3638" s="1462"/>
    </row>
    <row r="3639" spans="11:11">
      <c r="K3639" s="1462"/>
    </row>
    <row r="3640" spans="11:11">
      <c r="K3640" s="1462"/>
    </row>
    <row r="3641" spans="11:11">
      <c r="K3641" s="1462"/>
    </row>
    <row r="3642" spans="11:11">
      <c r="K3642" s="1462"/>
    </row>
    <row r="3643" spans="11:11">
      <c r="K3643" s="1462"/>
    </row>
    <row r="3644" spans="11:11">
      <c r="K3644" s="1462"/>
    </row>
    <row r="3645" spans="11:11">
      <c r="K3645" s="1462"/>
    </row>
    <row r="3646" spans="11:11">
      <c r="K3646" s="1462"/>
    </row>
    <row r="3647" spans="11:11">
      <c r="K3647" s="1462"/>
    </row>
    <row r="3648" spans="11:11">
      <c r="K3648" s="1462"/>
    </row>
    <row r="3649" spans="11:11">
      <c r="K3649" s="1462"/>
    </row>
    <row r="3650" spans="11:11">
      <c r="K3650" s="1462"/>
    </row>
    <row r="3651" spans="11:11">
      <c r="K3651" s="1462"/>
    </row>
    <row r="3652" spans="11:11">
      <c r="K3652" s="1462"/>
    </row>
    <row r="3653" spans="11:11">
      <c r="K3653" s="1462"/>
    </row>
    <row r="3654" spans="11:11">
      <c r="K3654" s="1462"/>
    </row>
    <row r="3655" spans="11:11">
      <c r="K3655" s="1462"/>
    </row>
    <row r="3656" spans="11:11">
      <c r="K3656" s="1462"/>
    </row>
    <row r="3657" spans="11:11">
      <c r="K3657" s="1462"/>
    </row>
    <row r="3658" spans="11:11">
      <c r="K3658" s="1462"/>
    </row>
    <row r="3659" spans="11:11">
      <c r="K3659" s="1462"/>
    </row>
    <row r="3660" spans="11:11">
      <c r="K3660" s="1462"/>
    </row>
    <row r="3661" spans="11:11">
      <c r="K3661" s="1462"/>
    </row>
    <row r="3662" spans="11:11">
      <c r="K3662" s="1462"/>
    </row>
    <row r="3663" spans="11:11">
      <c r="K3663" s="1462"/>
    </row>
    <row r="3664" spans="11:11">
      <c r="K3664" s="1462"/>
    </row>
    <row r="3665" spans="11:11">
      <c r="K3665" s="1462"/>
    </row>
    <row r="3666" spans="11:11">
      <c r="K3666" s="1462"/>
    </row>
    <row r="3667" spans="11:11">
      <c r="K3667" s="1462"/>
    </row>
    <row r="3668" spans="11:11">
      <c r="K3668" s="1462"/>
    </row>
    <row r="3669" spans="11:11">
      <c r="K3669" s="1462"/>
    </row>
    <row r="3670" spans="11:11">
      <c r="K3670" s="1462"/>
    </row>
    <row r="3671" spans="11:11">
      <c r="K3671" s="1462"/>
    </row>
    <row r="3672" spans="11:11">
      <c r="K3672" s="1462"/>
    </row>
    <row r="3673" spans="11:11">
      <c r="K3673" s="1462"/>
    </row>
    <row r="3674" spans="11:11">
      <c r="K3674" s="1462"/>
    </row>
    <row r="3675" spans="11:11">
      <c r="K3675" s="1462"/>
    </row>
    <row r="3676" spans="11:11">
      <c r="K3676" s="1462"/>
    </row>
    <row r="3677" spans="11:11">
      <c r="K3677" s="1462"/>
    </row>
    <row r="3678" spans="11:11">
      <c r="K3678" s="1462"/>
    </row>
    <row r="3679" spans="11:11">
      <c r="K3679" s="1462"/>
    </row>
    <row r="3680" spans="11:11">
      <c r="K3680" s="1462"/>
    </row>
    <row r="3681" spans="11:11">
      <c r="K3681" s="1462"/>
    </row>
    <row r="3682" spans="11:11">
      <c r="K3682" s="1462"/>
    </row>
    <row r="3683" spans="11:11">
      <c r="K3683" s="1462"/>
    </row>
    <row r="3684" spans="11:11">
      <c r="K3684" s="1462"/>
    </row>
    <row r="3685" spans="11:11">
      <c r="K3685" s="1462"/>
    </row>
    <row r="3686" spans="11:11">
      <c r="K3686" s="1462"/>
    </row>
    <row r="3687" spans="11:11">
      <c r="K3687" s="1462"/>
    </row>
    <row r="3688" spans="11:11">
      <c r="K3688" s="1462"/>
    </row>
    <row r="3689" spans="11:11">
      <c r="K3689" s="1462"/>
    </row>
    <row r="3690" spans="11:11">
      <c r="K3690" s="1462"/>
    </row>
    <row r="3691" spans="11:11">
      <c r="K3691" s="1462"/>
    </row>
    <row r="3692" spans="11:11">
      <c r="K3692" s="1462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74" t="s">
        <v>2201</v>
      </c>
      <c r="B9" s="1574" t="s">
        <v>2202</v>
      </c>
      <c r="C9" s="1574"/>
      <c r="D9" s="1574" t="s">
        <v>2203</v>
      </c>
      <c r="E9" s="1684" t="s">
        <v>2228</v>
      </c>
      <c r="F9" s="1684" t="s">
        <v>2227</v>
      </c>
      <c r="G9" s="1684" t="s">
        <v>36</v>
      </c>
    </row>
    <row r="10" spans="1:11">
      <c r="A10" s="1865" t="s">
        <v>753</v>
      </c>
      <c r="B10" s="1865" t="s">
        <v>2076</v>
      </c>
      <c r="C10" s="1575">
        <v>12</v>
      </c>
      <c r="D10" s="1575" t="s">
        <v>2034</v>
      </c>
      <c r="E10" s="1685">
        <f>Encargos!I20</f>
        <v>0</v>
      </c>
      <c r="F10" s="1685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685">
        <f>(SUMIFS(Financeiros[Valor],Financeiros[iddet1],19,Financeiros[iddet2],60,Financeiros[id_Detalhe_Grupo_TARIFA],C10))</f>
        <v>0</v>
      </c>
      <c r="K10" s="9"/>
    </row>
    <row r="11" spans="1:11">
      <c r="A11" s="1866"/>
      <c r="B11" s="1865"/>
      <c r="C11" s="1575">
        <v>14</v>
      </c>
      <c r="D11" s="1575" t="s">
        <v>40</v>
      </c>
      <c r="E11" s="1685">
        <f ca="1">Resultado!D17</f>
        <v>118146.05586998828</v>
      </c>
      <c r="F11" s="1685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-1345.2444493490764</v>
      </c>
      <c r="G11" s="1685">
        <f>(SUMIFS(Financeiros[Valor],Financeiros[iddet1],19,Financeiros[iddet2],60,Financeiros[id_Detalhe_Grupo_TARIFA],C11))</f>
        <v>0</v>
      </c>
    </row>
    <row r="12" spans="1:11">
      <c r="A12" s="1866"/>
      <c r="B12" s="1865"/>
      <c r="C12" s="1575">
        <v>19</v>
      </c>
      <c r="D12" s="1575" t="s">
        <v>48</v>
      </c>
      <c r="E12" s="1685">
        <f ca="1">Resultado!D22-E38</f>
        <v>0</v>
      </c>
      <c r="F12" s="1685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85">
        <f>(SUMIFS(Financeiros[Valor],Financeiros[iddet1],19,Financeiros[iddet2],60,Financeiros[id_Detalhe_Grupo_TARIFA],C12))</f>
        <v>0</v>
      </c>
    </row>
    <row r="13" spans="1:11">
      <c r="A13" s="1866"/>
      <c r="B13" s="1865"/>
      <c r="C13" s="1575">
        <v>20</v>
      </c>
      <c r="D13" s="1575" t="s">
        <v>49</v>
      </c>
      <c r="E13" s="1685">
        <f>Resultado!D23</f>
        <v>0</v>
      </c>
      <c r="F13" s="1685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85">
        <f>(SUMIFS(Financeiros[Valor],Financeiros[iddet1],19,Financeiros[iddet2],60,Financeiros[id_Detalhe_Grupo_TARIFA],C13))</f>
        <v>0</v>
      </c>
    </row>
    <row r="14" spans="1:11">
      <c r="A14" s="1866"/>
      <c r="B14" s="1865"/>
      <c r="C14" s="1575">
        <v>13</v>
      </c>
      <c r="D14" s="1575" t="s">
        <v>39</v>
      </c>
      <c r="E14" s="1685">
        <f>Resultado!D16</f>
        <v>0</v>
      </c>
      <c r="F14" s="1685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85">
        <f>(SUMIFS(Financeiros[Valor],Financeiros[iddet1],19,Financeiros[iddet2],60,Financeiros[id_Detalhe_Grupo_TARIFA],C14))</f>
        <v>0</v>
      </c>
    </row>
    <row r="15" spans="1:11">
      <c r="A15" s="1866"/>
      <c r="B15" s="1865"/>
      <c r="C15" s="1575">
        <v>15</v>
      </c>
      <c r="D15" s="1575" t="s">
        <v>41</v>
      </c>
      <c r="E15" s="1685">
        <f ca="1">Encargos!I19</f>
        <v>4445152.1190699972</v>
      </c>
      <c r="F15" s="1685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-38909.608864024849</v>
      </c>
      <c r="G15" s="1685">
        <f>(SUMIFS(Financeiros[Valor],Financeiros[iddet1],19,Financeiros[iddet2],60,Financeiros[id_Detalhe_Grupo_TARIFA],C15))</f>
        <v>0</v>
      </c>
    </row>
    <row r="16" spans="1:11">
      <c r="A16" s="1866"/>
      <c r="B16" s="1865"/>
      <c r="C16" s="1575">
        <v>18</v>
      </c>
      <c r="D16" s="1575" t="s">
        <v>47</v>
      </c>
      <c r="E16" s="1685">
        <f ca="1">Resultado!D21</f>
        <v>723391.08677999966</v>
      </c>
      <c r="F16" s="1685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-6436.7217552921993</v>
      </c>
      <c r="G16" s="1685">
        <f>(SUMIFS(Financeiros[Valor],Financeiros[iddet1],19,Financeiros[iddet2],60,Financeiros[id_Detalhe_Grupo_TARIFA],C16))</f>
        <v>0</v>
      </c>
    </row>
    <row r="17" spans="1:7">
      <c r="A17" s="1866"/>
      <c r="B17" s="1865"/>
      <c r="C17" s="1575"/>
      <c r="D17" s="1575" t="s">
        <v>2204</v>
      </c>
      <c r="E17" s="1685">
        <v>0</v>
      </c>
      <c r="F17" s="1685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85">
        <v>0</v>
      </c>
    </row>
    <row r="18" spans="1:7">
      <c r="A18" s="1866"/>
      <c r="B18" s="1865"/>
      <c r="C18" s="1575"/>
      <c r="D18" s="1668" t="s">
        <v>2205</v>
      </c>
      <c r="E18" s="1685">
        <f ca="1">SUM(E10:E17)</f>
        <v>5286689.2617199849</v>
      </c>
      <c r="F18" s="1685">
        <f t="shared" ref="F18:G18" ca="1" si="0">SUM(F10:F17)</f>
        <v>-46691.575068666127</v>
      </c>
      <c r="G18" s="1685">
        <f t="shared" si="0"/>
        <v>0</v>
      </c>
    </row>
    <row r="19" spans="1:7">
      <c r="A19" s="1866"/>
      <c r="B19" s="1865" t="s">
        <v>2206</v>
      </c>
      <c r="C19" s="1575">
        <v>1</v>
      </c>
      <c r="D19" s="1575" t="s">
        <v>2207</v>
      </c>
      <c r="E19" s="1685">
        <f>Resultado!D25</f>
        <v>0</v>
      </c>
      <c r="F19" s="1685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85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6"/>
      <c r="B20" s="1865"/>
      <c r="C20" s="1575">
        <v>2</v>
      </c>
      <c r="D20" s="1575" t="s">
        <v>2208</v>
      </c>
      <c r="E20" s="1685">
        <f>Resultado!D26</f>
        <v>0</v>
      </c>
      <c r="F20" s="1685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85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6"/>
      <c r="B21" s="1865"/>
      <c r="C21" s="1575">
        <v>3</v>
      </c>
      <c r="D21" s="1575" t="s">
        <v>2209</v>
      </c>
      <c r="E21" s="1685">
        <f>Resultado!D31</f>
        <v>0</v>
      </c>
      <c r="F21" s="1685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85">
        <f>(SUMIFS(Financeiros[Valor],Financeiros[iddet1],19,Financeiros[iddet2],60,Financeiros[id_Detalhe_Grupo_TARIFA],C21))</f>
        <v>0</v>
      </c>
    </row>
    <row r="22" spans="1:7">
      <c r="A22" s="1866"/>
      <c r="B22" s="1865"/>
      <c r="C22" s="1575">
        <v>4</v>
      </c>
      <c r="D22" s="1575" t="s">
        <v>2210</v>
      </c>
      <c r="E22" s="1685">
        <f>0</f>
        <v>0</v>
      </c>
      <c r="F22" s="1685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85">
        <f>(SUMIFS(Financeiros[Valor],Financeiros[iddet1],19,Financeiros[iddet2],60,Financeiros[id_Detalhe_Grupo_TARIFA],C22))</f>
        <v>0</v>
      </c>
    </row>
    <row r="23" spans="1:7">
      <c r="A23" s="1866"/>
      <c r="B23" s="1865"/>
      <c r="C23" s="1575">
        <v>7</v>
      </c>
      <c r="D23" s="1575" t="s">
        <v>952</v>
      </c>
      <c r="E23" s="1685">
        <f>Resultado!D32</f>
        <v>7250869.556640001</v>
      </c>
      <c r="F23" s="1685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-1289202.8707747674</v>
      </c>
      <c r="G23" s="1685">
        <f>(SUMIFS(Financeiros[Valor],Financeiros[iddet1],19,Financeiros[iddet2],60,Financeiros[id_Detalhe_Grupo_TARIFA],C23))</f>
        <v>0</v>
      </c>
    </row>
    <row r="24" spans="1:7">
      <c r="A24" s="1866"/>
      <c r="B24" s="1865"/>
      <c r="C24" s="1575">
        <v>6</v>
      </c>
      <c r="D24" s="1575" t="s">
        <v>2211</v>
      </c>
      <c r="E24" s="1685">
        <f>Resultado!D28</f>
        <v>0</v>
      </c>
      <c r="F24" s="1685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85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6"/>
      <c r="B25" s="1865"/>
      <c r="C25" s="1575">
        <v>5</v>
      </c>
      <c r="D25" s="1575" t="s">
        <v>2212</v>
      </c>
      <c r="E25" s="1685">
        <f>Resultado!D27</f>
        <v>0</v>
      </c>
      <c r="F25" s="1685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85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6"/>
      <c r="B26" s="1865"/>
      <c r="C26" s="1575"/>
      <c r="D26" s="1668" t="s">
        <v>2205</v>
      </c>
      <c r="E26" s="1685">
        <f>SUM(E19:E25)</f>
        <v>7250869.556640001</v>
      </c>
      <c r="F26" s="1685">
        <f t="shared" ref="F26:G26" si="1">SUM(F19:F25)</f>
        <v>-1289202.8707747674</v>
      </c>
      <c r="G26" s="1685">
        <f t="shared" si="1"/>
        <v>0</v>
      </c>
    </row>
    <row r="27" spans="1:7">
      <c r="A27" s="1866"/>
      <c r="B27" s="1865" t="s">
        <v>2213</v>
      </c>
      <c r="C27" s="1575">
        <v>999</v>
      </c>
      <c r="D27" s="1575" t="s">
        <v>953</v>
      </c>
      <c r="E27" s="1685">
        <f>LnkTXTIParcelaBcomSub</f>
        <v>29224737.75</v>
      </c>
      <c r="F27" s="1685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-17867394.383257363</v>
      </c>
      <c r="G27" s="1685">
        <v>0</v>
      </c>
    </row>
    <row r="28" spans="1:7">
      <c r="A28" s="1866"/>
      <c r="B28" s="1865"/>
      <c r="C28" s="1575"/>
      <c r="D28" s="1668" t="s">
        <v>2205</v>
      </c>
      <c r="E28" s="1685">
        <f>SUM(E27)</f>
        <v>29224737.75</v>
      </c>
      <c r="F28" s="1685">
        <f t="shared" ref="F28:G28" ca="1" si="2">SUM(F27)</f>
        <v>-17867394.383257363</v>
      </c>
      <c r="G28" s="1685">
        <f t="shared" si="2"/>
        <v>0</v>
      </c>
    </row>
    <row r="29" spans="1:7">
      <c r="A29" s="1866"/>
      <c r="B29" s="1865" t="s">
        <v>2214</v>
      </c>
      <c r="C29" s="1575">
        <v>179</v>
      </c>
      <c r="D29" s="1575" t="s">
        <v>2215</v>
      </c>
      <c r="E29" s="1685">
        <v>0</v>
      </c>
      <c r="F29" s="1685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685">
        <v>0</v>
      </c>
    </row>
    <row r="30" spans="1:7">
      <c r="A30" s="1866"/>
      <c r="B30" s="1865"/>
      <c r="C30" s="1575"/>
      <c r="D30" s="1575" t="s">
        <v>949</v>
      </c>
      <c r="E30" s="1685">
        <v>0</v>
      </c>
      <c r="F30" s="1685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85">
        <v>0</v>
      </c>
    </row>
    <row r="31" spans="1:7">
      <c r="A31" s="1866"/>
      <c r="B31" s="1865"/>
      <c r="C31" s="1575"/>
      <c r="D31" s="1668" t="s">
        <v>2205</v>
      </c>
      <c r="E31" s="1685">
        <f>SUM(E29:E30)</f>
        <v>0</v>
      </c>
      <c r="F31" s="1685">
        <f t="shared" ref="F31:G31" ca="1" si="3">SUM(F29:F30)</f>
        <v>0</v>
      </c>
      <c r="G31" s="1685">
        <f t="shared" si="3"/>
        <v>0</v>
      </c>
    </row>
    <row r="32" spans="1:7">
      <c r="A32" s="1866"/>
      <c r="B32" s="1865" t="s">
        <v>2216</v>
      </c>
      <c r="C32" s="1575">
        <v>8</v>
      </c>
      <c r="D32" s="1575" t="s">
        <v>2217</v>
      </c>
      <c r="E32" s="1685">
        <f ca="1">Energia!D11*Energia!D14</f>
        <v>1353959.4251748875</v>
      </c>
      <c r="F32" s="1685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-21537.922799824173</v>
      </c>
      <c r="G32" s="1685">
        <f>(SUMIFS(Financeiros[Valor],Financeiros[iddet1],19,Financeiros[iddet2],60,Financeiros[id_Detalhe_Grupo_TARIFA],C32))</f>
        <v>0</v>
      </c>
    </row>
    <row r="33" spans="1:7">
      <c r="A33" s="1866"/>
      <c r="B33" s="1865"/>
      <c r="C33" s="1575">
        <v>10</v>
      </c>
      <c r="D33" s="1575" t="s">
        <v>2218</v>
      </c>
      <c r="E33" s="1685">
        <f ca="1">Energia!D12*Energia!D14</f>
        <v>0</v>
      </c>
      <c r="F33" s="1685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685">
        <f>(SUMIFS(Financeiros[Valor],Financeiros[iddet1],19,Financeiros[iddet2],60,Financeiros[id_Detalhe_Grupo_TARIFA],C33))</f>
        <v>0</v>
      </c>
    </row>
    <row r="34" spans="1:7">
      <c r="A34" s="1866"/>
      <c r="B34" s="1865"/>
      <c r="C34" s="1575">
        <v>9</v>
      </c>
      <c r="D34" s="1575" t="s">
        <v>2219</v>
      </c>
      <c r="E34" s="1685">
        <f ca="1">Energia!D10*Energia!D14</f>
        <v>0</v>
      </c>
      <c r="F34" s="1685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685">
        <f>(SUMIFS(Financeiros[Valor],Financeiros[iddet1],19,Financeiros[iddet2],60,Financeiros[id_Detalhe_Grupo_TARIFA],C34))</f>
        <v>0</v>
      </c>
    </row>
    <row r="35" spans="1:7">
      <c r="A35" s="1866"/>
      <c r="B35" s="1865"/>
      <c r="C35" s="1575">
        <v>999</v>
      </c>
      <c r="D35" s="1575" t="s">
        <v>989</v>
      </c>
      <c r="E35" s="1685"/>
      <c r="F35" s="1685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85">
        <f>(SUMIFS(Financeiros[Valor],Financeiros[iddet1],19,Financeiros[iddet2],60,Financeiros[id_Detalhe_Grupo_TARIFA],C35))</f>
        <v>0</v>
      </c>
    </row>
    <row r="36" spans="1:7">
      <c r="A36" s="1866"/>
      <c r="B36" s="1865"/>
      <c r="C36" s="1575"/>
      <c r="D36" s="1668" t="s">
        <v>2205</v>
      </c>
      <c r="E36" s="1685">
        <f ca="1">SUM(E32:E35)</f>
        <v>1353959.4251748875</v>
      </c>
      <c r="F36" s="1685">
        <f t="shared" ref="F36:G36" ca="1" si="4">SUM(F32:F35)</f>
        <v>-21537.922799824173</v>
      </c>
      <c r="G36" s="1685">
        <f t="shared" si="4"/>
        <v>0</v>
      </c>
    </row>
    <row r="37" spans="1:7">
      <c r="A37" s="1866"/>
      <c r="B37" s="1867" t="s">
        <v>2205</v>
      </c>
      <c r="C37" s="1867"/>
      <c r="D37" s="1867"/>
      <c r="E37" s="1685">
        <f ca="1">SUM(E18,E26,E28,E36,E31)</f>
        <v>43116255.99353487</v>
      </c>
      <c r="F37" s="1685">
        <f ca="1">SUM(F18,F26,F28,F36,F31)</f>
        <v>-19224826.751900621</v>
      </c>
      <c r="G37" s="1685">
        <f>SUM(G18,G26,G28,G36,G31)</f>
        <v>0</v>
      </c>
    </row>
    <row r="38" spans="1:7">
      <c r="A38" s="1865" t="s">
        <v>971</v>
      </c>
      <c r="B38" s="1865" t="s">
        <v>2076</v>
      </c>
      <c r="C38" s="1575">
        <v>19</v>
      </c>
      <c r="D38" s="1575" t="s">
        <v>48</v>
      </c>
      <c r="E38" s="1685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85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85">
        <f>(SUMIFS(Financeiros[Valor],Financeiros[iddet1],19,Financeiros[iddet2],60,Financeiros[id_Detalhe_Grupo_TARIFA],C38))</f>
        <v>0</v>
      </c>
    </row>
    <row r="39" spans="1:7">
      <c r="A39" s="1866"/>
      <c r="B39" s="1865"/>
      <c r="C39" s="1575">
        <v>17</v>
      </c>
      <c r="D39" s="1575" t="s">
        <v>46</v>
      </c>
      <c r="E39" s="1685">
        <f>Encargos!C9</f>
        <v>0</v>
      </c>
      <c r="F39" s="1685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685">
        <f>(SUMIFS(Financeiros[Valor],Financeiros[iddet1],19,Financeiros[iddet2],60,Financeiros[id_Detalhe_Grupo_TARIFA],C39))</f>
        <v>0</v>
      </c>
    </row>
    <row r="40" spans="1:7">
      <c r="A40" s="1866"/>
      <c r="B40" s="1865"/>
      <c r="C40" s="1575">
        <v>16</v>
      </c>
      <c r="D40" s="1575" t="s">
        <v>112</v>
      </c>
      <c r="E40" s="1685">
        <f>Encargos!C8</f>
        <v>0</v>
      </c>
      <c r="F40" s="1685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85">
        <f>(SUMIFS(Financeiros[Valor],Financeiros[iddet1],19,Financeiros[iddet2],60,Financeiros[id_Detalhe_Grupo_TARIFA],C40))</f>
        <v>0</v>
      </c>
    </row>
    <row r="41" spans="1:7">
      <c r="A41" s="1866"/>
      <c r="B41" s="1865"/>
      <c r="C41" s="1575">
        <v>25</v>
      </c>
      <c r="D41" s="1575" t="s">
        <v>2220</v>
      </c>
      <c r="E41" s="1685">
        <v>0</v>
      </c>
      <c r="F41" s="1685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85">
        <f>(SUMIFS(Financeiros[Valor],Financeiros[iddet1],19,Financeiros[iddet2],60,Financeiros[id_Detalhe_Grupo_TARIFA],C41))</f>
        <v>0</v>
      </c>
    </row>
    <row r="42" spans="1:7">
      <c r="A42" s="1866"/>
      <c r="B42" s="1865"/>
      <c r="C42" s="1575">
        <v>28</v>
      </c>
      <c r="D42" s="1575" t="s">
        <v>2055</v>
      </c>
      <c r="E42" s="1685">
        <f>Encargos!I21</f>
        <v>0</v>
      </c>
      <c r="F42" s="1685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85">
        <f>(SUMIFS(Financeiros[Valor],Financeiros[iddet1],19,Financeiros[iddet2],60,Financeiros[id_Detalhe_Grupo_TARIFA],C42))</f>
        <v>0</v>
      </c>
    </row>
    <row r="43" spans="1:7">
      <c r="A43" s="1866"/>
      <c r="B43" s="1865"/>
      <c r="C43" s="1575"/>
      <c r="D43" s="1668" t="s">
        <v>2205</v>
      </c>
      <c r="E43" s="1685">
        <f ca="1">SUM(E38:E42)</f>
        <v>0</v>
      </c>
      <c r="F43" s="1685">
        <f ca="1">SUM(F38:F42)</f>
        <v>0</v>
      </c>
      <c r="G43" s="1685">
        <f>SUM(G38:G42)</f>
        <v>0</v>
      </c>
    </row>
    <row r="44" spans="1:7">
      <c r="A44" s="1866"/>
      <c r="B44" s="1865" t="s">
        <v>2077</v>
      </c>
      <c r="C44" s="1575">
        <v>11</v>
      </c>
      <c r="D44" s="1575" t="s">
        <v>2221</v>
      </c>
      <c r="E44" s="1685">
        <f ca="1">Energia!D6*Energia!D14</f>
        <v>8464455.5507126208</v>
      </c>
      <c r="F44" s="1685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-134647.15914233806</v>
      </c>
      <c r="G44" s="1685">
        <f>(SUMIFS(Financeiros[Valor],Financeiros[iddet1],19,Financeiros[iddet2],60,Financeiros[id_Detalhe_Grupo_TARIFA],C44))</f>
        <v>0</v>
      </c>
    </row>
    <row r="45" spans="1:7">
      <c r="A45" s="1866"/>
      <c r="B45" s="1865"/>
      <c r="C45" s="1575"/>
      <c r="D45" s="1668" t="s">
        <v>2205</v>
      </c>
      <c r="E45" s="1685">
        <f ca="1">SUM(E44)</f>
        <v>8464455.5507126208</v>
      </c>
      <c r="F45" s="1685">
        <f ca="1">SUM(F44)</f>
        <v>-134647.15914233806</v>
      </c>
      <c r="G45" s="1685">
        <f>SUM(G44)</f>
        <v>0</v>
      </c>
    </row>
    <row r="46" spans="1:7">
      <c r="A46" s="1866"/>
      <c r="B46" s="1865" t="s">
        <v>2206</v>
      </c>
      <c r="C46" s="1575">
        <v>21</v>
      </c>
      <c r="D46" s="1575" t="s">
        <v>975</v>
      </c>
      <c r="E46" s="1685">
        <f>Resultado!D29</f>
        <v>0</v>
      </c>
      <c r="F46" s="1685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85">
        <f>(SUMIFS(Financeiros[Valor],Financeiros[iddet1],19,Financeiros[iddet2],60,Financeiros[id_Detalhe_Grupo_TARIFA],C46))</f>
        <v>0</v>
      </c>
    </row>
    <row r="47" spans="1:7">
      <c r="A47" s="1866"/>
      <c r="B47" s="1865"/>
      <c r="C47" s="1575">
        <v>23</v>
      </c>
      <c r="D47" s="1575" t="s">
        <v>2222</v>
      </c>
      <c r="E47" s="1685">
        <f>Resultado!D30</f>
        <v>0</v>
      </c>
      <c r="F47" s="1685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85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6"/>
      <c r="B48" s="1865"/>
      <c r="C48" s="1575">
        <v>22</v>
      </c>
      <c r="D48" s="1575" t="s">
        <v>2223</v>
      </c>
      <c r="E48" s="1685">
        <f>0</f>
        <v>0</v>
      </c>
      <c r="F48" s="1685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85">
        <f>(SUMIFS(Financeiros[Valor],Financeiros[iddet1],19,Financeiros[iddet2],60,Financeiros[id_Detalhe_Grupo_TARIFA],C48))</f>
        <v>0</v>
      </c>
    </row>
    <row r="49" spans="1:7">
      <c r="A49" s="1866"/>
      <c r="B49" s="1865"/>
      <c r="C49" s="1575"/>
      <c r="D49" s="1668" t="s">
        <v>2205</v>
      </c>
      <c r="E49" s="1685">
        <f>SUM(E46:E48)</f>
        <v>0</v>
      </c>
      <c r="F49" s="1685">
        <f>SUM(F46:F48)</f>
        <v>0</v>
      </c>
      <c r="G49" s="1685">
        <f>SUM(G46:G48)</f>
        <v>0</v>
      </c>
    </row>
    <row r="50" spans="1:7">
      <c r="A50" s="1866"/>
      <c r="B50" s="1865" t="s">
        <v>2214</v>
      </c>
      <c r="C50" s="1575">
        <v>179</v>
      </c>
      <c r="D50" s="1575" t="s">
        <v>2215</v>
      </c>
      <c r="E50" s="1685">
        <v>0</v>
      </c>
      <c r="F50" s="1685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685">
        <f>SUMIFS(Financeiros[Valor],Financeiros[iddet1],19,Financeiros[iddet2],60,Financeiros[id_Detalhe_Grupo_TARIFA],C50)</f>
        <v>0</v>
      </c>
    </row>
    <row r="51" spans="1:7">
      <c r="A51" s="1866"/>
      <c r="B51" s="1865"/>
      <c r="C51" s="1575"/>
      <c r="D51" s="1575" t="s">
        <v>2205</v>
      </c>
      <c r="E51" s="1685">
        <f>SUM(E50)</f>
        <v>0</v>
      </c>
      <c r="F51" s="1685">
        <f ca="1">SUM(F50)</f>
        <v>0</v>
      </c>
      <c r="G51" s="1685">
        <f>SUM(G50)</f>
        <v>0</v>
      </c>
    </row>
    <row r="52" spans="1:7">
      <c r="A52" s="1866"/>
      <c r="B52" s="1865" t="s">
        <v>2216</v>
      </c>
      <c r="C52" s="1575">
        <v>24</v>
      </c>
      <c r="D52" s="1575" t="s">
        <v>2224</v>
      </c>
      <c r="E52" s="1685">
        <f ca="1">Energia!D13*Energia!D14</f>
        <v>0</v>
      </c>
      <c r="F52" s="1685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685">
        <f>(SUMIFS(Financeiros[Valor],Financeiros[iddet1],19,Financeiros[iddet2],60,Financeiros[id_Detalhe_Grupo_TARIFA],C52))</f>
        <v>0</v>
      </c>
    </row>
    <row r="53" spans="1:7">
      <c r="A53" s="1866"/>
      <c r="B53" s="1865"/>
      <c r="C53" s="1575"/>
      <c r="D53" s="1668" t="s">
        <v>2205</v>
      </c>
      <c r="E53" s="1685">
        <f ca="1">SUM(E52)</f>
        <v>0</v>
      </c>
      <c r="F53" s="1685">
        <f t="shared" ref="F53:G53" ca="1" si="5">SUM(F52)</f>
        <v>0</v>
      </c>
      <c r="G53" s="1685">
        <f t="shared" si="5"/>
        <v>0</v>
      </c>
    </row>
    <row r="54" spans="1:7">
      <c r="A54" s="1866"/>
      <c r="B54" s="1867" t="s">
        <v>2205</v>
      </c>
      <c r="C54" s="1867"/>
      <c r="D54" s="1867"/>
      <c r="E54" s="1685">
        <f ca="1">SUM(E43,E45,E49,E53,E51)</f>
        <v>8464455.5507126208</v>
      </c>
      <c r="F54" s="1685">
        <f t="shared" ref="F54:G54" ca="1" si="6">SUM(F43,F45,F49,F53,F51)</f>
        <v>-134647.15914233806</v>
      </c>
      <c r="G54" s="1685">
        <f t="shared" si="6"/>
        <v>0</v>
      </c>
    </row>
    <row r="55" spans="1:7">
      <c r="A55" s="1865" t="s">
        <v>760</v>
      </c>
      <c r="B55" s="1865"/>
      <c r="C55" s="1865"/>
      <c r="D55" s="1865"/>
      <c r="E55" s="1685">
        <f ca="1">E37+E54</f>
        <v>51580711.544247493</v>
      </c>
      <c r="F55" s="1685">
        <f t="shared" ref="F55:G55" ca="1" si="7">F37+F54</f>
        <v>-19359473.911042958</v>
      </c>
      <c r="G55" s="1685">
        <f t="shared" si="7"/>
        <v>0</v>
      </c>
    </row>
    <row r="56" spans="1:7">
      <c r="E56" s="1686"/>
      <c r="F56" s="1686"/>
      <c r="G56" s="1686"/>
    </row>
    <row r="57" spans="1:7">
      <c r="D57" s="1668" t="s">
        <v>2280</v>
      </c>
      <c r="E57" s="1685">
        <f ca="1">Resultado!C5</f>
        <v>51580711.544247493</v>
      </c>
      <c r="F57" s="1685">
        <f ca="1">(SUMIFS(Financeiros[Valor],Financeiros[iddet1],20)+SUMIFS(Financeiros[Valor],Financeiros[iddet1],22)+SUMIFS(Financeiros[Valor],Financeiros[iddet1],19,Financeiros[iddet2],64))</f>
        <v>-19359473.911042958</v>
      </c>
      <c r="G57" s="1685">
        <f>(SUMIFS(Financeiros[Valor],Financeiros[iddet1],19,Financeiros[iddet2],60))</f>
        <v>0</v>
      </c>
    </row>
    <row r="58" spans="1:7">
      <c r="D58" s="1668" t="s">
        <v>2225</v>
      </c>
      <c r="E58" s="1685" t="str">
        <f ca="1">IF(ABS(E55-E57)&gt;1,"verificar sparta","ok")</f>
        <v>ok</v>
      </c>
      <c r="F58" s="1685" t="str">
        <f t="shared" ref="F58" ca="1" si="8">IF(ABS(F55-F57)&gt;1,"verificar sparta","ok")</f>
        <v>ok</v>
      </c>
      <c r="G58" s="1685" t="str">
        <f>IF(ABS(G55-G57)&gt;1,"verificar sparta","ok")</f>
        <v>ok</v>
      </c>
    </row>
    <row r="59" spans="1:7">
      <c r="E59" s="1686"/>
      <c r="F59" s="1686"/>
      <c r="G59" s="1686"/>
    </row>
    <row r="60" spans="1:7">
      <c r="D60" s="1668" t="s">
        <v>2226</v>
      </c>
      <c r="E60" s="1685">
        <f ca="1">SUMIFS(TabelaBadNet[valor],TabelaBadNet[id_Natureza_dado],2,TabelaBadNet[id_Detalhe_Natureza],1,TabelaBadNet[id_Unidade],3,TabelaBadNet[idDet1],51)</f>
        <v>51580711.544247493</v>
      </c>
      <c r="F60" s="1685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-19359473.911042958</v>
      </c>
      <c r="G60" s="1685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68" t="s">
        <v>2225</v>
      </c>
      <c r="E61" s="1685" t="str">
        <f ca="1">IF(ABS(E60-E55)&gt;1,"verificar badnet","ok")</f>
        <v>ok</v>
      </c>
      <c r="F61" s="1685" t="str">
        <f t="shared" ref="F61:G61" ca="1" si="9">IF(ABS(F60-F55)&gt;1,"verificar badnet","ok")</f>
        <v>ok</v>
      </c>
      <c r="G61" s="1685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A225" zoomScaleNormal="100" workbookViewId="0">
      <selection activeCell="A235" sqref="A235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1387</v>
      </c>
      <c r="B1" t="s">
        <v>1405</v>
      </c>
      <c r="C1" t="s">
        <v>22</v>
      </c>
      <c r="D1" t="s">
        <v>1406</v>
      </c>
      <c r="E1" t="s">
        <v>1407</v>
      </c>
      <c r="F1" t="s">
        <v>1408</v>
      </c>
      <c r="G1" t="s">
        <v>1409</v>
      </c>
      <c r="H1" t="s">
        <v>1410</v>
      </c>
      <c r="I1" t="s">
        <v>1286</v>
      </c>
      <c r="J1" t="s">
        <v>1287</v>
      </c>
      <c r="K1" t="s">
        <v>1288</v>
      </c>
      <c r="L1" t="s">
        <v>1411</v>
      </c>
      <c r="M1" t="s">
        <v>1412</v>
      </c>
      <c r="N1" t="s">
        <v>1413</v>
      </c>
      <c r="O1" t="s">
        <v>1414</v>
      </c>
      <c r="P1" t="s">
        <v>1415</v>
      </c>
      <c r="Q1" t="s">
        <v>1416</v>
      </c>
    </row>
    <row r="2" spans="1:17" s="13" customFormat="1" ht="15.75">
      <c r="A2" t="s">
        <v>696</v>
      </c>
      <c r="B2" t="s">
        <v>1417</v>
      </c>
      <c r="C2" t="s">
        <v>1401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1417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1417</v>
      </c>
      <c r="C4" t="s">
        <v>1401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1417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0.1018</v>
      </c>
      <c r="Q6" s="232">
        <f ca="1">Resultado!C7</f>
        <v>0.1018</v>
      </c>
    </row>
    <row r="7" spans="1:17" s="13" customFormat="1" ht="15.75">
      <c r="A7" t="s">
        <v>696</v>
      </c>
      <c r="B7" t="s">
        <v>1417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-0.41349999999999998</v>
      </c>
      <c r="Q7" s="232">
        <f ca="1">Resultado!C8</f>
        <v>-0.41349999999999998</v>
      </c>
    </row>
    <row r="8" spans="1:17" s="13" customFormat="1" ht="15.75">
      <c r="A8" t="s">
        <v>696</v>
      </c>
      <c r="B8" t="s">
        <v>1417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-0.31169999999999998</v>
      </c>
      <c r="Q8" s="232">
        <f ca="1">Resultado!C9</f>
        <v>-0.31169999999999998</v>
      </c>
    </row>
    <row r="9" spans="1:17" s="13" customFormat="1" ht="15.75">
      <c r="A9" t="s">
        <v>696</v>
      </c>
      <c r="B9" t="s">
        <v>1417</v>
      </c>
      <c r="C9" t="s">
        <v>1418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0.21625368655874957</v>
      </c>
      <c r="Q9" s="232">
        <f ca="1">IF(ISERROR(LnkTXTICMS),0,LnkTXTICMS)</f>
        <v>0.21625368655874957</v>
      </c>
    </row>
    <row r="10" spans="1:17" s="13" customFormat="1" ht="15.75">
      <c r="A10" t="s">
        <v>696</v>
      </c>
      <c r="B10" t="s">
        <v>1417</v>
      </c>
      <c r="C10" t="s">
        <v>1419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2.8408015906946941E-3</v>
      </c>
      <c r="Q10" s="232">
        <f ca="1">IF(ISERROR(LNKTXTPercPISCOFINS),0,LNKTXTPercPISCOFINS)</f>
        <v>2.8408015906946941E-3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118146.05586998828</v>
      </c>
      <c r="Q13" s="232">
        <f ca="1">Resultado!D17</f>
        <v>118146.05586998828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4445152.1190699972</v>
      </c>
      <c r="Q14" s="232">
        <f ca="1">Encargos!I19</f>
        <v>4445152.1190699972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723391.08677999966</v>
      </c>
      <c r="Q17" s="232">
        <f ca="1">Resultado!D21</f>
        <v>723391.08677999966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7250869.556640001</v>
      </c>
      <c r="Q21" s="232">
        <f>Q22/(1-Q20)</f>
        <v>7250869.556640001</v>
      </c>
    </row>
    <row r="22" spans="1:17" ht="15.75">
      <c r="A22" t="s">
        <v>696</v>
      </c>
      <c r="B22" t="s">
        <v>717</v>
      </c>
      <c r="C22" t="s">
        <v>1422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7250869.556640001</v>
      </c>
      <c r="Q22" s="232">
        <f>CUSD!C3</f>
        <v>7250869.556640001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1427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59969.45249970998</v>
      </c>
      <c r="Q31" s="232">
        <f ca="1">Energia!D5</f>
        <v>59969.45249970998</v>
      </c>
    </row>
    <row r="32" spans="1:17" ht="15.75">
      <c r="A32" t="s">
        <v>696</v>
      </c>
      <c r="B32" t="s">
        <v>108</v>
      </c>
      <c r="C32" t="s">
        <v>1428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8269.7874997100062</v>
      </c>
      <c r="Q32" s="232">
        <f ca="1">Energia!N17</f>
        <v>8269.7874997100062</v>
      </c>
    </row>
    <row r="33" spans="1:17" ht="15.75">
      <c r="A33" t="s">
        <v>696</v>
      </c>
      <c r="B33" t="s">
        <v>108</v>
      </c>
      <c r="C33" t="s">
        <v>1429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0.13789999999999999</v>
      </c>
      <c r="Q36" s="232">
        <f ca="1">Energia!N14</f>
        <v>0.13789999999999999</v>
      </c>
    </row>
    <row r="37" spans="1:17" s="12" customFormat="1" ht="15.75">
      <c r="A37" t="s">
        <v>696</v>
      </c>
      <c r="B37" t="s">
        <v>108</v>
      </c>
      <c r="C37" t="s">
        <v>1433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9818414.9758875091</v>
      </c>
      <c r="Q39" s="232">
        <f ca="1">Energia!D15</f>
        <v>9818414.9758875091</v>
      </c>
    </row>
    <row r="40" spans="1:17" ht="15.75">
      <c r="A40" t="s">
        <v>695</v>
      </c>
      <c r="B40" t="s">
        <v>108</v>
      </c>
      <c r="C40" t="s">
        <v>1436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163.72360537950539</v>
      </c>
      <c r="Q40" s="232">
        <f ca="1">Energia!D14</f>
        <v>163.72360537950539</v>
      </c>
    </row>
    <row r="41" spans="1:17" ht="15.75">
      <c r="A41" t="s">
        <v>695</v>
      </c>
      <c r="B41" t="s">
        <v>108</v>
      </c>
      <c r="C41" t="s">
        <v>1437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875.47703243856063</v>
      </c>
      <c r="Q41" s="232">
        <f>Energia!C20</f>
        <v>875.47703243856063</v>
      </c>
    </row>
    <row r="42" spans="1:17" ht="15.75">
      <c r="A42" t="s">
        <v>696</v>
      </c>
      <c r="B42" t="s">
        <v>108</v>
      </c>
      <c r="C42" t="s">
        <v>1438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59093.975467271419</v>
      </c>
      <c r="Q42" s="232">
        <f ca="1">Energia!C23</f>
        <v>59093.975467271419</v>
      </c>
    </row>
    <row r="43" spans="1:17" ht="15.75">
      <c r="A43" t="s">
        <v>696</v>
      </c>
      <c r="B43" t="s">
        <v>108</v>
      </c>
      <c r="C43" s="9" t="s">
        <v>1439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9818414.9758875091</v>
      </c>
      <c r="Q43" s="232">
        <f ca="1">Energia!F23</f>
        <v>9818414.9758875091</v>
      </c>
    </row>
    <row r="44" spans="1:17" s="12" customFormat="1" ht="15.75">
      <c r="A44" t="s">
        <v>696</v>
      </c>
      <c r="B44" t="s">
        <v>108</v>
      </c>
      <c r="C44" t="s">
        <v>1440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0.41699999999999998</v>
      </c>
      <c r="Q47" s="232">
        <f>Energia!F28</f>
        <v>0.41699999999999998</v>
      </c>
    </row>
    <row r="48" spans="1:17" s="12" customFormat="1" ht="15.75">
      <c r="A48" t="s">
        <v>696</v>
      </c>
      <c r="B48" t="s">
        <v>108</v>
      </c>
      <c r="C48" s="9" t="s">
        <v>1443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51699.664999999972</v>
      </c>
      <c r="Q52" s="232">
        <f ca="1">FornecimentoE</f>
        <v>51699.664999999972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1448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1449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9038.3070000000025</v>
      </c>
      <c r="Q62" s="232">
        <f ca="1">Calc_Mercado!C13</f>
        <v>9038.3070000000025</v>
      </c>
    </row>
    <row r="63" spans="1:17" s="12" customFormat="1" ht="15.75">
      <c r="A63" t="s">
        <v>696</v>
      </c>
      <c r="B63" t="s">
        <v>895</v>
      </c>
      <c r="C63" t="s">
        <v>1452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42661.357999999971</v>
      </c>
      <c r="Q64" s="232">
        <f ca="1">FornecimentoE_BT</f>
        <v>42661.357999999971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46817003.733180009</v>
      </c>
      <c r="Q65" s="232">
        <f ca="1">Calc_Mercado!D8</f>
        <v>46817003.733180009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1448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1449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5479494.0973199988</v>
      </c>
      <c r="Q75" s="232">
        <f ca="1">Calc_Mercado!D13</f>
        <v>5479494.0973199988</v>
      </c>
    </row>
    <row r="76" spans="1:17" ht="15.75">
      <c r="A76" t="s">
        <v>696</v>
      </c>
      <c r="B76" t="s">
        <v>895</v>
      </c>
      <c r="C76" t="s">
        <v>1452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41337509.635860011</v>
      </c>
      <c r="Q77" s="232">
        <f ca="1">Calc_Mercado!D15</f>
        <v>41337509.635860011</v>
      </c>
    </row>
    <row r="78" spans="1:17" ht="15.75">
      <c r="A78" t="s">
        <v>696</v>
      </c>
      <c r="B78" t="s">
        <v>895</v>
      </c>
      <c r="C78" t="s">
        <v>1454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51699.664999999972</v>
      </c>
      <c r="Q80" s="232">
        <f ca="1">LnkTXTEV</f>
        <v>51699.664999999972</v>
      </c>
    </row>
    <row r="81" spans="1:17" ht="15.75">
      <c r="A81" t="s">
        <v>696</v>
      </c>
      <c r="B81" t="s">
        <v>104</v>
      </c>
      <c r="C81" t="s">
        <v>1457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29224737.75</v>
      </c>
      <c r="Q81" s="232">
        <f>Resultado!D39</f>
        <v>29224737.75</v>
      </c>
    </row>
    <row r="82" spans="1:17" ht="15.75">
      <c r="A82" t="s">
        <v>696</v>
      </c>
      <c r="B82" t="s">
        <v>72</v>
      </c>
      <c r="C82" t="s">
        <v>1458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1459</v>
      </c>
      <c r="B83" t="s">
        <v>1460</v>
      </c>
      <c r="C83" t="s">
        <v>1461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1459</v>
      </c>
      <c r="B84" t="s">
        <v>1460</v>
      </c>
      <c r="C84" t="s">
        <v>1462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1459</v>
      </c>
      <c r="B85" t="s">
        <v>1460</v>
      </c>
      <c r="C85" t="s">
        <v>1463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1464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59969.45249970998</v>
      </c>
      <c r="Q87" s="232">
        <f ca="1">Energia!D5</f>
        <v>59969.45249970998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9818414.9758875091</v>
      </c>
      <c r="Q88" s="232">
        <f ca="1">Energia!D15</f>
        <v>9818414.9758875091</v>
      </c>
    </row>
    <row r="89" spans="1:17" ht="15.75">
      <c r="A89" s="16" t="s">
        <v>696</v>
      </c>
      <c r="B89" s="16" t="s">
        <v>1465</v>
      </c>
      <c r="C89" s="16" t="s">
        <v>1466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22355973.794247493</v>
      </c>
      <c r="Q89" s="232">
        <f ca="1">Resultado!D34</f>
        <v>22355973.794247493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29224737.75</v>
      </c>
      <c r="Q90" s="232">
        <f>Resultado!D39</f>
        <v>29224737.75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5286689.2617199849</v>
      </c>
      <c r="Q91" s="232">
        <f ca="1">Resultado!D14</f>
        <v>5286689.2617199849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7250869.556640001</v>
      </c>
      <c r="Q92" s="232">
        <f>Resultado!D24</f>
        <v>7250869.556640001</v>
      </c>
    </row>
    <row r="93" spans="1:17" ht="15.75">
      <c r="A93" s="16" t="s">
        <v>696</v>
      </c>
      <c r="B93" s="16" t="s">
        <v>1465</v>
      </c>
      <c r="C93" s="16" t="s">
        <v>1467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51580711.544247493</v>
      </c>
      <c r="Q93" s="232">
        <f ca="1">Resultado!C5</f>
        <v>51580711.544247493</v>
      </c>
    </row>
    <row r="94" spans="1:17" ht="15.75">
      <c r="A94" s="16" t="s">
        <v>696</v>
      </c>
      <c r="B94" s="16" t="s">
        <v>108</v>
      </c>
      <c r="C94" s="16" t="s">
        <v>1468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1469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10772016.038426597</v>
      </c>
      <c r="Q96" s="232">
        <f ca="1">Resultado!C33</f>
        <v>10772016.038426597</v>
      </c>
    </row>
    <row r="97" spans="1:17" ht="15.75">
      <c r="A97" s="16" t="s">
        <v>695</v>
      </c>
      <c r="B97" s="16" t="s">
        <v>1465</v>
      </c>
      <c r="C97" s="16" t="s">
        <v>1470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46817003.733180009</v>
      </c>
      <c r="Q97" s="232">
        <f ca="1">Mercado_RA0_Reais</f>
        <v>46817003.733180009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-19359473.911042958</v>
      </c>
      <c r="Q98" s="232">
        <f ca="1">Financeiros!D7</f>
        <v>-19359473.911042958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-0.41351373149329862</v>
      </c>
      <c r="Q99" s="232">
        <f ca="1">Financeiros!E7</f>
        <v>-0.41351373149329862</v>
      </c>
    </row>
    <row r="100" spans="1:17" ht="15.75">
      <c r="A100" s="16" t="s">
        <v>696</v>
      </c>
      <c r="B100" s="16" t="s">
        <v>1471</v>
      </c>
      <c r="C100" s="16" t="s">
        <v>1472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32221237.633204535</v>
      </c>
      <c r="Q100" s="232">
        <f ca="1">Resultado!C5+Financeiros!D7/(1+IF(Q86&gt;0,Q86,0))</f>
        <v>32221237.633204535</v>
      </c>
    </row>
    <row r="101" spans="1:17" ht="15.75">
      <c r="A101" t="s">
        <v>696</v>
      </c>
      <c r="B101" t="s">
        <v>72</v>
      </c>
      <c r="C101" t="s">
        <v>1458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59969.45249970998</v>
      </c>
      <c r="Q102" s="232">
        <f ca="1">Energia!D5</f>
        <v>59969.45249970998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9818414.9758875091</v>
      </c>
      <c r="Q103" s="232">
        <f ca="1">Energia!D15</f>
        <v>9818414.9758875091</v>
      </c>
    </row>
    <row r="104" spans="1:17" ht="15.75">
      <c r="A104" t="s">
        <v>696</v>
      </c>
      <c r="B104" t="s">
        <v>108</v>
      </c>
      <c r="C104" t="s">
        <v>1474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8269.7874997100062</v>
      </c>
      <c r="Q104" s="232">
        <f ca="1">SUM(LnkTXTPerdas)</f>
        <v>8269.7874997100062</v>
      </c>
    </row>
    <row r="105" spans="1:17" ht="15.75">
      <c r="A105" s="16" t="s">
        <v>696</v>
      </c>
      <c r="B105" s="16" t="s">
        <v>1471</v>
      </c>
      <c r="C105" s="16" t="s">
        <v>1475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31103</v>
      </c>
      <c r="Q105" s="232">
        <f ca="1">SUM(INDIRECT("dados_MercadoBase[D]"))</f>
        <v>31103</v>
      </c>
    </row>
    <row r="106" spans="1:17" ht="15.75">
      <c r="A106" t="s">
        <v>696</v>
      </c>
      <c r="B106" t="s">
        <v>1471</v>
      </c>
      <c r="C106" t="s">
        <v>1476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51699.664999999972</v>
      </c>
      <c r="Q106" s="232">
        <f ca="1">SUM(INDIRECT("dados_MercadoBase[TUSD_E]"))</f>
        <v>51699.664999999972</v>
      </c>
    </row>
    <row r="107" spans="1:17" ht="15.75">
      <c r="A107" s="16" t="s">
        <v>695</v>
      </c>
      <c r="B107" s="16" t="s">
        <v>717</v>
      </c>
      <c r="C107" s="16" t="s">
        <v>1477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1423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1424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1425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1478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1471</v>
      </c>
      <c r="C113" s="16" t="s">
        <v>1479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51699.664999999972</v>
      </c>
      <c r="Q113" s="232">
        <f ca="1">SUM(INDIRECT("dados_MercadoBase[TE_E]"))</f>
        <v>51699.664999999972</v>
      </c>
    </row>
    <row r="114" spans="1:19" ht="15.75">
      <c r="A114" t="s">
        <v>696</v>
      </c>
      <c r="B114" t="s">
        <v>1480</v>
      </c>
      <c r="C114" t="s">
        <v>1481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1480</v>
      </c>
      <c r="C115" s="16" t="s">
        <v>1482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1480</v>
      </c>
      <c r="C116" t="s">
        <v>1483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15102891.15</v>
      </c>
      <c r="Q116" s="232">
        <f>CAPA!D32</f>
        <v>15102891.15</v>
      </c>
      <c r="S116" s="9"/>
    </row>
    <row r="117" spans="1:19" ht="15.75">
      <c r="A117" s="16" t="s">
        <v>696</v>
      </c>
      <c r="B117" s="16" t="s">
        <v>1480</v>
      </c>
      <c r="C117" s="16" t="s">
        <v>1484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1480</v>
      </c>
      <c r="C118" t="s">
        <v>1485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14121846.6</v>
      </c>
      <c r="Q118" s="232">
        <f>CAPA!D33</f>
        <v>14121846.6</v>
      </c>
    </row>
    <row r="119" spans="1:19" ht="15.75">
      <c r="A119" s="16" t="s">
        <v>696</v>
      </c>
      <c r="B119" s="16" t="s">
        <v>1480</v>
      </c>
      <c r="C119" s="16" t="s">
        <v>1486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29224737.75</v>
      </c>
      <c r="Q119" s="232">
        <f>Resultado!D39</f>
        <v>29224737.75</v>
      </c>
    </row>
    <row r="120" spans="1:19" ht="15.75">
      <c r="A120" t="s">
        <v>696</v>
      </c>
      <c r="B120" t="s">
        <v>1480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1471</v>
      </c>
      <c r="B121" t="s">
        <v>1487</v>
      </c>
      <c r="C121" t="s">
        <v>1488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1471</v>
      </c>
      <c r="B122" t="s">
        <v>1487</v>
      </c>
      <c r="C122" t="s">
        <v>1489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1471</v>
      </c>
      <c r="B123" t="s">
        <v>1487</v>
      </c>
      <c r="C123" t="s">
        <v>1490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1471</v>
      </c>
      <c r="B124" t="s">
        <v>1487</v>
      </c>
      <c r="C124" t="s">
        <v>1491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45.43722347698813</v>
      </c>
      <c r="Q124" s="232">
        <f>'Tabelas e Gráficos'!BP314</f>
        <v>45.43722347698813</v>
      </c>
    </row>
    <row r="125" spans="1:19" ht="15.75">
      <c r="A125" t="s">
        <v>1471</v>
      </c>
      <c r="B125" t="s">
        <v>1487</v>
      </c>
      <c r="C125" t="s">
        <v>1492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-2617.2733263836321</v>
      </c>
      <c r="Q125" s="232">
        <f>'Tabelas e Gráficos'!BP315</f>
        <v>-2617.2733263836321</v>
      </c>
    </row>
    <row r="126" spans="1:19" ht="15.75">
      <c r="A126" t="s">
        <v>1471</v>
      </c>
      <c r="B126" t="s">
        <v>1487</v>
      </c>
      <c r="C126" t="s">
        <v>1493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0</v>
      </c>
      <c r="Q126" s="232">
        <f>'Tabelas e Gráficos'!BP316</f>
        <v>0</v>
      </c>
    </row>
    <row r="127" spans="1:19" ht="15.75">
      <c r="A127" t="s">
        <v>1471</v>
      </c>
      <c r="B127" t="s">
        <v>1487</v>
      </c>
      <c r="C127" t="s">
        <v>1494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1471</v>
      </c>
      <c r="B128" t="s">
        <v>1487</v>
      </c>
      <c r="C128" t="s">
        <v>1495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1471</v>
      </c>
      <c r="B129" t="s">
        <v>1487</v>
      </c>
      <c r="C129" t="s">
        <v>1496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1471</v>
      </c>
      <c r="B130" t="s">
        <v>1487</v>
      </c>
      <c r="C130" t="s">
        <v>1497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110.76370964222663</v>
      </c>
      <c r="Q130" s="232">
        <f>'Tabelas e Gráficos'!BQ314</f>
        <v>110.76370964222663</v>
      </c>
    </row>
    <row r="131" spans="1:17" ht="15.75">
      <c r="A131" t="s">
        <v>1471</v>
      </c>
      <c r="B131" t="s">
        <v>1487</v>
      </c>
      <c r="C131" t="s">
        <v>1498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66546.637120084357</v>
      </c>
      <c r="Q131" s="232">
        <f>'Tabelas e Gráficos'!BQ315</f>
        <v>66546.637120084357</v>
      </c>
    </row>
    <row r="132" spans="1:17" ht="15.75">
      <c r="A132" t="s">
        <v>1471</v>
      </c>
      <c r="B132" t="s">
        <v>1487</v>
      </c>
      <c r="C132" t="s">
        <v>1499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0</v>
      </c>
      <c r="Q132" s="232">
        <f>'Tabelas e Gráficos'!BQ316</f>
        <v>0</v>
      </c>
    </row>
    <row r="133" spans="1:17" ht="15.75">
      <c r="A133" t="s">
        <v>1471</v>
      </c>
      <c r="B133" t="s">
        <v>1487</v>
      </c>
      <c r="C133" t="s">
        <v>1500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1471</v>
      </c>
      <c r="B134" t="s">
        <v>1487</v>
      </c>
      <c r="C134" t="s">
        <v>1501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1471</v>
      </c>
      <c r="B135" t="s">
        <v>1487</v>
      </c>
      <c r="C135" t="s">
        <v>1502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1471</v>
      </c>
      <c r="B136" t="s">
        <v>1487</v>
      </c>
      <c r="C136" t="s">
        <v>1503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156.20093311921477</v>
      </c>
      <c r="Q136" s="232">
        <f>'Tabelas e Gráficos'!BR314</f>
        <v>156.20093311921477</v>
      </c>
    </row>
    <row r="137" spans="1:17" ht="15.75">
      <c r="A137" t="s">
        <v>1471</v>
      </c>
      <c r="B137" t="s">
        <v>1487</v>
      </c>
      <c r="C137" t="s">
        <v>1504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63929.363793700722</v>
      </c>
      <c r="Q137" s="232">
        <f>'Tabelas e Gráficos'!BR315</f>
        <v>63929.363793700722</v>
      </c>
    </row>
    <row r="138" spans="1:17" ht="15.75">
      <c r="A138" t="s">
        <v>1471</v>
      </c>
      <c r="B138" t="s">
        <v>1487</v>
      </c>
      <c r="C138" t="s">
        <v>1505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0</v>
      </c>
      <c r="Q138" s="232">
        <f>'Tabelas e Gráficos'!BR316</f>
        <v>0</v>
      </c>
    </row>
    <row r="139" spans="1:17" ht="15.75">
      <c r="A139" s="843" t="s">
        <v>696</v>
      </c>
      <c r="B139" s="843" t="s">
        <v>72</v>
      </c>
      <c r="C139" s="843" t="s">
        <v>1506</v>
      </c>
      <c r="D139" s="843">
        <v>2</v>
      </c>
      <c r="E139" s="843">
        <v>1</v>
      </c>
      <c r="F139" s="843">
        <v>51</v>
      </c>
      <c r="G139" s="843">
        <v>73</v>
      </c>
      <c r="H139" s="843">
        <v>999</v>
      </c>
      <c r="I139" s="843">
        <v>3</v>
      </c>
      <c r="J139" s="843">
        <v>15</v>
      </c>
      <c r="K139" s="843">
        <v>1</v>
      </c>
      <c r="L139" s="843">
        <v>99</v>
      </c>
      <c r="M139" s="843">
        <v>9</v>
      </c>
      <c r="N139" s="843">
        <v>3</v>
      </c>
      <c r="O139" s="843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3" t="s">
        <v>696</v>
      </c>
      <c r="B140" s="843" t="s">
        <v>108</v>
      </c>
      <c r="C140" s="843" t="str">
        <f>Energia!$B$21</f>
        <v>Angra</v>
      </c>
      <c r="D140" s="843">
        <v>1</v>
      </c>
      <c r="E140" s="843">
        <v>1</v>
      </c>
      <c r="F140" s="843">
        <v>8</v>
      </c>
      <c r="G140" s="843">
        <v>999999</v>
      </c>
      <c r="H140" s="843">
        <v>999</v>
      </c>
      <c r="I140" s="843">
        <v>2</v>
      </c>
      <c r="J140" s="843">
        <v>999</v>
      </c>
      <c r="K140" s="843">
        <v>9</v>
      </c>
      <c r="L140" s="843">
        <v>99</v>
      </c>
      <c r="M140" s="843">
        <v>9</v>
      </c>
      <c r="N140" s="843">
        <v>2</v>
      </c>
      <c r="O140" s="843">
        <v>99999</v>
      </c>
      <c r="P140" s="905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3" t="s">
        <v>696</v>
      </c>
      <c r="B141" s="843" t="s">
        <v>108</v>
      </c>
      <c r="C141" s="843" t="str">
        <f>Energia!B21</f>
        <v>Angra</v>
      </c>
      <c r="D141" s="843">
        <v>1</v>
      </c>
      <c r="E141" s="843">
        <v>1</v>
      </c>
      <c r="F141" s="843">
        <v>8</v>
      </c>
      <c r="G141" s="843">
        <v>999999</v>
      </c>
      <c r="H141" s="843">
        <v>999</v>
      </c>
      <c r="I141" s="843">
        <v>2</v>
      </c>
      <c r="J141" s="843">
        <v>999</v>
      </c>
      <c r="K141" s="843">
        <v>9</v>
      </c>
      <c r="L141" s="843">
        <v>99</v>
      </c>
      <c r="M141" s="843">
        <v>9</v>
      </c>
      <c r="N141" s="843">
        <v>3</v>
      </c>
      <c r="O141" s="843">
        <v>99999</v>
      </c>
      <c r="P141" s="905">
        <f t="shared" ca="1" si="5"/>
        <v>0</v>
      </c>
      <c r="Q141" s="232">
        <f ca="1">Energia!$F$21</f>
        <v>0</v>
      </c>
    </row>
    <row r="142" spans="1:17" ht="15.75">
      <c r="A142" s="843" t="s">
        <v>696</v>
      </c>
      <c r="B142" s="843" t="s">
        <v>108</v>
      </c>
      <c r="C142" s="843" t="str">
        <f>Energia!$B$22</f>
        <v>CCGF</v>
      </c>
      <c r="D142" s="843">
        <v>1</v>
      </c>
      <c r="E142" s="843">
        <v>1</v>
      </c>
      <c r="F142" s="843">
        <v>17</v>
      </c>
      <c r="G142" s="843">
        <v>999999</v>
      </c>
      <c r="H142" s="843">
        <v>999</v>
      </c>
      <c r="I142" s="843">
        <v>2</v>
      </c>
      <c r="J142" s="843">
        <v>999</v>
      </c>
      <c r="K142" s="843">
        <v>9</v>
      </c>
      <c r="L142" s="843">
        <v>99</v>
      </c>
      <c r="M142" s="843">
        <v>9</v>
      </c>
      <c r="N142" s="843">
        <v>2</v>
      </c>
      <c r="O142" s="843">
        <v>0</v>
      </c>
      <c r="P142" s="905">
        <f t="shared" ca="1" si="5"/>
        <v>0</v>
      </c>
      <c r="Q142" s="232">
        <f ca="1">Energia!$C$22</f>
        <v>0</v>
      </c>
    </row>
    <row r="143" spans="1:17" ht="15.75">
      <c r="A143" s="843" t="s">
        <v>696</v>
      </c>
      <c r="B143" s="843" t="s">
        <v>108</v>
      </c>
      <c r="C143" s="843" t="str">
        <f>Energia!$B$22</f>
        <v>CCGF</v>
      </c>
      <c r="D143" s="843">
        <v>1</v>
      </c>
      <c r="E143" s="843">
        <v>1</v>
      </c>
      <c r="F143" s="843">
        <v>17</v>
      </c>
      <c r="G143" s="843">
        <v>999999</v>
      </c>
      <c r="H143" s="843">
        <v>999</v>
      </c>
      <c r="I143" s="843">
        <v>2</v>
      </c>
      <c r="J143" s="843">
        <v>999</v>
      </c>
      <c r="K143" s="843">
        <v>9</v>
      </c>
      <c r="L143" s="843">
        <v>99</v>
      </c>
      <c r="M143" s="843">
        <v>9</v>
      </c>
      <c r="N143" s="843">
        <v>3</v>
      </c>
      <c r="O143" s="843">
        <v>0</v>
      </c>
      <c r="P143" s="905">
        <f t="shared" ca="1" si="5"/>
        <v>0</v>
      </c>
      <c r="Q143" s="232">
        <f ca="1">Energia!$F$22</f>
        <v>0</v>
      </c>
    </row>
    <row r="144" spans="1:17" ht="15.75">
      <c r="A144" s="843" t="s">
        <v>696</v>
      </c>
      <c r="B144" s="843" t="s">
        <v>72</v>
      </c>
      <c r="C144" s="843" t="s">
        <v>2053</v>
      </c>
      <c r="D144" s="843">
        <v>1</v>
      </c>
      <c r="E144" s="843">
        <v>1</v>
      </c>
      <c r="F144" s="843">
        <v>999</v>
      </c>
      <c r="G144" s="843">
        <v>999999</v>
      </c>
      <c r="H144" s="843">
        <v>999</v>
      </c>
      <c r="I144" s="843">
        <v>3</v>
      </c>
      <c r="J144" s="843">
        <v>35</v>
      </c>
      <c r="K144" s="843">
        <v>9</v>
      </c>
      <c r="L144" s="843">
        <v>99</v>
      </c>
      <c r="M144" s="843">
        <v>9</v>
      </c>
      <c r="N144" s="843">
        <v>3</v>
      </c>
      <c r="O144" s="843">
        <v>99999</v>
      </c>
      <c r="P144" s="905">
        <f>IF(ISNUMBER(Q144),Q144,0)</f>
        <v>0</v>
      </c>
      <c r="Q144" s="232">
        <f>Encargos!L17</f>
        <v>0</v>
      </c>
    </row>
    <row r="145" spans="1:17" ht="15.75">
      <c r="A145" s="843" t="s">
        <v>696</v>
      </c>
      <c r="B145" s="843" t="s">
        <v>72</v>
      </c>
      <c r="C145" s="843" t="s">
        <v>2055</v>
      </c>
      <c r="D145" s="843">
        <v>2</v>
      </c>
      <c r="E145" s="843">
        <v>1</v>
      </c>
      <c r="F145" s="843">
        <v>51</v>
      </c>
      <c r="G145" s="843">
        <v>999999</v>
      </c>
      <c r="H145" s="843">
        <v>999</v>
      </c>
      <c r="I145" s="843">
        <v>3</v>
      </c>
      <c r="J145" s="843">
        <v>28</v>
      </c>
      <c r="K145" s="843">
        <v>2</v>
      </c>
      <c r="L145" s="843">
        <v>99</v>
      </c>
      <c r="M145" s="843">
        <v>9</v>
      </c>
      <c r="N145" s="843">
        <v>3</v>
      </c>
      <c r="O145" s="843">
        <v>99999</v>
      </c>
      <c r="P145" s="905">
        <f>IF(ISNUMBER(Q145),Q145,0)</f>
        <v>0</v>
      </c>
      <c r="Q145" s="232">
        <f>Encargos!I21</f>
        <v>0</v>
      </c>
    </row>
    <row r="146" spans="1:17" ht="15.75">
      <c r="A146" s="843" t="s">
        <v>1459</v>
      </c>
      <c r="B146" s="843" t="s">
        <v>108</v>
      </c>
      <c r="C146" s="843" t="s">
        <v>2162</v>
      </c>
      <c r="D146" s="843">
        <v>3</v>
      </c>
      <c r="E146" s="843">
        <v>1</v>
      </c>
      <c r="F146" s="843">
        <v>37</v>
      </c>
      <c r="G146" s="843">
        <v>999999</v>
      </c>
      <c r="H146" s="843">
        <v>999</v>
      </c>
      <c r="I146" s="843">
        <v>99</v>
      </c>
      <c r="J146" s="843">
        <v>999</v>
      </c>
      <c r="K146" s="843">
        <v>9</v>
      </c>
      <c r="L146" s="843">
        <v>99</v>
      </c>
      <c r="M146" s="843">
        <v>9</v>
      </c>
      <c r="N146" s="843">
        <v>8</v>
      </c>
      <c r="O146" s="843">
        <v>99999</v>
      </c>
      <c r="P146" s="905">
        <f ca="1">IF(ISNUMBER(Q146),Q146,0)</f>
        <v>0.16150271834484181</v>
      </c>
      <c r="Q146" s="232">
        <f ca="1">Energia!L35</f>
        <v>0.16150271834484181</v>
      </c>
    </row>
    <row r="147" spans="1:17" ht="15.75">
      <c r="A147" s="843" t="s">
        <v>696</v>
      </c>
      <c r="B147" s="843" t="s">
        <v>1290</v>
      </c>
      <c r="C147" s="843" t="str">
        <f>Financeiros!C9</f>
        <v>Repasse de PIS COFINS CUSD</v>
      </c>
      <c r="D147" s="843">
        <v>2</v>
      </c>
      <c r="E147" s="843">
        <v>2</v>
      </c>
      <c r="F147" s="843">
        <f>Financeiros!H9</f>
        <v>22</v>
      </c>
      <c r="G147" s="843">
        <f>Financeiros!I9</f>
        <v>60</v>
      </c>
      <c r="H147" s="843">
        <f>Financeiros!J9</f>
        <v>999</v>
      </c>
      <c r="I147" s="843">
        <f>Financeiros!K9</f>
        <v>1</v>
      </c>
      <c r="J147" s="843">
        <f>Financeiros!L9</f>
        <v>7</v>
      </c>
      <c r="K147" s="843">
        <f>Financeiros!M9</f>
        <v>9</v>
      </c>
      <c r="L147" s="843">
        <v>99</v>
      </c>
      <c r="M147" s="843">
        <v>9</v>
      </c>
      <c r="N147" s="843">
        <v>3</v>
      </c>
      <c r="O147" s="843">
        <v>99999</v>
      </c>
      <c r="P147" s="905">
        <f t="shared" si="5"/>
        <v>241337.5911946921</v>
      </c>
      <c r="Q147" s="232">
        <f>Financeiros!D9</f>
        <v>241337.5911946921</v>
      </c>
    </row>
    <row r="148" spans="1:17" ht="15.75">
      <c r="A148" s="843" t="s">
        <v>696</v>
      </c>
      <c r="B148" s="843" t="s">
        <v>1290</v>
      </c>
      <c r="C148" s="843" t="str">
        <f>Financeiros!C10</f>
        <v>Repasse de PIS COFINS TE - Energia - Energia de Revenda</v>
      </c>
      <c r="D148" s="843">
        <v>2</v>
      </c>
      <c r="E148" s="843">
        <v>2</v>
      </c>
      <c r="F148" s="843">
        <f>Financeiros!H10</f>
        <v>22</v>
      </c>
      <c r="G148" s="843">
        <f>Financeiros!I10</f>
        <v>60</v>
      </c>
      <c r="H148" s="843">
        <f>Financeiros!J10</f>
        <v>999</v>
      </c>
      <c r="I148" s="843">
        <f>Financeiros!K10</f>
        <v>2</v>
      </c>
      <c r="J148" s="843">
        <f>Financeiros!L10</f>
        <v>11</v>
      </c>
      <c r="K148" s="843">
        <f>Financeiros!M10</f>
        <v>9</v>
      </c>
      <c r="L148" s="843">
        <v>99</v>
      </c>
      <c r="M148" s="843">
        <v>9</v>
      </c>
      <c r="N148" s="843">
        <v>3</v>
      </c>
      <c r="O148" s="843">
        <v>99999</v>
      </c>
      <c r="P148" s="905">
        <f t="shared" ref="P148:P211" ca="1" si="6">IF(ISNUMBER(Q148),Q148,0)</f>
        <v>319108.75919685891</v>
      </c>
      <c r="Q148" s="232">
        <f ca="1">Financeiros!D10</f>
        <v>319108.75919685891</v>
      </c>
    </row>
    <row r="149" spans="1:17" ht="15.75">
      <c r="A149" s="843" t="s">
        <v>696</v>
      </c>
      <c r="B149" s="843" t="s">
        <v>1290</v>
      </c>
      <c r="C149" s="843" t="str">
        <f>Financeiros!C11</f>
        <v>Repasse de PIS COFINS TE - Energia - Perda Não Técnica</v>
      </c>
      <c r="D149" s="843">
        <v>2</v>
      </c>
      <c r="E149" s="843">
        <v>2</v>
      </c>
      <c r="F149" s="843">
        <f>Financeiros!H11</f>
        <v>22</v>
      </c>
      <c r="G149" s="843">
        <f>Financeiros!I11</f>
        <v>60</v>
      </c>
      <c r="H149" s="843">
        <f>Financeiros!J11</f>
        <v>999</v>
      </c>
      <c r="I149" s="843">
        <f>Financeiros!K11</f>
        <v>2</v>
      </c>
      <c r="J149" s="843">
        <f>Financeiros!L11</f>
        <v>9</v>
      </c>
      <c r="K149" s="843">
        <f>Financeiros!M11</f>
        <v>9</v>
      </c>
      <c r="L149" s="843">
        <v>99</v>
      </c>
      <c r="M149" s="843">
        <v>9</v>
      </c>
      <c r="N149" s="843">
        <v>3</v>
      </c>
      <c r="O149" s="843">
        <v>99999</v>
      </c>
      <c r="P149" s="905">
        <f t="shared" ca="1" si="6"/>
        <v>0</v>
      </c>
      <c r="Q149" s="232">
        <f ca="1">Financeiros!D11</f>
        <v>0</v>
      </c>
    </row>
    <row r="150" spans="1:17" ht="15.75">
      <c r="A150" s="843" t="s">
        <v>696</v>
      </c>
      <c r="B150" s="843" t="s">
        <v>1290</v>
      </c>
      <c r="C150" s="843" t="str">
        <f>Financeiros!C12</f>
        <v>Repasse de PIS COFINS TE - Energia - Perda Técnica</v>
      </c>
      <c r="D150" s="843">
        <v>2</v>
      </c>
      <c r="E150" s="843">
        <v>2</v>
      </c>
      <c r="F150" s="843">
        <f>Financeiros!H12</f>
        <v>22</v>
      </c>
      <c r="G150" s="843">
        <f>Financeiros!I12</f>
        <v>60</v>
      </c>
      <c r="H150" s="843">
        <f>Financeiros!J12</f>
        <v>999</v>
      </c>
      <c r="I150" s="843">
        <f>Financeiros!K12</f>
        <v>2</v>
      </c>
      <c r="J150" s="843">
        <f>Financeiros!L12</f>
        <v>8</v>
      </c>
      <c r="K150" s="843">
        <f>Financeiros!M12</f>
        <v>9</v>
      </c>
      <c r="L150" s="843">
        <v>99</v>
      </c>
      <c r="M150" s="843">
        <v>9</v>
      </c>
      <c r="N150" s="843">
        <v>3</v>
      </c>
      <c r="O150" s="843">
        <v>99999</v>
      </c>
      <c r="P150" s="905">
        <f t="shared" ca="1" si="6"/>
        <v>51044.07596943144</v>
      </c>
      <c r="Q150" s="232">
        <f ca="1">Financeiros!D12</f>
        <v>51044.07596943144</v>
      </c>
    </row>
    <row r="151" spans="1:17" ht="15.75">
      <c r="A151" s="843" t="s">
        <v>696</v>
      </c>
      <c r="B151" s="843" t="s">
        <v>1290</v>
      </c>
      <c r="C151" s="843" t="str">
        <f>Financeiros!C13</f>
        <v>Repasse de PIS COFINS TE - Energia - Perda Rede Básica sobre Dist.</v>
      </c>
      <c r="D151" s="843">
        <v>2</v>
      </c>
      <c r="E151" s="843">
        <v>2</v>
      </c>
      <c r="F151" s="843">
        <f>Financeiros!H13</f>
        <v>22</v>
      </c>
      <c r="G151" s="843">
        <f>Financeiros!I13</f>
        <v>60</v>
      </c>
      <c r="H151" s="843">
        <f>Financeiros!J13</f>
        <v>999</v>
      </c>
      <c r="I151" s="843">
        <f>Financeiros!K13</f>
        <v>2</v>
      </c>
      <c r="J151" s="843">
        <f>Financeiros!L13</f>
        <v>10</v>
      </c>
      <c r="K151" s="843">
        <f>Financeiros!M13</f>
        <v>9</v>
      </c>
      <c r="L151" s="843">
        <v>99</v>
      </c>
      <c r="M151" s="843">
        <v>9</v>
      </c>
      <c r="N151" s="843">
        <v>3</v>
      </c>
      <c r="O151" s="843">
        <v>99999</v>
      </c>
      <c r="P151" s="905">
        <f t="shared" ca="1" si="6"/>
        <v>0</v>
      </c>
      <c r="Q151" s="232">
        <f ca="1">Financeiros!D13</f>
        <v>0</v>
      </c>
    </row>
    <row r="152" spans="1:17" ht="15.75">
      <c r="A152" s="843" t="s">
        <v>696</v>
      </c>
      <c r="B152" s="843" t="s">
        <v>1290</v>
      </c>
      <c r="C152" s="843" t="str">
        <f>Financeiros!C14</f>
        <v>Repasse de PIS COFINS TE - Energia - Perda Rede Básica sobre mercado Cat.</v>
      </c>
      <c r="D152" s="843">
        <v>2</v>
      </c>
      <c r="E152" s="843">
        <v>2</v>
      </c>
      <c r="F152" s="843">
        <f>Financeiros!H14</f>
        <v>22</v>
      </c>
      <c r="G152" s="843">
        <f>Financeiros!I14</f>
        <v>60</v>
      </c>
      <c r="H152" s="843">
        <f>Financeiros!J14</f>
        <v>999</v>
      </c>
      <c r="I152" s="843">
        <f>Financeiros!K14</f>
        <v>2</v>
      </c>
      <c r="J152" s="843">
        <f>Financeiros!L14</f>
        <v>24</v>
      </c>
      <c r="K152" s="843">
        <f>Financeiros!M14</f>
        <v>9</v>
      </c>
      <c r="L152" s="843">
        <v>99</v>
      </c>
      <c r="M152" s="843">
        <v>9</v>
      </c>
      <c r="N152" s="843">
        <v>3</v>
      </c>
      <c r="O152" s="843">
        <v>99999</v>
      </c>
      <c r="P152" s="905">
        <f t="shared" ca="1" si="6"/>
        <v>0</v>
      </c>
      <c r="Q152" s="232">
        <f ca="1">Financeiros!D14</f>
        <v>0</v>
      </c>
    </row>
    <row r="153" spans="1:17" ht="15.75">
      <c r="A153" s="843" t="s">
        <v>696</v>
      </c>
      <c r="B153" s="843" t="s">
        <v>1290</v>
      </c>
      <c r="C153" s="843" t="str">
        <f>Financeiros!C15</f>
        <v>(Neutralidade) TFSEE</v>
      </c>
      <c r="D153" s="843">
        <v>2</v>
      </c>
      <c r="E153" s="843">
        <v>2</v>
      </c>
      <c r="F153" s="843">
        <f>Financeiros!H15</f>
        <v>20</v>
      </c>
      <c r="G153" s="843">
        <f>Financeiros!I15</f>
        <v>60</v>
      </c>
      <c r="H153" s="843">
        <f>Financeiros!J15</f>
        <v>999</v>
      </c>
      <c r="I153" s="843">
        <f>Financeiros!K15</f>
        <v>3</v>
      </c>
      <c r="J153" s="843">
        <f>Financeiros!L15</f>
        <v>14</v>
      </c>
      <c r="K153" s="843">
        <f>Financeiros!M15</f>
        <v>9</v>
      </c>
      <c r="L153" s="843">
        <v>99</v>
      </c>
      <c r="M153" s="843">
        <v>9</v>
      </c>
      <c r="N153" s="843">
        <v>3</v>
      </c>
      <c r="O153" s="843">
        <v>99999</v>
      </c>
      <c r="P153" s="905">
        <f t="shared" ca="1" si="6"/>
        <v>-1345.2444493490764</v>
      </c>
      <c r="Q153" s="232">
        <f ca="1">Financeiros!D15</f>
        <v>-1345.2444493490764</v>
      </c>
    </row>
    <row r="154" spans="1:17" ht="15.75">
      <c r="A154" s="843" t="s">
        <v>696</v>
      </c>
      <c r="B154" s="843" t="s">
        <v>1290</v>
      </c>
      <c r="C154" s="843" t="str">
        <f>Financeiros!C16</f>
        <v>(Neutralidade) CDE</v>
      </c>
      <c r="D154" s="843">
        <v>2</v>
      </c>
      <c r="E154" s="843">
        <v>2</v>
      </c>
      <c r="F154" s="843">
        <f>Financeiros!H16</f>
        <v>20</v>
      </c>
      <c r="G154" s="843">
        <f>Financeiros!I16</f>
        <v>60</v>
      </c>
      <c r="H154" s="843">
        <f>Financeiros!J16</f>
        <v>999</v>
      </c>
      <c r="I154" s="843">
        <f>Financeiros!K16</f>
        <v>3</v>
      </c>
      <c r="J154" s="843">
        <f>Financeiros!L16</f>
        <v>15</v>
      </c>
      <c r="K154" s="843">
        <f>Financeiros!M16</f>
        <v>9</v>
      </c>
      <c r="L154" s="843">
        <v>99</v>
      </c>
      <c r="M154" s="843">
        <v>9</v>
      </c>
      <c r="N154" s="843">
        <v>3</v>
      </c>
      <c r="O154" s="843">
        <v>99999</v>
      </c>
      <c r="P154" s="905">
        <f t="shared" ca="1" si="6"/>
        <v>-38909.608864024849</v>
      </c>
      <c r="Q154" s="232">
        <f ca="1">Financeiros!D16</f>
        <v>-38909.608864024849</v>
      </c>
    </row>
    <row r="155" spans="1:17" ht="15.75">
      <c r="A155" s="843" t="s">
        <v>696</v>
      </c>
      <c r="B155" s="843" t="s">
        <v>1290</v>
      </c>
      <c r="C155" s="843" t="str">
        <f>Financeiros!C17</f>
        <v>(Neutralidade) CFURH</v>
      </c>
      <c r="D155" s="843">
        <v>2</v>
      </c>
      <c r="E155" s="843">
        <v>2</v>
      </c>
      <c r="F155" s="843">
        <f>Financeiros!H17</f>
        <v>20</v>
      </c>
      <c r="G155" s="843">
        <f>Financeiros!I17</f>
        <v>60</v>
      </c>
      <c r="H155" s="843">
        <f>Financeiros!J17</f>
        <v>999</v>
      </c>
      <c r="I155" s="843">
        <f>Financeiros!K17</f>
        <v>3</v>
      </c>
      <c r="J155" s="843">
        <f>Financeiros!L17</f>
        <v>16</v>
      </c>
      <c r="K155" s="843">
        <f>Financeiros!M17</f>
        <v>9</v>
      </c>
      <c r="L155" s="843">
        <v>99</v>
      </c>
      <c r="M155" s="843">
        <v>9</v>
      </c>
      <c r="N155" s="843">
        <v>3</v>
      </c>
      <c r="O155" s="843">
        <v>99999</v>
      </c>
      <c r="P155" s="905">
        <f t="shared" si="6"/>
        <v>0</v>
      </c>
      <c r="Q155" s="232">
        <f>Financeiros!D17</f>
        <v>0</v>
      </c>
    </row>
    <row r="156" spans="1:17" ht="15.75">
      <c r="A156" s="843" t="s">
        <v>696</v>
      </c>
      <c r="B156" s="843" t="s">
        <v>1290</v>
      </c>
      <c r="C156" s="843" t="str">
        <f>Financeiros!C18</f>
        <v>(Neutralidade) ESS/ERR</v>
      </c>
      <c r="D156" s="843">
        <v>2</v>
      </c>
      <c r="E156" s="843">
        <v>2</v>
      </c>
      <c r="F156" s="843">
        <f>Financeiros!H18</f>
        <v>20</v>
      </c>
      <c r="G156" s="843">
        <f>Financeiros!I18</f>
        <v>60</v>
      </c>
      <c r="H156" s="843">
        <f>Financeiros!J18</f>
        <v>999</v>
      </c>
      <c r="I156" s="843">
        <f>Financeiros!K18</f>
        <v>3</v>
      </c>
      <c r="J156" s="843">
        <f>Financeiros!L18</f>
        <v>17</v>
      </c>
      <c r="K156" s="843">
        <f>Financeiros!M18</f>
        <v>9</v>
      </c>
      <c r="L156" s="843">
        <v>99</v>
      </c>
      <c r="M156" s="843">
        <v>9</v>
      </c>
      <c r="N156" s="843">
        <v>3</v>
      </c>
      <c r="O156" s="843">
        <v>99999</v>
      </c>
      <c r="P156" s="905">
        <f t="shared" ca="1" si="6"/>
        <v>0</v>
      </c>
      <c r="Q156" s="232">
        <f ca="1">Financeiros!D18</f>
        <v>0</v>
      </c>
    </row>
    <row r="157" spans="1:17" ht="15.75">
      <c r="A157" s="843" t="s">
        <v>696</v>
      </c>
      <c r="B157" s="843" t="s">
        <v>1290</v>
      </c>
      <c r="C157" s="843" t="str">
        <f>Financeiros!C19</f>
        <v>(Neutralidade) PROINFA</v>
      </c>
      <c r="D157" s="843">
        <v>2</v>
      </c>
      <c r="E157" s="843">
        <v>2</v>
      </c>
      <c r="F157" s="843">
        <f>Financeiros!H19</f>
        <v>20</v>
      </c>
      <c r="G157" s="843">
        <f>Financeiros!I19</f>
        <v>60</v>
      </c>
      <c r="H157" s="843">
        <f>Financeiros!J19</f>
        <v>999</v>
      </c>
      <c r="I157" s="843">
        <f>Financeiros!K19</f>
        <v>3</v>
      </c>
      <c r="J157" s="843">
        <f>Financeiros!L19</f>
        <v>18</v>
      </c>
      <c r="K157" s="843">
        <f>Financeiros!M19</f>
        <v>9</v>
      </c>
      <c r="L157" s="843">
        <v>99</v>
      </c>
      <c r="M157" s="843">
        <v>9</v>
      </c>
      <c r="N157" s="843">
        <v>3</v>
      </c>
      <c r="O157" s="843">
        <v>99999</v>
      </c>
      <c r="P157" s="905">
        <f t="shared" ca="1" si="6"/>
        <v>-6436.7217552921993</v>
      </c>
      <c r="Q157" s="232">
        <f ca="1">Financeiros!D19</f>
        <v>-6436.7217552921993</v>
      </c>
    </row>
    <row r="158" spans="1:17" ht="15.75">
      <c r="A158" s="843" t="s">
        <v>696</v>
      </c>
      <c r="B158" s="843" t="s">
        <v>1290</v>
      </c>
      <c r="C158" s="843" t="str">
        <f>Financeiros!C20</f>
        <v>(Neutralidade) CDE COVID</v>
      </c>
      <c r="D158" s="843">
        <v>2</v>
      </c>
      <c r="E158" s="843">
        <v>2</v>
      </c>
      <c r="F158" s="843">
        <f>Financeiros!H20</f>
        <v>20</v>
      </c>
      <c r="G158" s="843">
        <f>Financeiros!I20</f>
        <v>60</v>
      </c>
      <c r="H158" s="843">
        <f>Financeiros!J20</f>
        <v>999</v>
      </c>
      <c r="I158" s="843">
        <f>Financeiros!K20</f>
        <v>3</v>
      </c>
      <c r="J158" s="843">
        <f>Financeiros!L20</f>
        <v>12</v>
      </c>
      <c r="K158" s="843">
        <f>Financeiros!M20</f>
        <v>9</v>
      </c>
      <c r="L158" s="843">
        <v>99</v>
      </c>
      <c r="M158" s="843">
        <v>9</v>
      </c>
      <c r="N158" s="843">
        <v>3</v>
      </c>
      <c r="O158" s="843">
        <v>99999</v>
      </c>
      <c r="P158" s="905">
        <f t="shared" ca="1" si="6"/>
        <v>0</v>
      </c>
      <c r="Q158" s="232">
        <f ca="1">Financeiros!D20</f>
        <v>0</v>
      </c>
    </row>
    <row r="159" spans="1:17" ht="15.75">
      <c r="A159" s="843" t="s">
        <v>696</v>
      </c>
      <c r="B159" s="843" t="s">
        <v>1290</v>
      </c>
      <c r="C159" s="843" t="str">
        <f>Financeiros!C21</f>
        <v>(Neutralidade) P&amp;D</v>
      </c>
      <c r="D159" s="843">
        <v>2</v>
      </c>
      <c r="E159" s="843">
        <v>2</v>
      </c>
      <c r="F159" s="843">
        <f>Financeiros!H21</f>
        <v>20</v>
      </c>
      <c r="G159" s="843">
        <f>Financeiros!I21</f>
        <v>60</v>
      </c>
      <c r="H159" s="843">
        <f>Financeiros!J21</f>
        <v>999</v>
      </c>
      <c r="I159" s="843">
        <f>Financeiros!K21</f>
        <v>3</v>
      </c>
      <c r="J159" s="843">
        <f>Financeiros!L21</f>
        <v>19</v>
      </c>
      <c r="K159" s="843">
        <f>Financeiros!M21</f>
        <v>9</v>
      </c>
      <c r="L159" s="843">
        <v>99</v>
      </c>
      <c r="M159" s="843">
        <v>9</v>
      </c>
      <c r="N159" s="843">
        <v>3</v>
      </c>
      <c r="O159" s="843">
        <v>99999</v>
      </c>
      <c r="P159" s="905">
        <f t="shared" ca="1" si="6"/>
        <v>0</v>
      </c>
      <c r="Q159" s="232">
        <f ca="1">Financeiros!D21</f>
        <v>0</v>
      </c>
    </row>
    <row r="160" spans="1:17" ht="15.75">
      <c r="A160" s="843" t="s">
        <v>696</v>
      </c>
      <c r="B160" s="843" t="s">
        <v>1290</v>
      </c>
      <c r="C160" s="843" t="str">
        <f>Financeiros!C22</f>
        <v>(Neutralidade)Financeiro Covid</v>
      </c>
      <c r="D160" s="843">
        <v>2</v>
      </c>
      <c r="E160" s="843">
        <v>2</v>
      </c>
      <c r="F160" s="843">
        <f>Financeiros!H22</f>
        <v>20</v>
      </c>
      <c r="G160" s="843">
        <f>Financeiros!I22</f>
        <v>60</v>
      </c>
      <c r="H160" s="843">
        <f>Financeiros!J22</f>
        <v>999</v>
      </c>
      <c r="I160" s="843">
        <f>Financeiros!K22</f>
        <v>4</v>
      </c>
      <c r="J160" s="843">
        <f>Financeiros!L22</f>
        <v>999</v>
      </c>
      <c r="K160" s="843">
        <f>Financeiros!M22</f>
        <v>9</v>
      </c>
      <c r="L160" s="843">
        <v>99</v>
      </c>
      <c r="M160" s="843">
        <v>9</v>
      </c>
      <c r="N160" s="843">
        <v>3</v>
      </c>
      <c r="O160" s="843">
        <v>99999</v>
      </c>
      <c r="P160" s="905">
        <f t="shared" ca="1" si="6"/>
        <v>0</v>
      </c>
      <c r="Q160" s="232">
        <f ca="1">Financeiros!D22</f>
        <v>0</v>
      </c>
    </row>
    <row r="161" spans="1:17" ht="15.75">
      <c r="A161" s="843" t="s">
        <v>696</v>
      </c>
      <c r="B161" s="843" t="s">
        <v>1290</v>
      </c>
      <c r="C161" s="843" t="str">
        <f>Financeiros!C23</f>
        <v>(Neutralidade)Crédito Pis Cofins</v>
      </c>
      <c r="D161" s="843">
        <v>2</v>
      </c>
      <c r="E161" s="843">
        <v>2</v>
      </c>
      <c r="F161" s="843">
        <f>Financeiros!H23</f>
        <v>20</v>
      </c>
      <c r="G161" s="843">
        <f>Financeiros!I23</f>
        <v>60</v>
      </c>
      <c r="H161" s="843">
        <f>Financeiros!J23</f>
        <v>179</v>
      </c>
      <c r="I161" s="843">
        <f>Financeiros!K23</f>
        <v>99</v>
      </c>
      <c r="J161" s="843">
        <f>Financeiros!L23</f>
        <v>999</v>
      </c>
      <c r="K161" s="843">
        <f>Financeiros!M23</f>
        <v>3</v>
      </c>
      <c r="L161" s="843">
        <v>99</v>
      </c>
      <c r="M161" s="843">
        <v>9</v>
      </c>
      <c r="N161" s="843">
        <v>3</v>
      </c>
      <c r="O161" s="843">
        <v>99999</v>
      </c>
      <c r="P161" s="905">
        <f t="shared" ca="1" si="6"/>
        <v>0</v>
      </c>
      <c r="Q161" s="232">
        <f ca="1">Financeiros!D23</f>
        <v>0</v>
      </c>
    </row>
    <row r="162" spans="1:17" ht="15.75">
      <c r="A162" s="843" t="s">
        <v>696</v>
      </c>
      <c r="B162" s="843" t="s">
        <v>1290</v>
      </c>
      <c r="C162" s="843" t="str">
        <f>Financeiros!C24</f>
        <v>Ajuste CUST RB + PIS Cofins RB</v>
      </c>
      <c r="D162" s="843">
        <v>2</v>
      </c>
      <c r="E162" s="843">
        <v>2</v>
      </c>
      <c r="F162" s="843">
        <f>Financeiros!H24</f>
        <v>22</v>
      </c>
      <c r="G162" s="843">
        <f>Financeiros!I24</f>
        <v>60</v>
      </c>
      <c r="H162" s="843">
        <f>Financeiros!J24</f>
        <v>999</v>
      </c>
      <c r="I162" s="843">
        <f>Financeiros!K24</f>
        <v>1</v>
      </c>
      <c r="J162" s="843">
        <f>Financeiros!L24</f>
        <v>1</v>
      </c>
      <c r="K162" s="843">
        <f>Financeiros!M24</f>
        <v>9</v>
      </c>
      <c r="L162" s="843">
        <v>99</v>
      </c>
      <c r="M162" s="843">
        <v>9</v>
      </c>
      <c r="N162" s="843">
        <v>3</v>
      </c>
      <c r="O162" s="843">
        <v>99999</v>
      </c>
      <c r="P162" s="905">
        <f t="shared" si="6"/>
        <v>0</v>
      </c>
      <c r="Q162" s="232">
        <f>Financeiros!D24</f>
        <v>0</v>
      </c>
    </row>
    <row r="163" spans="1:17" ht="15.75">
      <c r="A163" s="843" t="s">
        <v>696</v>
      </c>
      <c r="B163" s="843" t="s">
        <v>1290</v>
      </c>
      <c r="C163" s="843" t="str">
        <f>Financeiros!C25</f>
        <v>Ajuste CUST RB Fronteira + PIS Cofins RB Fronteira</v>
      </c>
      <c r="D163" s="843">
        <v>2</v>
      </c>
      <c r="E163" s="843">
        <v>2</v>
      </c>
      <c r="F163" s="843">
        <f>Financeiros!H25</f>
        <v>22</v>
      </c>
      <c r="G163" s="843">
        <f>Financeiros!I25</f>
        <v>60</v>
      </c>
      <c r="H163" s="843">
        <f>Financeiros!J25</f>
        <v>999</v>
      </c>
      <c r="I163" s="843">
        <f>Financeiros!K25</f>
        <v>1</v>
      </c>
      <c r="J163" s="843">
        <f>Financeiros!L25</f>
        <v>2</v>
      </c>
      <c r="K163" s="843">
        <f>Financeiros!M25</f>
        <v>9</v>
      </c>
      <c r="L163" s="843">
        <v>99</v>
      </c>
      <c r="M163" s="843">
        <v>9</v>
      </c>
      <c r="N163" s="843">
        <v>3</v>
      </c>
      <c r="O163" s="843">
        <v>99999</v>
      </c>
      <c r="P163" s="905">
        <f t="shared" si="6"/>
        <v>0</v>
      </c>
      <c r="Q163" s="232">
        <f>Financeiros!D25</f>
        <v>0</v>
      </c>
    </row>
    <row r="164" spans="1:17" ht="15.75">
      <c r="A164" s="843" t="s">
        <v>696</v>
      </c>
      <c r="B164" s="843" t="s">
        <v>1290</v>
      </c>
      <c r="C164" s="843" t="str">
        <f>Financeiros!C26</f>
        <v>Manual de Contabilidade do Setor Elétrico</v>
      </c>
      <c r="D164" s="843">
        <v>2</v>
      </c>
      <c r="E164" s="843">
        <v>2</v>
      </c>
      <c r="F164" s="843">
        <f>Financeiros!H26</f>
        <v>22</v>
      </c>
      <c r="G164" s="843">
        <f>Financeiros!I26</f>
        <v>60</v>
      </c>
      <c r="H164" s="843">
        <f>Financeiros!J26</f>
        <v>167</v>
      </c>
      <c r="I164" s="843">
        <f>Financeiros!K26</f>
        <v>4</v>
      </c>
      <c r="J164" s="843">
        <f>Financeiros!L26</f>
        <v>999</v>
      </c>
      <c r="K164" s="843">
        <f>Financeiros!M26</f>
        <v>9</v>
      </c>
      <c r="L164" s="843">
        <v>99</v>
      </c>
      <c r="M164" s="843">
        <v>9</v>
      </c>
      <c r="N164" s="843">
        <v>3</v>
      </c>
      <c r="O164" s="843">
        <v>99999</v>
      </c>
      <c r="P164" s="905">
        <f t="shared" si="6"/>
        <v>0</v>
      </c>
      <c r="Q164" s="232">
        <f>Financeiros!D26</f>
        <v>0</v>
      </c>
    </row>
    <row r="165" spans="1:17" ht="15.75">
      <c r="A165" s="843" t="s">
        <v>696</v>
      </c>
      <c r="B165" s="843" t="s">
        <v>1290</v>
      </c>
      <c r="C165" s="843" t="str">
        <f>Financeiros!C27</f>
        <v>Financeiro CDE Eletrobras</v>
      </c>
      <c r="D165" s="843">
        <v>2</v>
      </c>
      <c r="E165" s="843">
        <v>2</v>
      </c>
      <c r="F165" s="843">
        <f>Financeiros!H27</f>
        <v>22</v>
      </c>
      <c r="G165" s="843">
        <f>Financeiros!I27</f>
        <v>60</v>
      </c>
      <c r="H165" s="843">
        <f>Financeiros!J27</f>
        <v>999</v>
      </c>
      <c r="I165" s="843">
        <f>Financeiros!K27</f>
        <v>3</v>
      </c>
      <c r="J165" s="843">
        <f>Financeiros!L27</f>
        <v>28</v>
      </c>
      <c r="K165" s="843">
        <f>Financeiros!M27</f>
        <v>9</v>
      </c>
      <c r="L165" s="843">
        <v>99</v>
      </c>
      <c r="M165" s="843">
        <v>9</v>
      </c>
      <c r="N165" s="843">
        <v>3</v>
      </c>
      <c r="O165" s="843">
        <v>99999</v>
      </c>
      <c r="P165" s="905">
        <f t="shared" si="6"/>
        <v>0</v>
      </c>
      <c r="Q165" s="232">
        <f>Financeiros!D27</f>
        <v>0</v>
      </c>
    </row>
    <row r="166" spans="1:17" ht="15.75">
      <c r="A166" s="843" t="s">
        <v>696</v>
      </c>
      <c r="B166" s="843" t="s">
        <v>1290</v>
      </c>
      <c r="C166" s="843" t="str">
        <f>Financeiros!C28</f>
        <v>Ajustes Processos anteriores</v>
      </c>
      <c r="D166" s="843">
        <v>2</v>
      </c>
      <c r="E166" s="843">
        <v>2</v>
      </c>
      <c r="F166" s="843">
        <f>Financeiros!H28</f>
        <v>22</v>
      </c>
      <c r="G166" s="843">
        <f>Financeiros!I28</f>
        <v>60</v>
      </c>
      <c r="H166" s="843">
        <f>Financeiros!J28</f>
        <v>999</v>
      </c>
      <c r="I166" s="843">
        <f>Financeiros!K28</f>
        <v>2</v>
      </c>
      <c r="J166" s="843">
        <f>Financeiros!L28</f>
        <v>30</v>
      </c>
      <c r="K166" s="843">
        <f>Financeiros!M28</f>
        <v>9</v>
      </c>
      <c r="L166" s="843">
        <v>99</v>
      </c>
      <c r="M166" s="843">
        <v>9</v>
      </c>
      <c r="N166" s="843">
        <v>3</v>
      </c>
      <c r="O166" s="843">
        <v>99999</v>
      </c>
      <c r="P166" s="905">
        <f t="shared" si="6"/>
        <v>0</v>
      </c>
      <c r="Q166" s="232">
        <f>Financeiros!D28</f>
        <v>0</v>
      </c>
    </row>
    <row r="167" spans="1:17" ht="15.75">
      <c r="A167" s="843" t="s">
        <v>696</v>
      </c>
      <c r="B167" s="843" t="s">
        <v>1290</v>
      </c>
      <c r="C167" s="843" t="str">
        <f>Financeiros!C29</f>
        <v>Compensação DIC FIC</v>
      </c>
      <c r="D167" s="843">
        <v>2</v>
      </c>
      <c r="E167" s="843">
        <v>2</v>
      </c>
      <c r="F167" s="843">
        <f>Financeiros!H29</f>
        <v>22</v>
      </c>
      <c r="G167" s="843">
        <f>Financeiros!I29</f>
        <v>60</v>
      </c>
      <c r="H167" s="843">
        <f>Financeiros!J29</f>
        <v>178</v>
      </c>
      <c r="I167" s="843">
        <f>Financeiros!K29</f>
        <v>1</v>
      </c>
      <c r="J167" s="843">
        <f>Financeiros!L29</f>
        <v>7</v>
      </c>
      <c r="K167" s="843">
        <f>Financeiros!M29</f>
        <v>9</v>
      </c>
      <c r="L167" s="843">
        <v>99</v>
      </c>
      <c r="M167" s="843">
        <v>9</v>
      </c>
      <c r="N167" s="843">
        <v>3</v>
      </c>
      <c r="O167" s="843">
        <v>99999</v>
      </c>
      <c r="P167" s="905">
        <f t="shared" si="6"/>
        <v>-438582.27763182262</v>
      </c>
      <c r="Q167" s="232">
        <f>Financeiros!D29</f>
        <v>-438582.27763182262</v>
      </c>
    </row>
    <row r="168" spans="1:17" ht="15.75">
      <c r="A168" s="843" t="s">
        <v>696</v>
      </c>
      <c r="B168" s="843" t="s">
        <v>1290</v>
      </c>
      <c r="C168" s="843" t="str">
        <f>Financeiros!C30</f>
        <v>Subvenção CDE</v>
      </c>
      <c r="D168" s="843">
        <v>2</v>
      </c>
      <c r="E168" s="843">
        <v>2</v>
      </c>
      <c r="F168" s="843">
        <f>Financeiros!H30</f>
        <v>22</v>
      </c>
      <c r="G168" s="843">
        <f>Financeiros!I30</f>
        <v>60</v>
      </c>
      <c r="H168" s="843">
        <f>Financeiros!J30</f>
        <v>242</v>
      </c>
      <c r="I168" s="843">
        <f>Financeiros!K30</f>
        <v>4</v>
      </c>
      <c r="J168" s="843">
        <f>Financeiros!L30</f>
        <v>999</v>
      </c>
      <c r="K168" s="843">
        <f>Financeiros!M30</f>
        <v>9</v>
      </c>
      <c r="L168" s="843">
        <v>99</v>
      </c>
      <c r="M168" s="843">
        <v>9</v>
      </c>
      <c r="N168" s="843">
        <v>3</v>
      </c>
      <c r="O168" s="843">
        <v>99999</v>
      </c>
      <c r="P168" s="905">
        <f t="shared" ca="1" si="6"/>
        <v>-17867394.383257363</v>
      </c>
      <c r="Q168" s="232">
        <f ca="1">Financeiros!D30</f>
        <v>-17867394.383257363</v>
      </c>
    </row>
    <row r="169" spans="1:17" ht="15.75">
      <c r="A169" s="843" t="s">
        <v>696</v>
      </c>
      <c r="B169" s="843" t="s">
        <v>1290</v>
      </c>
      <c r="C169" s="843" t="str">
        <f>Financeiros!C31</f>
        <v>Retenção de Adicionais de Bandeiras Tarifárias</v>
      </c>
      <c r="D169" s="843">
        <v>2</v>
      </c>
      <c r="E169" s="843">
        <v>2</v>
      </c>
      <c r="F169" s="843">
        <f>Financeiros!H31</f>
        <v>22</v>
      </c>
      <c r="G169" s="843">
        <f>Financeiros!I31</f>
        <v>60</v>
      </c>
      <c r="H169" s="843">
        <f>Financeiros!J31</f>
        <v>999</v>
      </c>
      <c r="I169" s="843">
        <f>Financeiros!K31</f>
        <v>2</v>
      </c>
      <c r="J169" s="843">
        <f>Financeiros!L31</f>
        <v>30</v>
      </c>
      <c r="K169" s="843">
        <f>Financeiros!M31</f>
        <v>9</v>
      </c>
      <c r="L169" s="843">
        <v>99</v>
      </c>
      <c r="M169" s="843">
        <v>9</v>
      </c>
      <c r="N169" s="843">
        <v>3</v>
      </c>
      <c r="O169" s="843">
        <v>99999</v>
      </c>
      <c r="P169" s="905">
        <f t="shared" si="6"/>
        <v>-494687.61716015736</v>
      </c>
      <c r="Q169" s="232">
        <f>Financeiros!D31</f>
        <v>-494687.61716015736</v>
      </c>
    </row>
    <row r="170" spans="1:17" ht="15.75">
      <c r="A170" s="843" t="s">
        <v>696</v>
      </c>
      <c r="B170" s="843" t="s">
        <v>1290</v>
      </c>
      <c r="C170" s="843" t="str">
        <f>Financeiros!C32</f>
        <v>Multa LPT</v>
      </c>
      <c r="D170" s="843">
        <v>2</v>
      </c>
      <c r="E170" s="843">
        <v>2</v>
      </c>
      <c r="F170" s="843">
        <f>Financeiros!H32</f>
        <v>22</v>
      </c>
      <c r="G170" s="843">
        <f>Financeiros!I32</f>
        <v>60</v>
      </c>
      <c r="H170" s="843">
        <f>Financeiros!J32</f>
        <v>120</v>
      </c>
      <c r="I170" s="843">
        <f>Financeiros!K32</f>
        <v>4</v>
      </c>
      <c r="J170" s="843">
        <f>Financeiros!L32</f>
        <v>999</v>
      </c>
      <c r="K170" s="843">
        <f>Financeiros!M32</f>
        <v>9</v>
      </c>
      <c r="L170" s="843">
        <v>99</v>
      </c>
      <c r="M170" s="843">
        <v>9</v>
      </c>
      <c r="N170" s="843">
        <v>3</v>
      </c>
      <c r="O170" s="843">
        <v>99999</v>
      </c>
      <c r="P170" s="905">
        <f t="shared" si="6"/>
        <v>0</v>
      </c>
      <c r="Q170" s="232">
        <f>Financeiros!D32</f>
        <v>0</v>
      </c>
    </row>
    <row r="171" spans="1:17" ht="15.75">
      <c r="A171" s="843" t="s">
        <v>696</v>
      </c>
      <c r="B171" s="843" t="s">
        <v>1290</v>
      </c>
      <c r="C171" s="843" t="str">
        <f>Financeiros!C33</f>
        <v>Repasse de ICMS CUSD</v>
      </c>
      <c r="D171" s="843">
        <v>2</v>
      </c>
      <c r="E171" s="843">
        <v>2</v>
      </c>
      <c r="F171" s="843">
        <f>Financeiros!H33</f>
        <v>22</v>
      </c>
      <c r="G171" s="843">
        <f>Financeiros!I33</f>
        <v>60</v>
      </c>
      <c r="H171" s="843">
        <f>Financeiros!J33</f>
        <v>999</v>
      </c>
      <c r="I171" s="843">
        <f>Financeiros!K33</f>
        <v>1</v>
      </c>
      <c r="J171" s="843">
        <f>Financeiros!L33</f>
        <v>7</v>
      </c>
      <c r="K171" s="843">
        <f>Financeiros!M33</f>
        <v>9</v>
      </c>
      <c r="L171" s="843">
        <v>99</v>
      </c>
      <c r="M171" s="843">
        <v>9</v>
      </c>
      <c r="N171" s="843">
        <v>3</v>
      </c>
      <c r="O171" s="843">
        <v>99999</v>
      </c>
      <c r="P171" s="905">
        <f t="shared" si="6"/>
        <v>0</v>
      </c>
      <c r="Q171" s="232">
        <f>Financeiros!D33</f>
        <v>0</v>
      </c>
    </row>
    <row r="172" spans="1:17" ht="15.75">
      <c r="A172" s="843" t="s">
        <v>696</v>
      </c>
      <c r="B172" s="843" t="s">
        <v>1290</v>
      </c>
      <c r="C172" s="843" t="str">
        <f>Financeiros!C34</f>
        <v>Repasse de ICMS TE</v>
      </c>
      <c r="D172" s="843">
        <v>2</v>
      </c>
      <c r="E172" s="843">
        <v>2</v>
      </c>
      <c r="F172" s="843">
        <f>Financeiros!H34</f>
        <v>22</v>
      </c>
      <c r="G172" s="843">
        <f>Financeiros!I34</f>
        <v>60</v>
      </c>
      <c r="H172" s="843">
        <f>Financeiros!J34</f>
        <v>999</v>
      </c>
      <c r="I172" s="843">
        <f>Financeiros!K34</f>
        <v>2</v>
      </c>
      <c r="J172" s="843">
        <f>Financeiros!L34</f>
        <v>30</v>
      </c>
      <c r="K172" s="843">
        <f>Financeiros!M34</f>
        <v>9</v>
      </c>
      <c r="L172" s="843">
        <v>99</v>
      </c>
      <c r="M172" s="843">
        <v>9</v>
      </c>
      <c r="N172" s="843">
        <v>3</v>
      </c>
      <c r="O172" s="843">
        <v>99999</v>
      </c>
      <c r="P172" s="905">
        <f t="shared" si="6"/>
        <v>0</v>
      </c>
      <c r="Q172" s="232">
        <f>Financeiros!D34</f>
        <v>0</v>
      </c>
    </row>
    <row r="173" spans="1:17" ht="15.75">
      <c r="A173" s="843" t="s">
        <v>696</v>
      </c>
      <c r="B173" s="843" t="s">
        <v>1290</v>
      </c>
      <c r="C173" s="843" t="str">
        <f>Financeiros!C35</f>
        <v>Ressarcimento P&amp;D</v>
      </c>
      <c r="D173" s="843">
        <v>2</v>
      </c>
      <c r="E173" s="843">
        <v>2</v>
      </c>
      <c r="F173" s="843">
        <f>Financeiros!H35</f>
        <v>22</v>
      </c>
      <c r="G173" s="843">
        <f>Financeiros!I35</f>
        <v>60</v>
      </c>
      <c r="H173" s="843">
        <f>Financeiros!J35</f>
        <v>999</v>
      </c>
      <c r="I173" s="843">
        <f>Financeiros!K35</f>
        <v>3</v>
      </c>
      <c r="J173" s="843">
        <f>Financeiros!L35</f>
        <v>19</v>
      </c>
      <c r="K173" s="843">
        <f>Financeiros!M35</f>
        <v>9</v>
      </c>
      <c r="L173" s="843">
        <v>99</v>
      </c>
      <c r="M173" s="843">
        <v>9</v>
      </c>
      <c r="N173" s="843">
        <v>3</v>
      </c>
      <c r="O173" s="843">
        <v>99999</v>
      </c>
      <c r="P173" s="905">
        <f t="shared" si="6"/>
        <v>0</v>
      </c>
      <c r="Q173" s="232">
        <f>Financeiros!D35</f>
        <v>0</v>
      </c>
    </row>
    <row r="174" spans="1:17" ht="15.75">
      <c r="A174" s="843" t="s">
        <v>696</v>
      </c>
      <c r="B174" s="843" t="s">
        <v>1290</v>
      </c>
      <c r="C174" s="843" t="str">
        <f>Financeiros!C36</f>
        <v>Efeito Conta COVID</v>
      </c>
      <c r="D174" s="843">
        <v>2</v>
      </c>
      <c r="E174" s="843">
        <v>2</v>
      </c>
      <c r="F174" s="843">
        <f>Financeiros!H36</f>
        <v>22</v>
      </c>
      <c r="G174" s="843">
        <f>Financeiros!I36</f>
        <v>60</v>
      </c>
      <c r="H174" s="843">
        <f>Financeiros!J36</f>
        <v>999</v>
      </c>
      <c r="I174" s="843">
        <f>Financeiros!K36</f>
        <v>4</v>
      </c>
      <c r="J174" s="843">
        <f>Financeiros!L36</f>
        <v>999</v>
      </c>
      <c r="K174" s="843">
        <f>Financeiros!M36</f>
        <v>9</v>
      </c>
      <c r="L174" s="843">
        <v>99</v>
      </c>
      <c r="M174" s="843">
        <v>9</v>
      </c>
      <c r="N174" s="843">
        <v>3</v>
      </c>
      <c r="O174" s="843">
        <v>99999</v>
      </c>
      <c r="P174" s="905">
        <f t="shared" si="6"/>
        <v>0</v>
      </c>
      <c r="Q174" s="232">
        <f>Financeiros!D36</f>
        <v>0</v>
      </c>
    </row>
    <row r="175" spans="1:17" ht="15.75">
      <c r="A175" s="843" t="s">
        <v>696</v>
      </c>
      <c r="B175" s="843" t="s">
        <v>1290</v>
      </c>
      <c r="C175" s="843" t="str">
        <f>Financeiros!C37</f>
        <v>Diferimento de Parcela B</v>
      </c>
      <c r="D175" s="843">
        <v>2</v>
      </c>
      <c r="E175" s="843">
        <v>2</v>
      </c>
      <c r="F175" s="843">
        <v>999</v>
      </c>
      <c r="G175" s="843">
        <v>999999</v>
      </c>
      <c r="H175" s="843">
        <v>999</v>
      </c>
      <c r="I175" s="843">
        <v>99</v>
      </c>
      <c r="J175" s="843">
        <v>999</v>
      </c>
      <c r="K175" s="843">
        <v>9</v>
      </c>
      <c r="L175" s="843">
        <v>99</v>
      </c>
      <c r="M175" s="843">
        <v>9</v>
      </c>
      <c r="N175" s="843">
        <v>3</v>
      </c>
      <c r="O175" s="843">
        <v>99999</v>
      </c>
      <c r="P175" s="905">
        <f t="shared" si="6"/>
        <v>0</v>
      </c>
      <c r="Q175" s="232">
        <f>Financeiros!D37</f>
        <v>0</v>
      </c>
    </row>
    <row r="176" spans="1:17" ht="15.75">
      <c r="A176" s="843" t="s">
        <v>696</v>
      </c>
      <c r="B176" s="843" t="s">
        <v>1290</v>
      </c>
      <c r="C176" s="843" t="str">
        <f>Financeiros!C38</f>
        <v>Efeito COVID da Supridora</v>
      </c>
      <c r="D176" s="843">
        <v>2</v>
      </c>
      <c r="E176" s="843">
        <v>2</v>
      </c>
      <c r="F176" s="843">
        <f>Financeiros!H38</f>
        <v>22</v>
      </c>
      <c r="G176" s="843">
        <f>Financeiros!I38</f>
        <v>60</v>
      </c>
      <c r="H176" s="843">
        <f>Financeiros!J38</f>
        <v>999</v>
      </c>
      <c r="I176" s="843">
        <f>Financeiros!K38</f>
        <v>2</v>
      </c>
      <c r="J176" s="843">
        <f>Financeiros!L38</f>
        <v>30</v>
      </c>
      <c r="K176" s="843">
        <f>Financeiros!M38</f>
        <v>9</v>
      </c>
      <c r="L176" s="843">
        <v>99</v>
      </c>
      <c r="M176" s="843">
        <v>9</v>
      </c>
      <c r="N176" s="843">
        <v>3</v>
      </c>
      <c r="O176" s="843">
        <v>99999</v>
      </c>
      <c r="P176" s="905">
        <f t="shared" si="6"/>
        <v>0</v>
      </c>
      <c r="Q176" s="232">
        <f>Financeiros!D38</f>
        <v>0</v>
      </c>
    </row>
    <row r="177" spans="1:17" ht="15.75">
      <c r="A177" s="843" t="s">
        <v>696</v>
      </c>
      <c r="B177" s="843" t="s">
        <v>1290</v>
      </c>
      <c r="C177" s="843" t="str">
        <f>Financeiros!C39</f>
        <v>Crédito de Pis Cofins sobre ICMS</v>
      </c>
      <c r="D177" s="843">
        <v>2</v>
      </c>
      <c r="E177" s="843">
        <v>2</v>
      </c>
      <c r="F177" s="843">
        <f>Financeiros!H39</f>
        <v>22</v>
      </c>
      <c r="G177" s="843">
        <f>Financeiros!I39</f>
        <v>60</v>
      </c>
      <c r="H177" s="843">
        <f>Financeiros!J39</f>
        <v>179</v>
      </c>
      <c r="I177" s="843">
        <f>Financeiros!K39</f>
        <v>99</v>
      </c>
      <c r="J177" s="843">
        <f>Financeiros!L39</f>
        <v>999</v>
      </c>
      <c r="K177" s="843">
        <f>Financeiros!M39</f>
        <v>3</v>
      </c>
      <c r="L177" s="843">
        <v>99</v>
      </c>
      <c r="M177" s="843">
        <v>9</v>
      </c>
      <c r="N177" s="843">
        <v>3</v>
      </c>
      <c r="O177" s="843">
        <v>99999</v>
      </c>
      <c r="P177" s="905">
        <f t="shared" si="6"/>
        <v>0</v>
      </c>
      <c r="Q177" s="232">
        <f>Financeiros!D39</f>
        <v>0</v>
      </c>
    </row>
    <row r="178" spans="1:17" ht="15.75">
      <c r="A178" s="843" t="s">
        <v>696</v>
      </c>
      <c r="B178" s="843" t="s">
        <v>1290</v>
      </c>
      <c r="C178" s="843" t="str">
        <f>Financeiros!C40</f>
        <v>Diferimento Pis Cofins TUSD</v>
      </c>
      <c r="D178" s="843">
        <v>2</v>
      </c>
      <c r="E178" s="843">
        <v>2</v>
      </c>
      <c r="F178" s="843">
        <f>Financeiros!H40</f>
        <v>22</v>
      </c>
      <c r="G178" s="843">
        <f>Financeiros!I40</f>
        <v>60</v>
      </c>
      <c r="H178" s="843">
        <f>Financeiros!J40</f>
        <v>999</v>
      </c>
      <c r="I178" s="843">
        <f>Financeiros!K40</f>
        <v>1</v>
      </c>
      <c r="J178" s="843">
        <f>Financeiros!L40</f>
        <v>7</v>
      </c>
      <c r="K178" s="843">
        <f>Financeiros!M40</f>
        <v>9</v>
      </c>
      <c r="L178" s="843">
        <v>99</v>
      </c>
      <c r="M178" s="843">
        <v>9</v>
      </c>
      <c r="N178" s="843">
        <v>3</v>
      </c>
      <c r="O178" s="843">
        <v>99999</v>
      </c>
      <c r="P178" s="905">
        <f t="shared" si="6"/>
        <v>-241337.5911946921</v>
      </c>
      <c r="Q178" s="232">
        <f>Financeiros!D40</f>
        <v>-241337.5911946921</v>
      </c>
    </row>
    <row r="179" spans="1:17" ht="15.75">
      <c r="A179" s="843" t="s">
        <v>696</v>
      </c>
      <c r="B179" s="843" t="s">
        <v>1290</v>
      </c>
      <c r="C179" s="843" t="str">
        <f>Financeiros!C41</f>
        <v>Diferimento Pis Cofins TE</v>
      </c>
      <c r="D179" s="843">
        <v>2</v>
      </c>
      <c r="E179" s="843">
        <v>2</v>
      </c>
      <c r="F179" s="843">
        <f>Financeiros!H41</f>
        <v>22</v>
      </c>
      <c r="G179" s="843">
        <f>Financeiros!I41</f>
        <v>60</v>
      </c>
      <c r="H179" s="843">
        <f>Financeiros!J41</f>
        <v>999</v>
      </c>
      <c r="I179" s="843">
        <f>Financeiros!K41</f>
        <v>2</v>
      </c>
      <c r="J179" s="843">
        <f>Financeiros!L41</f>
        <v>30</v>
      </c>
      <c r="K179" s="843">
        <f>Financeiros!M41</f>
        <v>9</v>
      </c>
      <c r="L179" s="843">
        <v>99</v>
      </c>
      <c r="M179" s="843">
        <v>9</v>
      </c>
      <c r="N179" s="843">
        <v>3</v>
      </c>
      <c r="O179" s="843">
        <v>99999</v>
      </c>
      <c r="P179" s="905">
        <f t="shared" ca="1" si="6"/>
        <v>-370152.83516629034</v>
      </c>
      <c r="Q179" s="232">
        <f ca="1">Financeiros!D41</f>
        <v>-370152.83516629034</v>
      </c>
    </row>
    <row r="180" spans="1:17" ht="15.75">
      <c r="A180" s="843" t="s">
        <v>696</v>
      </c>
      <c r="B180" s="843" t="s">
        <v>1290</v>
      </c>
      <c r="C180" s="843" t="str">
        <f>Financeiros!C42</f>
        <v>Financeiros associados ao §7º do Art. 88 da Ren 414/2021</v>
      </c>
      <c r="D180" s="843">
        <v>2</v>
      </c>
      <c r="E180" s="843">
        <v>2</v>
      </c>
      <c r="F180" s="843">
        <f>Financeiros!H42</f>
        <v>22</v>
      </c>
      <c r="G180" s="843">
        <f>Financeiros!I42</f>
        <v>60</v>
      </c>
      <c r="H180" s="843">
        <f>Financeiros!J42</f>
        <v>999</v>
      </c>
      <c r="I180" s="843">
        <f>Financeiros!K42</f>
        <v>4</v>
      </c>
      <c r="J180" s="843">
        <f>Financeiros!L42</f>
        <v>999</v>
      </c>
      <c r="K180" s="843">
        <f>Financeiros!M42</f>
        <v>9</v>
      </c>
      <c r="L180" s="843">
        <v>99</v>
      </c>
      <c r="M180" s="843">
        <v>9</v>
      </c>
      <c r="N180" s="843">
        <v>3</v>
      </c>
      <c r="O180" s="843">
        <v>99999</v>
      </c>
      <c r="P180" s="905">
        <f t="shared" si="6"/>
        <v>0</v>
      </c>
      <c r="Q180" s="232">
        <f>Financeiros!D42</f>
        <v>0</v>
      </c>
    </row>
    <row r="181" spans="1:17" ht="15.75">
      <c r="A181" s="843" t="s">
        <v>696</v>
      </c>
      <c r="B181" s="843" t="s">
        <v>1290</v>
      </c>
      <c r="C181" s="843" t="str">
        <f>Financeiros!C43</f>
        <v>Spread Conta Covid</v>
      </c>
      <c r="D181" s="843">
        <v>2</v>
      </c>
      <c r="E181" s="843">
        <v>2</v>
      </c>
      <c r="F181" s="843">
        <f>Financeiros!H43</f>
        <v>22</v>
      </c>
      <c r="G181" s="843">
        <f>Financeiros!I43</f>
        <v>60</v>
      </c>
      <c r="H181" s="843">
        <f>Financeiros!J43</f>
        <v>235</v>
      </c>
      <c r="I181" s="843">
        <f>Financeiros!K43</f>
        <v>4</v>
      </c>
      <c r="J181" s="843">
        <f>Financeiros!L43</f>
        <v>999</v>
      </c>
      <c r="K181" s="843">
        <f>Financeiros!M43</f>
        <v>9</v>
      </c>
      <c r="L181" s="843">
        <v>99</v>
      </c>
      <c r="M181" s="843">
        <v>9</v>
      </c>
      <c r="N181" s="843">
        <v>3</v>
      </c>
      <c r="O181" s="843">
        <v>99999</v>
      </c>
      <c r="P181" s="905">
        <f t="shared" si="6"/>
        <v>0</v>
      </c>
      <c r="Q181" s="232">
        <f>Financeiros!D43</f>
        <v>0</v>
      </c>
    </row>
    <row r="182" spans="1:17" ht="15.75">
      <c r="A182" s="843" t="s">
        <v>696</v>
      </c>
      <c r="B182" s="843" t="s">
        <v>1290</v>
      </c>
      <c r="C182" s="843" t="str">
        <f>Financeiros!C44</f>
        <v>Diferimento de Energia</v>
      </c>
      <c r="D182" s="843">
        <v>2</v>
      </c>
      <c r="E182" s="843">
        <v>2</v>
      </c>
      <c r="F182" s="843">
        <f>Financeiros!H44</f>
        <v>22</v>
      </c>
      <c r="G182" s="843">
        <f>Financeiros!I44</f>
        <v>60</v>
      </c>
      <c r="H182" s="843">
        <f>Financeiros!J44</f>
        <v>999</v>
      </c>
      <c r="I182" s="843">
        <f>Financeiros!K44</f>
        <v>4</v>
      </c>
      <c r="J182" s="843">
        <f>Financeiros!L44</f>
        <v>999</v>
      </c>
      <c r="K182" s="843">
        <f>Financeiros!M44</f>
        <v>9</v>
      </c>
      <c r="L182" s="843">
        <v>99</v>
      </c>
      <c r="M182" s="843">
        <v>9</v>
      </c>
      <c r="N182" s="843">
        <v>3</v>
      </c>
      <c r="O182" s="843">
        <v>99999</v>
      </c>
      <c r="P182" s="905">
        <f t="shared" si="6"/>
        <v>0</v>
      </c>
      <c r="Q182" s="232">
        <f>Financeiros!D44</f>
        <v>0</v>
      </c>
    </row>
    <row r="183" spans="1:17" ht="15.75">
      <c r="A183" s="843" t="s">
        <v>696</v>
      </c>
      <c r="B183" s="843" t="s">
        <v>1290</v>
      </c>
      <c r="C183" s="843" t="str">
        <f>Financeiros!C45</f>
        <v xml:space="preserve">Reversão do Diferimento de Compra de Energia </v>
      </c>
      <c r="D183" s="843">
        <v>2</v>
      </c>
      <c r="E183" s="843">
        <v>2</v>
      </c>
      <c r="F183" s="843">
        <f>Financeiros!H45</f>
        <v>22</v>
      </c>
      <c r="G183" s="843">
        <f>Financeiros!I45</f>
        <v>60</v>
      </c>
      <c r="H183" s="843">
        <f>Financeiros!J45</f>
        <v>999</v>
      </c>
      <c r="I183" s="843">
        <f>Financeiros!K45</f>
        <v>4</v>
      </c>
      <c r="J183" s="843">
        <f>Financeiros!L45</f>
        <v>999</v>
      </c>
      <c r="K183" s="843">
        <f>Financeiros!M45</f>
        <v>9</v>
      </c>
      <c r="L183" s="843">
        <v>99</v>
      </c>
      <c r="M183" s="843">
        <v>9</v>
      </c>
      <c r="N183" s="843">
        <v>3</v>
      </c>
      <c r="O183" s="843">
        <v>99999</v>
      </c>
      <c r="P183" s="905">
        <f t="shared" si="6"/>
        <v>0</v>
      </c>
      <c r="Q183" s="232">
        <f>Financeiros!D45</f>
        <v>0</v>
      </c>
    </row>
    <row r="184" spans="1:17" ht="15.75">
      <c r="A184" s="843" t="s">
        <v>696</v>
      </c>
      <c r="B184" s="843" t="s">
        <v>1290</v>
      </c>
      <c r="C184" s="843" t="str">
        <f>Financeiros!C46</f>
        <v>Reversão do Diferimento de Parcela B</v>
      </c>
      <c r="D184" s="843">
        <v>2</v>
      </c>
      <c r="E184" s="843">
        <v>2</v>
      </c>
      <c r="F184" s="843">
        <f>Financeiros!H46</f>
        <v>22</v>
      </c>
      <c r="G184" s="843">
        <f>Financeiros!I46</f>
        <v>60</v>
      </c>
      <c r="H184" s="843">
        <f>Financeiros!J46</f>
        <v>999</v>
      </c>
      <c r="I184" s="843">
        <f>Financeiros!K46</f>
        <v>4</v>
      </c>
      <c r="J184" s="843">
        <f>Financeiros!L46</f>
        <v>999</v>
      </c>
      <c r="K184" s="843">
        <f>Financeiros!M46</f>
        <v>9</v>
      </c>
      <c r="L184" s="843">
        <v>99</v>
      </c>
      <c r="M184" s="843">
        <v>9</v>
      </c>
      <c r="N184" s="843">
        <v>3</v>
      </c>
      <c r="O184" s="843">
        <v>99999</v>
      </c>
      <c r="P184" s="905">
        <f t="shared" si="6"/>
        <v>0</v>
      </c>
      <c r="Q184" s="232">
        <f>Financeiros!D46</f>
        <v>0</v>
      </c>
    </row>
    <row r="185" spans="1:17" ht="15.75">
      <c r="A185" s="843" t="s">
        <v>696</v>
      </c>
      <c r="B185" s="843" t="s">
        <v>1290</v>
      </c>
      <c r="C185" s="843" t="str">
        <f>Financeiros!C47</f>
        <v>Reversão do Diferimento de Pis Cofins TUSD (Processo 2021)</v>
      </c>
      <c r="D185" s="843">
        <v>2</v>
      </c>
      <c r="E185" s="843">
        <v>2</v>
      </c>
      <c r="F185" s="843">
        <f>Financeiros!H47</f>
        <v>22</v>
      </c>
      <c r="G185" s="843">
        <f>Financeiros!I47</f>
        <v>60</v>
      </c>
      <c r="H185" s="843">
        <f>Financeiros!J47</f>
        <v>999</v>
      </c>
      <c r="I185" s="843">
        <f>Financeiros!K47</f>
        <v>1</v>
      </c>
      <c r="J185" s="843">
        <f>Financeiros!L47</f>
        <v>7</v>
      </c>
      <c r="K185" s="843">
        <f>Financeiros!M47</f>
        <v>9</v>
      </c>
      <c r="L185" s="843">
        <v>99</v>
      </c>
      <c r="M185" s="843">
        <v>9</v>
      </c>
      <c r="N185" s="843">
        <v>3</v>
      </c>
      <c r="O185" s="843">
        <v>99999</v>
      </c>
      <c r="P185" s="905">
        <f t="shared" si="6"/>
        <v>349379.40685705538</v>
      </c>
      <c r="Q185" s="232">
        <f>Financeiros!D47</f>
        <v>349379.40685705538</v>
      </c>
    </row>
    <row r="186" spans="1:17" ht="15.75">
      <c r="A186" s="843" t="s">
        <v>696</v>
      </c>
      <c r="B186" s="843" t="s">
        <v>1290</v>
      </c>
      <c r="C186" s="843" t="str">
        <f>Financeiros!C48</f>
        <v>Reversão do Diferimento de Pis Cofins TE (Processo 2021)</v>
      </c>
      <c r="D186" s="843">
        <v>2</v>
      </c>
      <c r="E186" s="843">
        <v>2</v>
      </c>
      <c r="F186" s="843">
        <f>Financeiros!H48</f>
        <v>22</v>
      </c>
      <c r="G186" s="843">
        <f>Financeiros!I48</f>
        <v>60</v>
      </c>
      <c r="H186" s="843">
        <f>Financeiros!J48</f>
        <v>999</v>
      </c>
      <c r="I186" s="843">
        <f>Financeiros!K48</f>
        <v>2</v>
      </c>
      <c r="J186" s="843">
        <f>Financeiros!L48</f>
        <v>30</v>
      </c>
      <c r="K186" s="843">
        <f>Financeiros!M48</f>
        <v>9</v>
      </c>
      <c r="L186" s="843">
        <v>99</v>
      </c>
      <c r="M186" s="843">
        <v>9</v>
      </c>
      <c r="N186" s="843">
        <v>3</v>
      </c>
      <c r="O186" s="843">
        <v>99999</v>
      </c>
      <c r="P186" s="905">
        <f t="shared" si="6"/>
        <v>338502.53521799512</v>
      </c>
      <c r="Q186" s="232">
        <f>Financeiros!D48</f>
        <v>338502.53521799512</v>
      </c>
    </row>
    <row r="187" spans="1:17" ht="15.75">
      <c r="A187" s="843" t="s">
        <v>696</v>
      </c>
      <c r="B187" s="843" t="s">
        <v>1290</v>
      </c>
      <c r="C187" s="843" t="str">
        <f>Financeiros!C49</f>
        <v>CVE ccc</v>
      </c>
      <c r="D187" s="843">
        <v>2</v>
      </c>
      <c r="E187" s="843">
        <v>2</v>
      </c>
      <c r="F187" s="843">
        <f>Financeiros!H49</f>
        <v>22</v>
      </c>
      <c r="G187" s="843">
        <f>Financeiros!I49</f>
        <v>60</v>
      </c>
      <c r="H187" s="843">
        <f>Financeiros!J49</f>
        <v>241</v>
      </c>
      <c r="I187" s="843">
        <f>Financeiros!K49</f>
        <v>3</v>
      </c>
      <c r="J187" s="843">
        <f>Financeiros!L49</f>
        <v>13</v>
      </c>
      <c r="K187" s="843">
        <f>Financeiros!M49</f>
        <v>9</v>
      </c>
      <c r="L187" s="843">
        <v>99</v>
      </c>
      <c r="M187" s="843">
        <v>9</v>
      </c>
      <c r="N187" s="843">
        <v>3</v>
      </c>
      <c r="O187" s="843">
        <v>99999</v>
      </c>
      <c r="P187" s="905">
        <f t="shared" si="6"/>
        <v>0</v>
      </c>
      <c r="Q187" s="232">
        <f>Financeiros!D49</f>
        <v>0</v>
      </c>
    </row>
    <row r="188" spans="1:17" ht="15.75">
      <c r="A188" s="843" t="s">
        <v>696</v>
      </c>
      <c r="B188" s="843" t="s">
        <v>1290</v>
      </c>
      <c r="C188" s="843" t="str">
        <f>Financeiros!C50</f>
        <v>CVE cde</v>
      </c>
      <c r="D188" s="843">
        <v>2</v>
      </c>
      <c r="E188" s="843">
        <v>2</v>
      </c>
      <c r="F188" s="843">
        <f>Financeiros!H50</f>
        <v>22</v>
      </c>
      <c r="G188" s="843">
        <f>Financeiros!I50</f>
        <v>60</v>
      </c>
      <c r="H188" s="843">
        <f>Financeiros!J50</f>
        <v>241</v>
      </c>
      <c r="I188" s="843">
        <f>Financeiros!K50</f>
        <v>3</v>
      </c>
      <c r="J188" s="843">
        <f>Financeiros!L50</f>
        <v>15</v>
      </c>
      <c r="K188" s="843">
        <f>Financeiros!M50</f>
        <v>9</v>
      </c>
      <c r="L188" s="843">
        <v>99</v>
      </c>
      <c r="M188" s="843">
        <v>9</v>
      </c>
      <c r="N188" s="843">
        <v>3</v>
      </c>
      <c r="O188" s="843">
        <v>99999</v>
      </c>
      <c r="P188" s="905">
        <f t="shared" si="6"/>
        <v>0</v>
      </c>
      <c r="Q188" s="232">
        <f>Financeiros!D50</f>
        <v>0</v>
      </c>
    </row>
    <row r="189" spans="1:17" ht="15.75">
      <c r="A189" s="843" t="s">
        <v>696</v>
      </c>
      <c r="B189" s="843" t="s">
        <v>1290</v>
      </c>
      <c r="C189" s="843" t="str">
        <f>Financeiros!C51</f>
        <v>CVE cde energia</v>
      </c>
      <c r="D189" s="843">
        <v>2</v>
      </c>
      <c r="E189" s="843">
        <v>2</v>
      </c>
      <c r="F189" s="843">
        <f>Financeiros!H51</f>
        <v>22</v>
      </c>
      <c r="G189" s="843">
        <f>Financeiros!I51</f>
        <v>60</v>
      </c>
      <c r="H189" s="843">
        <f>Financeiros!J51</f>
        <v>241</v>
      </c>
      <c r="I189" s="843">
        <f>Financeiros!K51</f>
        <v>3</v>
      </c>
      <c r="J189" s="843">
        <f>Financeiros!L51</f>
        <v>25</v>
      </c>
      <c r="K189" s="843">
        <f>Financeiros!M51</f>
        <v>9</v>
      </c>
      <c r="L189" s="843">
        <v>99</v>
      </c>
      <c r="M189" s="843">
        <v>9</v>
      </c>
      <c r="N189" s="843">
        <v>3</v>
      </c>
      <c r="O189" s="843">
        <v>99999</v>
      </c>
      <c r="P189" s="905">
        <f t="shared" si="6"/>
        <v>0</v>
      </c>
      <c r="Q189" s="232">
        <f>Financeiros!D51</f>
        <v>0</v>
      </c>
    </row>
    <row r="190" spans="1:17" ht="15.75">
      <c r="A190" s="843" t="s">
        <v>696</v>
      </c>
      <c r="B190" s="843" t="s">
        <v>1290</v>
      </c>
      <c r="C190" s="843" t="str">
        <f>Financeiros!C52</f>
        <v>CVE RB - Nodal</v>
      </c>
      <c r="D190" s="843">
        <v>2</v>
      </c>
      <c r="E190" s="843">
        <v>2</v>
      </c>
      <c r="F190" s="843">
        <f>Financeiros!H52</f>
        <v>22</v>
      </c>
      <c r="G190" s="843">
        <f>Financeiros!I52</f>
        <v>60</v>
      </c>
      <c r="H190" s="843">
        <f>Financeiros!J52</f>
        <v>241</v>
      </c>
      <c r="I190" s="843">
        <f>Financeiros!K52</f>
        <v>1</v>
      </c>
      <c r="J190" s="843">
        <f>Financeiros!L52</f>
        <v>1</v>
      </c>
      <c r="K190" s="843">
        <f>Financeiros!M52</f>
        <v>9</v>
      </c>
      <c r="L190" s="843">
        <v>99</v>
      </c>
      <c r="M190" s="843">
        <v>9</v>
      </c>
      <c r="N190" s="843">
        <v>3</v>
      </c>
      <c r="O190" s="843">
        <v>99999</v>
      </c>
      <c r="P190" s="905">
        <f t="shared" si="6"/>
        <v>0</v>
      </c>
      <c r="Q190" s="232">
        <f>Financeiros!D52</f>
        <v>0</v>
      </c>
    </row>
    <row r="191" spans="1:17" ht="15.75">
      <c r="A191" s="843" t="s">
        <v>696</v>
      </c>
      <c r="B191" s="843" t="s">
        <v>1290</v>
      </c>
      <c r="C191" s="843" t="str">
        <f>Financeiros!C53</f>
        <v>CVE RB - Fronteira</v>
      </c>
      <c r="D191" s="843">
        <v>2</v>
      </c>
      <c r="E191" s="843">
        <v>2</v>
      </c>
      <c r="F191" s="843">
        <f>Financeiros!H53</f>
        <v>22</v>
      </c>
      <c r="G191" s="843">
        <f>Financeiros!I53</f>
        <v>60</v>
      </c>
      <c r="H191" s="843">
        <f>Financeiros!J53</f>
        <v>241</v>
      </c>
      <c r="I191" s="843">
        <f>Financeiros!K53</f>
        <v>1</v>
      </c>
      <c r="J191" s="843">
        <f>Financeiros!L53</f>
        <v>1</v>
      </c>
      <c r="K191" s="843">
        <f>Financeiros!M53</f>
        <v>9</v>
      </c>
      <c r="L191" s="843">
        <v>99</v>
      </c>
      <c r="M191" s="843">
        <v>9</v>
      </c>
      <c r="N191" s="843">
        <v>3</v>
      </c>
      <c r="O191" s="843">
        <v>99999</v>
      </c>
      <c r="P191" s="905">
        <f t="shared" si="6"/>
        <v>0</v>
      </c>
      <c r="Q191" s="232">
        <f>Financeiros!D53</f>
        <v>0</v>
      </c>
    </row>
    <row r="192" spans="1:17" ht="15.75">
      <c r="A192" s="843" t="s">
        <v>696</v>
      </c>
      <c r="B192" s="843" t="s">
        <v>1290</v>
      </c>
      <c r="C192" s="843" t="str">
        <f>Financeiros!C54</f>
        <v>CVE RB - TUSDg EXP</v>
      </c>
      <c r="D192" s="843">
        <v>2</v>
      </c>
      <c r="E192" s="843">
        <v>2</v>
      </c>
      <c r="F192" s="843">
        <f>Financeiros!H54</f>
        <v>22</v>
      </c>
      <c r="G192" s="843">
        <f>Financeiros!I54</f>
        <v>60</v>
      </c>
      <c r="H192" s="843">
        <f>Financeiros!J54</f>
        <v>241</v>
      </c>
      <c r="I192" s="843">
        <f>Financeiros!K54</f>
        <v>1</v>
      </c>
      <c r="J192" s="843">
        <f>Financeiros!L54</f>
        <v>1</v>
      </c>
      <c r="K192" s="843">
        <f>Financeiros!M54</f>
        <v>9</v>
      </c>
      <c r="L192" s="843">
        <v>99</v>
      </c>
      <c r="M192" s="843">
        <v>9</v>
      </c>
      <c r="N192" s="843">
        <v>3</v>
      </c>
      <c r="O192" s="843">
        <v>99999</v>
      </c>
      <c r="P192" s="905">
        <f t="shared" si="6"/>
        <v>0</v>
      </c>
      <c r="Q192" s="232">
        <f>Financeiros!D54</f>
        <v>0</v>
      </c>
    </row>
    <row r="193" spans="1:17" ht="15.75">
      <c r="A193" s="843" t="s">
        <v>696</v>
      </c>
      <c r="B193" s="843" t="s">
        <v>1290</v>
      </c>
      <c r="C193" s="843" t="str">
        <f>Financeiros!C55</f>
        <v>CVE RB - TUSDg ONS</v>
      </c>
      <c r="D193" s="843">
        <v>2</v>
      </c>
      <c r="E193" s="843">
        <v>2</v>
      </c>
      <c r="F193" s="843">
        <f>Financeiros!H55</f>
        <v>22</v>
      </c>
      <c r="G193" s="843">
        <f>Financeiros!I55</f>
        <v>60</v>
      </c>
      <c r="H193" s="843">
        <f>Financeiros!J55</f>
        <v>241</v>
      </c>
      <c r="I193" s="843">
        <f>Financeiros!K55</f>
        <v>1</v>
      </c>
      <c r="J193" s="843">
        <f>Financeiros!L55</f>
        <v>1</v>
      </c>
      <c r="K193" s="843">
        <f>Financeiros!M55</f>
        <v>9</v>
      </c>
      <c r="L193" s="843">
        <v>99</v>
      </c>
      <c r="M193" s="843">
        <v>9</v>
      </c>
      <c r="N193" s="843">
        <v>3</v>
      </c>
      <c r="O193" s="843">
        <v>99999</v>
      </c>
      <c r="P193" s="905">
        <f t="shared" si="6"/>
        <v>0</v>
      </c>
      <c r="Q193" s="232">
        <f>Financeiros!D55</f>
        <v>0</v>
      </c>
    </row>
    <row r="194" spans="1:17" ht="15.75">
      <c r="A194" s="843" t="s">
        <v>696</v>
      </c>
      <c r="B194" s="843" t="s">
        <v>1290</v>
      </c>
      <c r="C194" s="843" t="str">
        <f>Financeiros!C56</f>
        <v>CVE RB - EUST Itaipu</v>
      </c>
      <c r="D194" s="843">
        <v>2</v>
      </c>
      <c r="E194" s="843">
        <v>2</v>
      </c>
      <c r="F194" s="843">
        <f>Financeiros!H56</f>
        <v>22</v>
      </c>
      <c r="G194" s="843">
        <f>Financeiros!I56</f>
        <v>60</v>
      </c>
      <c r="H194" s="843">
        <f>Financeiros!J56</f>
        <v>241</v>
      </c>
      <c r="I194" s="843">
        <f>Financeiros!K56</f>
        <v>1</v>
      </c>
      <c r="J194" s="843">
        <f>Financeiros!L56</f>
        <v>1</v>
      </c>
      <c r="K194" s="843">
        <f>Financeiros!M56</f>
        <v>9</v>
      </c>
      <c r="L194" s="843">
        <v>99</v>
      </c>
      <c r="M194" s="843">
        <v>9</v>
      </c>
      <c r="N194" s="843">
        <v>3</v>
      </c>
      <c r="O194" s="843">
        <v>99999</v>
      </c>
      <c r="P194" s="905">
        <f t="shared" si="6"/>
        <v>0</v>
      </c>
      <c r="Q194" s="232">
        <f>Financeiros!D56</f>
        <v>0</v>
      </c>
    </row>
    <row r="195" spans="1:17" ht="15.75">
      <c r="A195" s="843" t="s">
        <v>696</v>
      </c>
      <c r="B195" s="843" t="s">
        <v>1290</v>
      </c>
      <c r="C195" s="843" t="str">
        <f>Financeiros!C57</f>
        <v>CVE- Transporte Itaipu</v>
      </c>
      <c r="D195" s="843">
        <v>2</v>
      </c>
      <c r="E195" s="843">
        <v>2</v>
      </c>
      <c r="F195" s="843">
        <f>Financeiros!H57</f>
        <v>22</v>
      </c>
      <c r="G195" s="843">
        <f>Financeiros!I57</f>
        <v>60</v>
      </c>
      <c r="H195" s="843">
        <f>Financeiros!J57</f>
        <v>241</v>
      </c>
      <c r="I195" s="843">
        <f>Financeiros!K57</f>
        <v>1</v>
      </c>
      <c r="J195" s="843">
        <f>Financeiros!L57</f>
        <v>21</v>
      </c>
      <c r="K195" s="843">
        <f>Financeiros!M57</f>
        <v>9</v>
      </c>
      <c r="L195" s="843">
        <v>99</v>
      </c>
      <c r="M195" s="843">
        <v>9</v>
      </c>
      <c r="N195" s="843">
        <v>3</v>
      </c>
      <c r="O195" s="843">
        <v>99999</v>
      </c>
      <c r="P195" s="905">
        <f t="shared" si="6"/>
        <v>0</v>
      </c>
      <c r="Q195" s="232">
        <f>Financeiros!D57</f>
        <v>0</v>
      </c>
    </row>
    <row r="196" spans="1:17" ht="15.75">
      <c r="A196" s="843" t="s">
        <v>696</v>
      </c>
      <c r="B196" s="843" t="s">
        <v>1290</v>
      </c>
      <c r="C196" s="843" t="str">
        <f>Financeiros!C58</f>
        <v>CVE - Energia - Energia de Revenda</v>
      </c>
      <c r="D196" s="843">
        <v>2</v>
      </c>
      <c r="E196" s="843">
        <v>2</v>
      </c>
      <c r="F196" s="843">
        <f>Financeiros!H58</f>
        <v>22</v>
      </c>
      <c r="G196" s="843">
        <f>Financeiros!I58</f>
        <v>60</v>
      </c>
      <c r="H196" s="843">
        <f>Financeiros!J58</f>
        <v>241</v>
      </c>
      <c r="I196" s="843">
        <f>Financeiros!K58</f>
        <v>2</v>
      </c>
      <c r="J196" s="843">
        <f>Financeiros!L58</f>
        <v>11</v>
      </c>
      <c r="K196" s="843">
        <f>Financeiros!M58</f>
        <v>9</v>
      </c>
      <c r="L196" s="843">
        <v>99</v>
      </c>
      <c r="M196" s="843">
        <v>9</v>
      </c>
      <c r="N196" s="843">
        <v>3</v>
      </c>
      <c r="O196" s="843">
        <v>99999</v>
      </c>
      <c r="P196" s="905">
        <f t="shared" ca="1" si="6"/>
        <v>0</v>
      </c>
      <c r="Q196" s="232">
        <f ca="1">Financeiros!D58</f>
        <v>0</v>
      </c>
    </row>
    <row r="197" spans="1:17" ht="15.75">
      <c r="A197" s="843" t="s">
        <v>696</v>
      </c>
      <c r="B197" s="843" t="s">
        <v>1290</v>
      </c>
      <c r="C197" s="843" t="str">
        <f>Financeiros!C59</f>
        <v>CVE - Energia - Perda Não Técnica</v>
      </c>
      <c r="D197" s="843">
        <v>2</v>
      </c>
      <c r="E197" s="843">
        <v>2</v>
      </c>
      <c r="F197" s="843">
        <f>Financeiros!H59</f>
        <v>22</v>
      </c>
      <c r="G197" s="843">
        <f>Financeiros!I59</f>
        <v>60</v>
      </c>
      <c r="H197" s="843">
        <f>Financeiros!J59</f>
        <v>241</v>
      </c>
      <c r="I197" s="843">
        <f>Financeiros!K59</f>
        <v>2</v>
      </c>
      <c r="J197" s="843">
        <f>Financeiros!L59</f>
        <v>9</v>
      </c>
      <c r="K197" s="843">
        <f>Financeiros!M59</f>
        <v>9</v>
      </c>
      <c r="L197" s="843">
        <v>99</v>
      </c>
      <c r="M197" s="843">
        <v>9</v>
      </c>
      <c r="N197" s="843">
        <v>3</v>
      </c>
      <c r="O197" s="843">
        <v>99999</v>
      </c>
      <c r="P197" s="905">
        <f t="shared" ca="1" si="6"/>
        <v>0</v>
      </c>
      <c r="Q197" s="232">
        <f ca="1">Financeiros!D59</f>
        <v>0</v>
      </c>
    </row>
    <row r="198" spans="1:17" ht="15.75">
      <c r="A198" s="843" t="s">
        <v>696</v>
      </c>
      <c r="B198" s="843" t="s">
        <v>1290</v>
      </c>
      <c r="C198" s="843" t="str">
        <f>Financeiros!C60</f>
        <v>CVE - Energia - Perda Técnica</v>
      </c>
      <c r="D198" s="843">
        <v>2</v>
      </c>
      <c r="E198" s="843">
        <v>2</v>
      </c>
      <c r="F198" s="843">
        <f>Financeiros!H60</f>
        <v>22</v>
      </c>
      <c r="G198" s="843">
        <f>Financeiros!I60</f>
        <v>60</v>
      </c>
      <c r="H198" s="843">
        <f>Financeiros!J60</f>
        <v>241</v>
      </c>
      <c r="I198" s="843">
        <f>Financeiros!K60</f>
        <v>2</v>
      </c>
      <c r="J198" s="843">
        <f>Financeiros!L60</f>
        <v>8</v>
      </c>
      <c r="K198" s="843">
        <f>Financeiros!M60</f>
        <v>9</v>
      </c>
      <c r="L198" s="843">
        <v>99</v>
      </c>
      <c r="M198" s="843">
        <v>9</v>
      </c>
      <c r="N198" s="843">
        <v>3</v>
      </c>
      <c r="O198" s="843">
        <v>99999</v>
      </c>
      <c r="P198" s="905">
        <f t="shared" ca="1" si="6"/>
        <v>0</v>
      </c>
      <c r="Q198" s="232">
        <f ca="1">Financeiros!D60</f>
        <v>0</v>
      </c>
    </row>
    <row r="199" spans="1:17" ht="15.75">
      <c r="A199" s="843" t="s">
        <v>696</v>
      </c>
      <c r="B199" s="843" t="s">
        <v>1290</v>
      </c>
      <c r="C199" s="843" t="str">
        <f>Financeiros!C61</f>
        <v>CVE - Energia -  Perda de RB sobre a distribuição</v>
      </c>
      <c r="D199" s="843">
        <v>2</v>
      </c>
      <c r="E199" s="843">
        <v>2</v>
      </c>
      <c r="F199" s="843">
        <f>Financeiros!H61</f>
        <v>22</v>
      </c>
      <c r="G199" s="843">
        <f>Financeiros!I61</f>
        <v>60</v>
      </c>
      <c r="H199" s="843">
        <f>Financeiros!J61</f>
        <v>241</v>
      </c>
      <c r="I199" s="843">
        <f>Financeiros!K61</f>
        <v>2</v>
      </c>
      <c r="J199" s="843">
        <f>Financeiros!L61</f>
        <v>10</v>
      </c>
      <c r="K199" s="843">
        <f>Financeiros!M61</f>
        <v>9</v>
      </c>
      <c r="L199" s="843">
        <v>99</v>
      </c>
      <c r="M199" s="843">
        <v>9</v>
      </c>
      <c r="N199" s="843">
        <v>3</v>
      </c>
      <c r="O199" s="843">
        <v>99999</v>
      </c>
      <c r="P199" s="905">
        <f t="shared" ca="1" si="6"/>
        <v>0</v>
      </c>
      <c r="Q199" s="232">
        <f ca="1">Financeiros!D61</f>
        <v>0</v>
      </c>
    </row>
    <row r="200" spans="1:17" ht="15.75">
      <c r="A200" s="843" t="s">
        <v>696</v>
      </c>
      <c r="B200" s="843" t="s">
        <v>1290</v>
      </c>
      <c r="C200" s="843" t="str">
        <f>Financeiros!C62</f>
        <v>CVE - Energia -  Perda de RB sobre o mercado cativo</v>
      </c>
      <c r="D200" s="843">
        <v>2</v>
      </c>
      <c r="E200" s="843">
        <v>2</v>
      </c>
      <c r="F200" s="843">
        <f>Financeiros!H62</f>
        <v>22</v>
      </c>
      <c r="G200" s="843">
        <f>Financeiros!I62</f>
        <v>60</v>
      </c>
      <c r="H200" s="843">
        <f>Financeiros!J62</f>
        <v>241</v>
      </c>
      <c r="I200" s="843">
        <f>Financeiros!K62</f>
        <v>2</v>
      </c>
      <c r="J200" s="843">
        <f>Financeiros!L62</f>
        <v>24</v>
      </c>
      <c r="K200" s="843">
        <f>Financeiros!M62</f>
        <v>9</v>
      </c>
      <c r="L200" s="843">
        <v>99</v>
      </c>
      <c r="M200" s="843">
        <v>9</v>
      </c>
      <c r="N200" s="843">
        <v>3</v>
      </c>
      <c r="O200" s="843">
        <v>99999</v>
      </c>
      <c r="P200" s="905">
        <f t="shared" ca="1" si="6"/>
        <v>0</v>
      </c>
      <c r="Q200" s="232">
        <f ca="1">Financeiros!D62</f>
        <v>0</v>
      </c>
    </row>
    <row r="201" spans="1:17" ht="15.75">
      <c r="A201" s="843" t="s">
        <v>696</v>
      </c>
      <c r="B201" s="843" t="s">
        <v>1290</v>
      </c>
      <c r="C201" s="843" t="str">
        <f>Financeiros!C63</f>
        <v>CVE - Encargos - PROINFA</v>
      </c>
      <c r="D201" s="843">
        <v>2</v>
      </c>
      <c r="E201" s="843">
        <v>2</v>
      </c>
      <c r="F201" s="843">
        <f>Financeiros!H63</f>
        <v>22</v>
      </c>
      <c r="G201" s="843">
        <f>Financeiros!I63</f>
        <v>60</v>
      </c>
      <c r="H201" s="843">
        <f>Financeiros!J63</f>
        <v>241</v>
      </c>
      <c r="I201" s="843">
        <f>Financeiros!K63</f>
        <v>3</v>
      </c>
      <c r="J201" s="843">
        <f>Financeiros!L63</f>
        <v>18</v>
      </c>
      <c r="K201" s="843">
        <f>Financeiros!M63</f>
        <v>9</v>
      </c>
      <c r="L201" s="843">
        <v>99</v>
      </c>
      <c r="M201" s="843">
        <v>9</v>
      </c>
      <c r="N201" s="843">
        <v>3</v>
      </c>
      <c r="O201" s="843">
        <v>99999</v>
      </c>
      <c r="P201" s="905">
        <f t="shared" si="6"/>
        <v>0</v>
      </c>
      <c r="Q201" s="232">
        <f>Financeiros!D63</f>
        <v>0</v>
      </c>
    </row>
    <row r="202" spans="1:17" ht="15.75">
      <c r="A202" s="843" t="s">
        <v>696</v>
      </c>
      <c r="B202" s="843" t="s">
        <v>1290</v>
      </c>
      <c r="C202" s="843" t="str">
        <f>Financeiros!C64</f>
        <v>CVE - Encargos - CFURH</v>
      </c>
      <c r="D202" s="843">
        <v>2</v>
      </c>
      <c r="E202" s="843">
        <v>2</v>
      </c>
      <c r="F202" s="843">
        <f>Financeiros!H64</f>
        <v>22</v>
      </c>
      <c r="G202" s="843">
        <f>Financeiros!I64</f>
        <v>60</v>
      </c>
      <c r="H202" s="843">
        <f>Financeiros!J64</f>
        <v>241</v>
      </c>
      <c r="I202" s="843">
        <f>Financeiros!K64</f>
        <v>3</v>
      </c>
      <c r="J202" s="843">
        <f>Financeiros!L64</f>
        <v>16</v>
      </c>
      <c r="K202" s="843">
        <f>Financeiros!M64</f>
        <v>9</v>
      </c>
      <c r="L202" s="843">
        <v>99</v>
      </c>
      <c r="M202" s="843">
        <v>9</v>
      </c>
      <c r="N202" s="843">
        <v>3</v>
      </c>
      <c r="O202" s="843">
        <v>99999</v>
      </c>
      <c r="P202" s="905">
        <f t="shared" si="6"/>
        <v>0</v>
      </c>
      <c r="Q202" s="232">
        <f>Financeiros!D64</f>
        <v>0</v>
      </c>
    </row>
    <row r="203" spans="1:17" ht="15.75">
      <c r="A203" s="843" t="s">
        <v>696</v>
      </c>
      <c r="B203" s="843" t="s">
        <v>1290</v>
      </c>
      <c r="C203" s="843" t="str">
        <f>Financeiros!C65</f>
        <v>CVE - Encargos - ESS/EER</v>
      </c>
      <c r="D203" s="843">
        <v>2</v>
      </c>
      <c r="E203" s="843">
        <v>2</v>
      </c>
      <c r="F203" s="843">
        <f>Financeiros!H65</f>
        <v>22</v>
      </c>
      <c r="G203" s="843">
        <f>Financeiros!I65</f>
        <v>60</v>
      </c>
      <c r="H203" s="843">
        <f>Financeiros!J65</f>
        <v>241</v>
      </c>
      <c r="I203" s="843">
        <f>Financeiros!K65</f>
        <v>3</v>
      </c>
      <c r="J203" s="843">
        <f>Financeiros!L65</f>
        <v>17</v>
      </c>
      <c r="K203" s="843">
        <f>Financeiros!M65</f>
        <v>9</v>
      </c>
      <c r="L203" s="843">
        <v>99</v>
      </c>
      <c r="M203" s="843">
        <v>9</v>
      </c>
      <c r="N203" s="843">
        <v>3</v>
      </c>
      <c r="O203" s="843">
        <v>99999</v>
      </c>
      <c r="P203" s="905">
        <f t="shared" si="6"/>
        <v>0</v>
      </c>
      <c r="Q203" s="232">
        <f>Financeiros!D65</f>
        <v>0</v>
      </c>
    </row>
    <row r="204" spans="1:17" ht="15.75">
      <c r="A204" s="843" t="s">
        <v>696</v>
      </c>
      <c r="B204" s="843" t="s">
        <v>1290</v>
      </c>
      <c r="C204" s="843" t="str">
        <f>Financeiros!C66</f>
        <v>Conta Escassez H. - Importação julho- agosto/2021 - RTA 2022 - Energia de Revenda</v>
      </c>
      <c r="D204" s="843">
        <v>2</v>
      </c>
      <c r="E204" s="843">
        <v>2</v>
      </c>
      <c r="F204" s="843">
        <f>Financeiros!H66</f>
        <v>22</v>
      </c>
      <c r="G204" s="843">
        <f>Financeiros!I66</f>
        <v>60</v>
      </c>
      <c r="H204" s="843">
        <f>Financeiros!J66</f>
        <v>240</v>
      </c>
      <c r="I204" s="843">
        <f>Financeiros!K66</f>
        <v>2</v>
      </c>
      <c r="J204" s="843">
        <f>Financeiros!L66</f>
        <v>11</v>
      </c>
      <c r="K204" s="843">
        <f>Financeiros!M66</f>
        <v>9</v>
      </c>
      <c r="L204" s="843">
        <v>99</v>
      </c>
      <c r="M204" s="843">
        <v>9</v>
      </c>
      <c r="N204" s="843">
        <v>3</v>
      </c>
      <c r="O204" s="843">
        <v>99999</v>
      </c>
      <c r="P204" s="905">
        <f t="shared" ca="1" si="6"/>
        <v>0</v>
      </c>
      <c r="Q204" s="232">
        <f ca="1">Financeiros!D66</f>
        <v>0</v>
      </c>
    </row>
    <row r="205" spans="1:17" ht="15.75">
      <c r="A205" s="843" t="s">
        <v>696</v>
      </c>
      <c r="B205" s="843" t="s">
        <v>1290</v>
      </c>
      <c r="C205" s="843" t="str">
        <f>Financeiros!C67</f>
        <v>Conta Escassez H. - Importação julho- agosto/2021 - RTA 2022 - Perda Não Técnica</v>
      </c>
      <c r="D205" s="843">
        <v>2</v>
      </c>
      <c r="E205" s="843">
        <v>2</v>
      </c>
      <c r="F205" s="843">
        <f>Financeiros!H67</f>
        <v>22</v>
      </c>
      <c r="G205" s="843">
        <f>Financeiros!I67</f>
        <v>60</v>
      </c>
      <c r="H205" s="843">
        <f>Financeiros!J67</f>
        <v>240</v>
      </c>
      <c r="I205" s="843">
        <f>Financeiros!K67</f>
        <v>2</v>
      </c>
      <c r="J205" s="843">
        <f>Financeiros!L67</f>
        <v>9</v>
      </c>
      <c r="K205" s="843">
        <f>Financeiros!M67</f>
        <v>9</v>
      </c>
      <c r="L205" s="843">
        <v>99</v>
      </c>
      <c r="M205" s="843">
        <v>9</v>
      </c>
      <c r="N205" s="843">
        <v>3</v>
      </c>
      <c r="O205" s="843">
        <v>99999</v>
      </c>
      <c r="P205" s="905">
        <f t="shared" ca="1" si="6"/>
        <v>0</v>
      </c>
      <c r="Q205" s="232">
        <f ca="1">Financeiros!D67</f>
        <v>0</v>
      </c>
    </row>
    <row r="206" spans="1:17" ht="15.75">
      <c r="A206" s="843" t="s">
        <v>696</v>
      </c>
      <c r="B206" s="843" t="s">
        <v>1290</v>
      </c>
      <c r="C206" s="843" t="str">
        <f>Financeiros!C68</f>
        <v>Conta Escassez H. - Importação julho- agosto/2021 - RTA 2022 - Perda Técnica</v>
      </c>
      <c r="D206" s="843">
        <v>2</v>
      </c>
      <c r="E206" s="843">
        <v>2</v>
      </c>
      <c r="F206" s="843">
        <f>Financeiros!H68</f>
        <v>22</v>
      </c>
      <c r="G206" s="843">
        <f>Financeiros!I68</f>
        <v>60</v>
      </c>
      <c r="H206" s="843">
        <f>Financeiros!J68</f>
        <v>240</v>
      </c>
      <c r="I206" s="843">
        <f>Financeiros!K68</f>
        <v>2</v>
      </c>
      <c r="J206" s="843">
        <f>Financeiros!L68</f>
        <v>8</v>
      </c>
      <c r="K206" s="843">
        <f>Financeiros!M68</f>
        <v>9</v>
      </c>
      <c r="L206" s="843">
        <v>99</v>
      </c>
      <c r="M206" s="843">
        <v>9</v>
      </c>
      <c r="N206" s="843">
        <v>3</v>
      </c>
      <c r="O206" s="843">
        <v>99999</v>
      </c>
      <c r="P206" s="905">
        <f t="shared" ca="1" si="6"/>
        <v>0</v>
      </c>
      <c r="Q206" s="232">
        <f ca="1">Financeiros!D68</f>
        <v>0</v>
      </c>
    </row>
    <row r="207" spans="1:17" ht="15.75">
      <c r="A207" s="843" t="s">
        <v>696</v>
      </c>
      <c r="B207" s="843" t="s">
        <v>1290</v>
      </c>
      <c r="C207" s="843" t="str">
        <f>Financeiros!C69</f>
        <v>Conta Escassez H. - Importação julho- agosto/2021 - RTA 2022 - Perda RB Perda RB sobre Dist.</v>
      </c>
      <c r="D207" s="843">
        <v>2</v>
      </c>
      <c r="E207" s="843">
        <v>2</v>
      </c>
      <c r="F207" s="843">
        <f>Financeiros!H69</f>
        <v>22</v>
      </c>
      <c r="G207" s="843">
        <f>Financeiros!I69</f>
        <v>60</v>
      </c>
      <c r="H207" s="843">
        <f>Financeiros!J69</f>
        <v>240</v>
      </c>
      <c r="I207" s="843">
        <f>Financeiros!K69</f>
        <v>2</v>
      </c>
      <c r="J207" s="843">
        <f>Financeiros!L69</f>
        <v>10</v>
      </c>
      <c r="K207" s="843">
        <f>Financeiros!M69</f>
        <v>9</v>
      </c>
      <c r="L207" s="843">
        <v>99</v>
      </c>
      <c r="M207" s="843">
        <v>9</v>
      </c>
      <c r="N207" s="843">
        <v>3</v>
      </c>
      <c r="O207" s="843">
        <v>99999</v>
      </c>
      <c r="P207" s="905">
        <f t="shared" ca="1" si="6"/>
        <v>0</v>
      </c>
      <c r="Q207" s="232">
        <f ca="1">Financeiros!D69</f>
        <v>0</v>
      </c>
    </row>
    <row r="208" spans="1:17" ht="15.75">
      <c r="A208" s="843" t="s">
        <v>696</v>
      </c>
      <c r="B208" s="843" t="s">
        <v>1290</v>
      </c>
      <c r="C208" s="843" t="str">
        <f>Financeiros!C70</f>
        <v>Conta Escassez H. - Importação julho- agosto/2021 - RTA 2022 - Perda RB sobre Merc. Cat.</v>
      </c>
      <c r="D208" s="843">
        <v>2</v>
      </c>
      <c r="E208" s="843">
        <v>2</v>
      </c>
      <c r="F208" s="843">
        <f>Financeiros!H70</f>
        <v>22</v>
      </c>
      <c r="G208" s="843">
        <f>Financeiros!I70</f>
        <v>60</v>
      </c>
      <c r="H208" s="843">
        <f>Financeiros!J70</f>
        <v>240</v>
      </c>
      <c r="I208" s="843">
        <f>Financeiros!K70</f>
        <v>2</v>
      </c>
      <c r="J208" s="843">
        <f>Financeiros!L70</f>
        <v>24</v>
      </c>
      <c r="K208" s="843">
        <f>Financeiros!M70</f>
        <v>9</v>
      </c>
      <c r="L208" s="843">
        <v>99</v>
      </c>
      <c r="M208" s="843">
        <v>9</v>
      </c>
      <c r="N208" s="843">
        <v>3</v>
      </c>
      <c r="O208" s="843">
        <v>99999</v>
      </c>
      <c r="P208" s="905">
        <f t="shared" ca="1" si="6"/>
        <v>0</v>
      </c>
      <c r="Q208" s="232">
        <f ca="1">Financeiros!D70</f>
        <v>0</v>
      </c>
    </row>
    <row r="209" spans="1:17" ht="15.75">
      <c r="A209" s="843" t="s">
        <v>696</v>
      </c>
      <c r="B209" s="843" t="s">
        <v>1290</v>
      </c>
      <c r="C209" s="843" t="str">
        <f>Financeiros!C71</f>
        <v>Conta Escassez H. - Bônus Redução Voluntária</v>
      </c>
      <c r="D209" s="843">
        <v>2</v>
      </c>
      <c r="E209" s="843">
        <v>2</v>
      </c>
      <c r="F209" s="843">
        <f>Financeiros!H71</f>
        <v>22</v>
      </c>
      <c r="G209" s="843">
        <f>Financeiros!I71</f>
        <v>60</v>
      </c>
      <c r="H209" s="843">
        <f>Financeiros!J71</f>
        <v>240</v>
      </c>
      <c r="I209" s="843">
        <f>Financeiros!K71</f>
        <v>3</v>
      </c>
      <c r="J209" s="843">
        <f>Financeiros!L71</f>
        <v>17</v>
      </c>
      <c r="K209" s="843">
        <f>Financeiros!M71</f>
        <v>9</v>
      </c>
      <c r="L209" s="843">
        <v>99</v>
      </c>
      <c r="M209" s="843">
        <v>9</v>
      </c>
      <c r="N209" s="843">
        <v>3</v>
      </c>
      <c r="O209" s="843">
        <v>99999</v>
      </c>
      <c r="P209" s="905">
        <f t="shared" si="6"/>
        <v>0</v>
      </c>
      <c r="Q209" s="232">
        <f>Financeiros!D71</f>
        <v>0</v>
      </c>
    </row>
    <row r="210" spans="1:17" ht="15.75">
      <c r="A210" s="843" t="s">
        <v>696</v>
      </c>
      <c r="B210" s="843" t="s">
        <v>1290</v>
      </c>
      <c r="C210" s="843" t="str">
        <f>Financeiros!C72</f>
        <v>Conta Escassez H. - Diferimento de energia - RTA 2022 - Energia de Revenda</v>
      </c>
      <c r="D210" s="843">
        <v>2</v>
      </c>
      <c r="E210" s="843">
        <v>2</v>
      </c>
      <c r="F210" s="843">
        <f>Financeiros!H72</f>
        <v>22</v>
      </c>
      <c r="G210" s="843">
        <f>Financeiros!I72</f>
        <v>60</v>
      </c>
      <c r="H210" s="843">
        <f>Financeiros!J72</f>
        <v>240</v>
      </c>
      <c r="I210" s="843">
        <f>Financeiros!K72</f>
        <v>2</v>
      </c>
      <c r="J210" s="843">
        <f>Financeiros!L72</f>
        <v>11</v>
      </c>
      <c r="K210" s="843">
        <f>Financeiros!M72</f>
        <v>9</v>
      </c>
      <c r="L210" s="843">
        <v>99</v>
      </c>
      <c r="M210" s="843">
        <v>9</v>
      </c>
      <c r="N210" s="843">
        <v>3</v>
      </c>
      <c r="O210" s="843">
        <v>99999</v>
      </c>
      <c r="P210" s="905">
        <f t="shared" ca="1" si="6"/>
        <v>0</v>
      </c>
      <c r="Q210" s="232">
        <f ca="1">Financeiros!D72</f>
        <v>0</v>
      </c>
    </row>
    <row r="211" spans="1:17" ht="15.75">
      <c r="A211" s="843" t="s">
        <v>696</v>
      </c>
      <c r="B211" s="843" t="s">
        <v>1290</v>
      </c>
      <c r="C211" s="843" t="str">
        <f>Financeiros!C73</f>
        <v>Conta Escassez H. - Diferimento de energia - RTA 2022 - Perda Não Técnica</v>
      </c>
      <c r="D211" s="843">
        <v>2</v>
      </c>
      <c r="E211" s="843">
        <v>2</v>
      </c>
      <c r="F211" s="843">
        <f>Financeiros!H73</f>
        <v>22</v>
      </c>
      <c r="G211" s="843">
        <f>Financeiros!I73</f>
        <v>60</v>
      </c>
      <c r="H211" s="843">
        <f>Financeiros!J73</f>
        <v>240</v>
      </c>
      <c r="I211" s="843">
        <f>Financeiros!K73</f>
        <v>2</v>
      </c>
      <c r="J211" s="843">
        <f>Financeiros!L73</f>
        <v>9</v>
      </c>
      <c r="K211" s="843">
        <f>Financeiros!M73</f>
        <v>9</v>
      </c>
      <c r="L211" s="843">
        <v>99</v>
      </c>
      <c r="M211" s="843">
        <v>9</v>
      </c>
      <c r="N211" s="843">
        <v>3</v>
      </c>
      <c r="O211" s="843">
        <v>99999</v>
      </c>
      <c r="P211" s="905">
        <f t="shared" ca="1" si="6"/>
        <v>0</v>
      </c>
      <c r="Q211" s="232">
        <f ca="1">Financeiros!D73</f>
        <v>0</v>
      </c>
    </row>
    <row r="212" spans="1:17" ht="15.75">
      <c r="A212" s="843" t="s">
        <v>696</v>
      </c>
      <c r="B212" s="843" t="s">
        <v>1290</v>
      </c>
      <c r="C212" s="843" t="str">
        <f>Financeiros!C74</f>
        <v>Conta Escassez H. - Diferimento de energia - RTA 2022 - Perda Técnica</v>
      </c>
      <c r="D212" s="843">
        <v>2</v>
      </c>
      <c r="E212" s="843">
        <v>2</v>
      </c>
      <c r="F212" s="843">
        <f>Financeiros!H74</f>
        <v>22</v>
      </c>
      <c r="G212" s="843">
        <f>Financeiros!I74</f>
        <v>60</v>
      </c>
      <c r="H212" s="843">
        <f>Financeiros!J74</f>
        <v>240</v>
      </c>
      <c r="I212" s="843">
        <f>Financeiros!K74</f>
        <v>2</v>
      </c>
      <c r="J212" s="843">
        <f>Financeiros!L74</f>
        <v>8</v>
      </c>
      <c r="K212" s="843">
        <f>Financeiros!M74</f>
        <v>9</v>
      </c>
      <c r="L212" s="843">
        <v>99</v>
      </c>
      <c r="M212" s="843">
        <v>9</v>
      </c>
      <c r="N212" s="843">
        <v>3</v>
      </c>
      <c r="O212" s="843">
        <v>99999</v>
      </c>
      <c r="P212" s="905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3" t="s">
        <v>696</v>
      </c>
      <c r="B213" s="843" t="s">
        <v>1290</v>
      </c>
      <c r="C213" s="843" t="str">
        <f>Financeiros!C75</f>
        <v>Conta Escassez H. - Diferimento de energia - RTA 2022 - Perda RB Perda RB sobre Dist.</v>
      </c>
      <c r="D213" s="843">
        <v>2</v>
      </c>
      <c r="E213" s="843">
        <v>2</v>
      </c>
      <c r="F213" s="843">
        <f>Financeiros!H75</f>
        <v>22</v>
      </c>
      <c r="G213" s="843">
        <f>Financeiros!I75</f>
        <v>60</v>
      </c>
      <c r="H213" s="843">
        <f>Financeiros!J75</f>
        <v>240</v>
      </c>
      <c r="I213" s="843">
        <f>Financeiros!K75</f>
        <v>2</v>
      </c>
      <c r="J213" s="843">
        <f>Financeiros!L75</f>
        <v>10</v>
      </c>
      <c r="K213" s="843">
        <f>Financeiros!M75</f>
        <v>9</v>
      </c>
      <c r="L213" s="843">
        <v>99</v>
      </c>
      <c r="M213" s="843">
        <v>9</v>
      </c>
      <c r="N213" s="843">
        <v>3</v>
      </c>
      <c r="O213" s="843">
        <v>99999</v>
      </c>
      <c r="P213" s="905">
        <f t="shared" ca="1" si="7"/>
        <v>0</v>
      </c>
      <c r="Q213" s="232">
        <f ca="1">Financeiros!D75</f>
        <v>0</v>
      </c>
    </row>
    <row r="214" spans="1:17" ht="15.75">
      <c r="A214" s="843" t="s">
        <v>696</v>
      </c>
      <c r="B214" s="843" t="s">
        <v>1290</v>
      </c>
      <c r="C214" s="843" t="str">
        <f>Financeiros!C76</f>
        <v>Conta Escassez H. - Diferimento de energia - RTA 2022 - Perda RB sobre Merc. Cat.</v>
      </c>
      <c r="D214" s="843">
        <v>2</v>
      </c>
      <c r="E214" s="843">
        <v>2</v>
      </c>
      <c r="F214" s="843">
        <f>Financeiros!H76</f>
        <v>22</v>
      </c>
      <c r="G214" s="843">
        <f>Financeiros!I76</f>
        <v>60</v>
      </c>
      <c r="H214" s="843">
        <f>Financeiros!J76</f>
        <v>240</v>
      </c>
      <c r="I214" s="843">
        <f>Financeiros!K76</f>
        <v>2</v>
      </c>
      <c r="J214" s="843">
        <f>Financeiros!L76</f>
        <v>24</v>
      </c>
      <c r="K214" s="843">
        <f>Financeiros!M76</f>
        <v>9</v>
      </c>
      <c r="L214" s="843">
        <v>99</v>
      </c>
      <c r="M214" s="843">
        <v>9</v>
      </c>
      <c r="N214" s="843">
        <v>3</v>
      </c>
      <c r="O214" s="843">
        <v>99999</v>
      </c>
      <c r="P214" s="905">
        <f t="shared" ca="1" si="7"/>
        <v>0</v>
      </c>
      <c r="Q214" s="232">
        <f ca="1">Financeiros!D76</f>
        <v>0</v>
      </c>
    </row>
    <row r="215" spans="1:17" ht="15.75">
      <c r="A215" s="843" t="s">
        <v>696</v>
      </c>
      <c r="B215" s="843" t="s">
        <v>1290</v>
      </c>
      <c r="C215" s="843" t="str">
        <f>Financeiros!C77</f>
        <v>Sobrecontratação/Exposição de Energia - Energia de Revenda</v>
      </c>
      <c r="D215" s="843">
        <v>2</v>
      </c>
      <c r="E215" s="843">
        <v>2</v>
      </c>
      <c r="F215" s="843">
        <f>Financeiros!H77</f>
        <v>22</v>
      </c>
      <c r="G215" s="843">
        <f>Financeiros!I77</f>
        <v>60</v>
      </c>
      <c r="H215" s="843">
        <f>Financeiros!J77</f>
        <v>106</v>
      </c>
      <c r="I215" s="843">
        <f>Financeiros!K77</f>
        <v>2</v>
      </c>
      <c r="J215" s="843">
        <f>Financeiros!L77</f>
        <v>11</v>
      </c>
      <c r="K215" s="843">
        <f>Financeiros!M77</f>
        <v>9</v>
      </c>
      <c r="L215" s="843">
        <v>99</v>
      </c>
      <c r="M215" s="843">
        <v>9</v>
      </c>
      <c r="N215" s="843">
        <v>3</v>
      </c>
      <c r="O215" s="843">
        <v>99999</v>
      </c>
      <c r="P215" s="905">
        <f t="shared" ca="1" si="7"/>
        <v>0</v>
      </c>
      <c r="Q215" s="232">
        <f ca="1">Financeiros!D77</f>
        <v>0</v>
      </c>
    </row>
    <row r="216" spans="1:17" ht="15.75">
      <c r="A216" s="843" t="s">
        <v>696</v>
      </c>
      <c r="B216" s="843" t="s">
        <v>1290</v>
      </c>
      <c r="C216" s="843" t="str">
        <f>Financeiros!C78</f>
        <v>Sobrecontratação/Exposição de Energia - Perda Não Técnica</v>
      </c>
      <c r="D216" s="843">
        <v>2</v>
      </c>
      <c r="E216" s="843">
        <v>2</v>
      </c>
      <c r="F216" s="843">
        <f>Financeiros!H78</f>
        <v>22</v>
      </c>
      <c r="G216" s="843">
        <f>Financeiros!I78</f>
        <v>60</v>
      </c>
      <c r="H216" s="843">
        <f>Financeiros!J78</f>
        <v>106</v>
      </c>
      <c r="I216" s="843">
        <f>Financeiros!K78</f>
        <v>2</v>
      </c>
      <c r="J216" s="843">
        <f>Financeiros!L78</f>
        <v>9</v>
      </c>
      <c r="K216" s="843">
        <f>Financeiros!M78</f>
        <v>9</v>
      </c>
      <c r="L216" s="843">
        <v>99</v>
      </c>
      <c r="M216" s="843">
        <v>9</v>
      </c>
      <c r="N216" s="843">
        <v>3</v>
      </c>
      <c r="O216" s="843">
        <v>99999</v>
      </c>
      <c r="P216" s="905">
        <f t="shared" ca="1" si="7"/>
        <v>0</v>
      </c>
      <c r="Q216" s="232">
        <f ca="1">Financeiros!D78</f>
        <v>0</v>
      </c>
    </row>
    <row r="217" spans="1:17" ht="15.75">
      <c r="A217" s="843" t="s">
        <v>696</v>
      </c>
      <c r="B217" s="843" t="s">
        <v>1290</v>
      </c>
      <c r="C217" s="843" t="str">
        <f>Financeiros!C79</f>
        <v>Sobrecontratação/Exposição de Energia - Perda Técnica</v>
      </c>
      <c r="D217" s="843">
        <v>2</v>
      </c>
      <c r="E217" s="843">
        <v>2</v>
      </c>
      <c r="F217" s="843">
        <f>Financeiros!H79</f>
        <v>22</v>
      </c>
      <c r="G217" s="843">
        <f>Financeiros!I79</f>
        <v>60</v>
      </c>
      <c r="H217" s="843">
        <f>Financeiros!J79</f>
        <v>106</v>
      </c>
      <c r="I217" s="843">
        <f>Financeiros!K79</f>
        <v>2</v>
      </c>
      <c r="J217" s="843">
        <f>Financeiros!L79</f>
        <v>8</v>
      </c>
      <c r="K217" s="843">
        <f>Financeiros!M79</f>
        <v>9</v>
      </c>
      <c r="L217" s="843">
        <v>99</v>
      </c>
      <c r="M217" s="843">
        <v>9</v>
      </c>
      <c r="N217" s="843">
        <v>3</v>
      </c>
      <c r="O217" s="843">
        <v>99999</v>
      </c>
      <c r="P217" s="905">
        <f t="shared" ca="1" si="7"/>
        <v>0</v>
      </c>
      <c r="Q217" s="232">
        <f ca="1">Financeiros!D79</f>
        <v>0</v>
      </c>
    </row>
    <row r="218" spans="1:17" ht="15.75">
      <c r="A218" s="843" t="s">
        <v>696</v>
      </c>
      <c r="B218" s="843" t="s">
        <v>1290</v>
      </c>
      <c r="C218" s="843" t="str">
        <f>Financeiros!C80</f>
        <v>Sobrecontratação/Exposição de Energia - Perda Rede Básica sobre Dist.</v>
      </c>
      <c r="D218" s="843">
        <v>2</v>
      </c>
      <c r="E218" s="843">
        <v>2</v>
      </c>
      <c r="F218" s="843">
        <f>Financeiros!H80</f>
        <v>22</v>
      </c>
      <c r="G218" s="843">
        <f>Financeiros!I80</f>
        <v>60</v>
      </c>
      <c r="H218" s="843">
        <f>Financeiros!J80</f>
        <v>106</v>
      </c>
      <c r="I218" s="843">
        <f>Financeiros!K80</f>
        <v>2</v>
      </c>
      <c r="J218" s="843">
        <f>Financeiros!L80</f>
        <v>10</v>
      </c>
      <c r="K218" s="843">
        <f>Financeiros!M80</f>
        <v>9</v>
      </c>
      <c r="L218" s="843">
        <v>99</v>
      </c>
      <c r="M218" s="843">
        <v>9</v>
      </c>
      <c r="N218" s="843">
        <v>3</v>
      </c>
      <c r="O218" s="843">
        <v>99999</v>
      </c>
      <c r="P218" s="905">
        <f t="shared" ca="1" si="7"/>
        <v>0</v>
      </c>
      <c r="Q218" s="232">
        <f ca="1">Financeiros!D80</f>
        <v>0</v>
      </c>
    </row>
    <row r="219" spans="1:17" ht="15.75">
      <c r="A219" s="843" t="s">
        <v>696</v>
      </c>
      <c r="B219" s="843" t="s">
        <v>1290</v>
      </c>
      <c r="C219" s="843" t="str">
        <f>Financeiros!C81</f>
        <v>Sobrecontratação/Exposição de Energia - Perda Rede Básica sobre mercado Cat.</v>
      </c>
      <c r="D219" s="843">
        <v>2</v>
      </c>
      <c r="E219" s="843">
        <v>2</v>
      </c>
      <c r="F219" s="843">
        <f>Financeiros!H81</f>
        <v>22</v>
      </c>
      <c r="G219" s="843">
        <f>Financeiros!I81</f>
        <v>60</v>
      </c>
      <c r="H219" s="843">
        <f>Financeiros!J81</f>
        <v>106</v>
      </c>
      <c r="I219" s="843">
        <f>Financeiros!K81</f>
        <v>2</v>
      </c>
      <c r="J219" s="843">
        <f>Financeiros!L81</f>
        <v>24</v>
      </c>
      <c r="K219" s="843">
        <f>Financeiros!M81</f>
        <v>9</v>
      </c>
      <c r="L219" s="843">
        <v>99</v>
      </c>
      <c r="M219" s="843">
        <v>9</v>
      </c>
      <c r="N219" s="843">
        <v>3</v>
      </c>
      <c r="O219" s="843">
        <v>99999</v>
      </c>
      <c r="P219" s="905">
        <f t="shared" ca="1" si="7"/>
        <v>0</v>
      </c>
      <c r="Q219" s="232">
        <f ca="1">Financeiros!D81</f>
        <v>0</v>
      </c>
    </row>
    <row r="220" spans="1:17" ht="15.75">
      <c r="A220" s="843" t="s">
        <v>696</v>
      </c>
      <c r="B220" s="843" t="s">
        <v>1290</v>
      </c>
      <c r="C220" s="843" t="str">
        <f>Financeiros!C82</f>
        <v>Reversão de Risco Hidrológico - Energia de Revenda</v>
      </c>
      <c r="D220" s="843">
        <v>2</v>
      </c>
      <c r="E220" s="843">
        <v>2</v>
      </c>
      <c r="F220" s="843">
        <f>Financeiros!H82</f>
        <v>22</v>
      </c>
      <c r="G220" s="843">
        <f>Financeiros!I82</f>
        <v>62</v>
      </c>
      <c r="H220" s="843">
        <f>Financeiros!J82</f>
        <v>220</v>
      </c>
      <c r="I220" s="843">
        <f>Financeiros!K82</f>
        <v>2</v>
      </c>
      <c r="J220" s="843">
        <f>Financeiros!L82</f>
        <v>11</v>
      </c>
      <c r="K220" s="843">
        <f>Financeiros!M82</f>
        <v>9</v>
      </c>
      <c r="L220" s="843">
        <v>99</v>
      </c>
      <c r="M220" s="843">
        <v>9</v>
      </c>
      <c r="N220" s="843">
        <v>3</v>
      </c>
      <c r="O220" s="843">
        <v>99999</v>
      </c>
      <c r="P220" s="905">
        <f t="shared" ca="1" si="7"/>
        <v>0</v>
      </c>
      <c r="Q220" s="232">
        <f ca="1">Financeiros!D82</f>
        <v>0</v>
      </c>
    </row>
    <row r="221" spans="1:17" ht="15.75">
      <c r="A221" s="843" t="s">
        <v>696</v>
      </c>
      <c r="B221" s="843" t="s">
        <v>1290</v>
      </c>
      <c r="C221" s="843" t="str">
        <f>Financeiros!C83</f>
        <v>Reversão de Risco Hidrológico - Perda Não Técnica</v>
      </c>
      <c r="D221" s="843">
        <v>2</v>
      </c>
      <c r="E221" s="843">
        <v>2</v>
      </c>
      <c r="F221" s="843">
        <f>Financeiros!H83</f>
        <v>22</v>
      </c>
      <c r="G221" s="843">
        <f>Financeiros!I83</f>
        <v>62</v>
      </c>
      <c r="H221" s="843">
        <f>Financeiros!J83</f>
        <v>220</v>
      </c>
      <c r="I221" s="843">
        <f>Financeiros!K83</f>
        <v>2</v>
      </c>
      <c r="J221" s="843">
        <f>Financeiros!L83</f>
        <v>9</v>
      </c>
      <c r="K221" s="843">
        <f>Financeiros!M83</f>
        <v>9</v>
      </c>
      <c r="L221" s="843">
        <v>99</v>
      </c>
      <c r="M221" s="843">
        <v>9</v>
      </c>
      <c r="N221" s="843">
        <v>3</v>
      </c>
      <c r="O221" s="843">
        <v>99999</v>
      </c>
      <c r="P221" s="905">
        <f t="shared" ca="1" si="7"/>
        <v>0</v>
      </c>
      <c r="Q221" s="232">
        <f ca="1">Financeiros!D83</f>
        <v>0</v>
      </c>
    </row>
    <row r="222" spans="1:17" ht="15.75">
      <c r="A222" s="843" t="s">
        <v>696</v>
      </c>
      <c r="B222" s="843" t="s">
        <v>1290</v>
      </c>
      <c r="C222" s="843" t="str">
        <f>Financeiros!C84</f>
        <v>Reversão de Risco Hidrológico - Perda Técnica</v>
      </c>
      <c r="D222" s="843">
        <v>2</v>
      </c>
      <c r="E222" s="843">
        <v>2</v>
      </c>
      <c r="F222" s="843">
        <f>Financeiros!H84</f>
        <v>22</v>
      </c>
      <c r="G222" s="843">
        <f>Financeiros!I84</f>
        <v>62</v>
      </c>
      <c r="H222" s="843">
        <f>Financeiros!J84</f>
        <v>220</v>
      </c>
      <c r="I222" s="843">
        <f>Financeiros!K84</f>
        <v>2</v>
      </c>
      <c r="J222" s="843">
        <f>Financeiros!L84</f>
        <v>8</v>
      </c>
      <c r="K222" s="843">
        <f>Financeiros!M84</f>
        <v>9</v>
      </c>
      <c r="L222" s="843">
        <v>99</v>
      </c>
      <c r="M222" s="843">
        <v>9</v>
      </c>
      <c r="N222" s="843">
        <v>3</v>
      </c>
      <c r="O222" s="843">
        <v>99999</v>
      </c>
      <c r="P222" s="905">
        <f t="shared" ca="1" si="7"/>
        <v>0</v>
      </c>
      <c r="Q222" s="232">
        <f ca="1">Financeiros!D84</f>
        <v>0</v>
      </c>
    </row>
    <row r="223" spans="1:17" ht="15.75">
      <c r="A223" s="843" t="s">
        <v>696</v>
      </c>
      <c r="B223" s="843" t="s">
        <v>1290</v>
      </c>
      <c r="C223" s="843" t="str">
        <f>Financeiros!C85</f>
        <v>Reversão de Risco Hidrológico - Perda Rede Básica sobre Dist.</v>
      </c>
      <c r="D223" s="843">
        <v>2</v>
      </c>
      <c r="E223" s="843">
        <v>2</v>
      </c>
      <c r="F223" s="843">
        <f>Financeiros!H85</f>
        <v>22</v>
      </c>
      <c r="G223" s="843">
        <f>Financeiros!I85</f>
        <v>62</v>
      </c>
      <c r="H223" s="843">
        <f>Financeiros!J85</f>
        <v>220</v>
      </c>
      <c r="I223" s="843">
        <f>Financeiros!K85</f>
        <v>2</v>
      </c>
      <c r="J223" s="843">
        <f>Financeiros!L85</f>
        <v>10</v>
      </c>
      <c r="K223" s="843">
        <f>Financeiros!M85</f>
        <v>9</v>
      </c>
      <c r="L223" s="843">
        <v>99</v>
      </c>
      <c r="M223" s="843">
        <v>9</v>
      </c>
      <c r="N223" s="843">
        <v>3</v>
      </c>
      <c r="O223" s="843">
        <v>99999</v>
      </c>
      <c r="P223" s="905">
        <f t="shared" ca="1" si="7"/>
        <v>0</v>
      </c>
      <c r="Q223" s="232">
        <f ca="1">Financeiros!D85</f>
        <v>0</v>
      </c>
    </row>
    <row r="224" spans="1:17" ht="15.75">
      <c r="A224" s="843" t="s">
        <v>696</v>
      </c>
      <c r="B224" s="843" t="s">
        <v>1290</v>
      </c>
      <c r="C224" s="843" t="str">
        <f>Financeiros!C86</f>
        <v>Reversão de Risco Hidrológico - Perda Rede Básica sobre mercado Cat.</v>
      </c>
      <c r="D224" s="843">
        <v>2</v>
      </c>
      <c r="E224" s="843">
        <v>2</v>
      </c>
      <c r="F224" s="843">
        <f>Financeiros!H86</f>
        <v>22</v>
      </c>
      <c r="G224" s="843">
        <f>Financeiros!I86</f>
        <v>62</v>
      </c>
      <c r="H224" s="843">
        <f>Financeiros!J86</f>
        <v>220</v>
      </c>
      <c r="I224" s="843">
        <f>Financeiros!K86</f>
        <v>2</v>
      </c>
      <c r="J224" s="843">
        <f>Financeiros!L86</f>
        <v>24</v>
      </c>
      <c r="K224" s="843">
        <f>Financeiros!M86</f>
        <v>9</v>
      </c>
      <c r="L224" s="843">
        <v>99</v>
      </c>
      <c r="M224" s="843">
        <v>9</v>
      </c>
      <c r="N224" s="843">
        <v>3</v>
      </c>
      <c r="O224" s="843">
        <v>99999</v>
      </c>
      <c r="P224" s="905">
        <f t="shared" ca="1" si="7"/>
        <v>0</v>
      </c>
      <c r="Q224" s="232">
        <f ca="1">Financeiros!D86</f>
        <v>0</v>
      </c>
    </row>
    <row r="225" spans="1:17" ht="15.75">
      <c r="A225" s="843" t="s">
        <v>696</v>
      </c>
      <c r="B225" s="843" t="s">
        <v>1290</v>
      </c>
      <c r="C225" s="843" t="str">
        <f>Financeiros!C87</f>
        <v>Previsão de Risco Hidrologico - Energia de Revenda</v>
      </c>
      <c r="D225" s="843">
        <v>2</v>
      </c>
      <c r="E225" s="843">
        <v>2</v>
      </c>
      <c r="F225" s="843">
        <f>Financeiros!H87</f>
        <v>22</v>
      </c>
      <c r="G225" s="843">
        <f>Financeiros!I87</f>
        <v>60</v>
      </c>
      <c r="H225" s="843">
        <f>Financeiros!J87</f>
        <v>220</v>
      </c>
      <c r="I225" s="843">
        <f>Financeiros!K87</f>
        <v>2</v>
      </c>
      <c r="J225" s="843">
        <f>Financeiros!L87</f>
        <v>11</v>
      </c>
      <c r="K225" s="843">
        <f>Financeiros!M87</f>
        <v>9</v>
      </c>
      <c r="L225" s="843">
        <v>99</v>
      </c>
      <c r="M225" s="843">
        <v>9</v>
      </c>
      <c r="N225" s="843">
        <v>3</v>
      </c>
      <c r="O225" s="843">
        <v>99999</v>
      </c>
      <c r="P225" s="905">
        <f t="shared" ca="1" si="7"/>
        <v>0</v>
      </c>
      <c r="Q225" s="232">
        <f ca="1">Financeiros!D87</f>
        <v>0</v>
      </c>
    </row>
    <row r="226" spans="1:17" ht="15.75">
      <c r="A226" s="843" t="s">
        <v>696</v>
      </c>
      <c r="B226" s="843" t="s">
        <v>1290</v>
      </c>
      <c r="C226" s="843" t="str">
        <f>Financeiros!C88</f>
        <v>Previsão de Risco Hidrologico - Perda Não Técnica</v>
      </c>
      <c r="D226" s="843">
        <v>2</v>
      </c>
      <c r="E226" s="843">
        <v>2</v>
      </c>
      <c r="F226" s="843">
        <f>Financeiros!H88</f>
        <v>22</v>
      </c>
      <c r="G226" s="843">
        <f>Financeiros!I88</f>
        <v>60</v>
      </c>
      <c r="H226" s="843">
        <f>Financeiros!J88</f>
        <v>220</v>
      </c>
      <c r="I226" s="843">
        <f>Financeiros!K88</f>
        <v>2</v>
      </c>
      <c r="J226" s="843">
        <f>Financeiros!L88</f>
        <v>9</v>
      </c>
      <c r="K226" s="843">
        <f>Financeiros!M88</f>
        <v>9</v>
      </c>
      <c r="L226" s="843">
        <v>99</v>
      </c>
      <c r="M226" s="843">
        <v>9</v>
      </c>
      <c r="N226" s="843">
        <v>3</v>
      </c>
      <c r="O226" s="843">
        <v>99999</v>
      </c>
      <c r="P226" s="905">
        <f t="shared" ca="1" si="7"/>
        <v>0</v>
      </c>
      <c r="Q226" s="232">
        <f ca="1">Financeiros!D88</f>
        <v>0</v>
      </c>
    </row>
    <row r="227" spans="1:17" ht="15.75">
      <c r="A227" s="843" t="s">
        <v>696</v>
      </c>
      <c r="B227" s="843" t="s">
        <v>1290</v>
      </c>
      <c r="C227" s="843" t="str">
        <f>Financeiros!C89</f>
        <v>Previsão de Risco Hidrologico - Perda Técnica</v>
      </c>
      <c r="D227" s="843">
        <v>2</v>
      </c>
      <c r="E227" s="843">
        <v>2</v>
      </c>
      <c r="F227" s="843">
        <f>Financeiros!H89</f>
        <v>22</v>
      </c>
      <c r="G227" s="843">
        <f>Financeiros!I89</f>
        <v>60</v>
      </c>
      <c r="H227" s="843">
        <f>Financeiros!J89</f>
        <v>220</v>
      </c>
      <c r="I227" s="843">
        <f>Financeiros!K89</f>
        <v>2</v>
      </c>
      <c r="J227" s="843">
        <f>Financeiros!L89</f>
        <v>8</v>
      </c>
      <c r="K227" s="843">
        <f>Financeiros!M89</f>
        <v>9</v>
      </c>
      <c r="L227" s="843">
        <v>99</v>
      </c>
      <c r="M227" s="843">
        <v>9</v>
      </c>
      <c r="N227" s="843">
        <v>3</v>
      </c>
      <c r="O227" s="843">
        <v>99999</v>
      </c>
      <c r="P227" s="905">
        <f t="shared" ca="1" si="7"/>
        <v>0</v>
      </c>
      <c r="Q227" s="232">
        <f ca="1">Financeiros!D89</f>
        <v>0</v>
      </c>
    </row>
    <row r="228" spans="1:17" ht="15.75">
      <c r="A228" s="843" t="s">
        <v>696</v>
      </c>
      <c r="B228" s="843" t="s">
        <v>1290</v>
      </c>
      <c r="C228" s="843" t="str">
        <f>Financeiros!C90</f>
        <v>Previsão de Risco Hidrologico - Perda Rede Básica sobre Dist.</v>
      </c>
      <c r="D228" s="843">
        <v>2</v>
      </c>
      <c r="E228" s="843">
        <v>2</v>
      </c>
      <c r="F228" s="843">
        <f>Financeiros!H90</f>
        <v>22</v>
      </c>
      <c r="G228" s="843">
        <f>Financeiros!I90</f>
        <v>60</v>
      </c>
      <c r="H228" s="843">
        <f>Financeiros!J90</f>
        <v>220</v>
      </c>
      <c r="I228" s="843">
        <f>Financeiros!K90</f>
        <v>2</v>
      </c>
      <c r="J228" s="843">
        <f>Financeiros!L90</f>
        <v>10</v>
      </c>
      <c r="K228" s="843">
        <f>Financeiros!M90</f>
        <v>9</v>
      </c>
      <c r="L228" s="843">
        <v>99</v>
      </c>
      <c r="M228" s="843">
        <v>9</v>
      </c>
      <c r="N228" s="843">
        <v>3</v>
      </c>
      <c r="O228" s="843">
        <v>99999</v>
      </c>
      <c r="P228" s="905">
        <f t="shared" ca="1" si="7"/>
        <v>0</v>
      </c>
      <c r="Q228" s="232">
        <f ca="1">Financeiros!D90</f>
        <v>0</v>
      </c>
    </row>
    <row r="229" spans="1:17" ht="15.75">
      <c r="A229" s="843" t="s">
        <v>696</v>
      </c>
      <c r="B229" s="843" t="s">
        <v>1290</v>
      </c>
      <c r="C229" s="843" t="str">
        <f>Financeiros!C91</f>
        <v>Previsão de Risco Hidrologico - Perda Rede Básica sobre mercado Cat.</v>
      </c>
      <c r="D229" s="843">
        <v>2</v>
      </c>
      <c r="E229" s="843">
        <v>2</v>
      </c>
      <c r="F229" s="843">
        <f>Financeiros!H91</f>
        <v>22</v>
      </c>
      <c r="G229" s="843">
        <f>Financeiros!I91</f>
        <v>60</v>
      </c>
      <c r="H229" s="843">
        <f>Financeiros!J91</f>
        <v>220</v>
      </c>
      <c r="I229" s="843">
        <f>Financeiros!K91</f>
        <v>2</v>
      </c>
      <c r="J229" s="843">
        <f>Financeiros!L91</f>
        <v>24</v>
      </c>
      <c r="K229" s="843">
        <f>Financeiros!M91</f>
        <v>9</v>
      </c>
      <c r="L229" s="843">
        <v>99</v>
      </c>
      <c r="M229" s="843">
        <v>9</v>
      </c>
      <c r="N229" s="843">
        <v>3</v>
      </c>
      <c r="O229" s="843">
        <v>99999</v>
      </c>
      <c r="P229" s="905">
        <f t="shared" ca="1" si="7"/>
        <v>0</v>
      </c>
      <c r="Q229" s="232">
        <f ca="1">Financeiros!D91</f>
        <v>0</v>
      </c>
    </row>
    <row r="230" spans="1:17" ht="15.75">
      <c r="A230" s="843" t="s">
        <v>696</v>
      </c>
      <c r="B230" s="843" t="s">
        <v>1290</v>
      </c>
      <c r="C230" s="843" t="str">
        <f>Financeiros!C92</f>
        <v>Diferimento da Previsão de Risco Hidrologico - Energia de Revenda</v>
      </c>
      <c r="D230" s="843">
        <v>2</v>
      </c>
      <c r="E230" s="843">
        <v>2</v>
      </c>
      <c r="F230" s="843">
        <v>999</v>
      </c>
      <c r="G230" s="843">
        <v>999999</v>
      </c>
      <c r="H230" s="843">
        <v>999</v>
      </c>
      <c r="I230" s="843">
        <v>99</v>
      </c>
      <c r="J230" s="843">
        <v>999</v>
      </c>
      <c r="K230" s="843">
        <v>9</v>
      </c>
      <c r="L230" s="843">
        <v>99</v>
      </c>
      <c r="M230" s="843">
        <v>9</v>
      </c>
      <c r="N230" s="843">
        <v>3</v>
      </c>
      <c r="O230" s="843">
        <v>99999</v>
      </c>
      <c r="P230" s="905">
        <f t="shared" si="7"/>
        <v>0</v>
      </c>
      <c r="Q230" s="232">
        <f>Financeiros!D92</f>
        <v>0</v>
      </c>
    </row>
    <row r="231" spans="1:17" ht="15.75">
      <c r="A231" s="843" t="s">
        <v>696</v>
      </c>
      <c r="B231" s="843" t="s">
        <v>1290</v>
      </c>
      <c r="C231" s="843" t="str">
        <f>Financeiros!C93</f>
        <v>Diferimento da Previsão de Risco Hidrologico - Perda Não Técnica</v>
      </c>
      <c r="D231" s="843">
        <v>2</v>
      </c>
      <c r="E231" s="843">
        <v>2</v>
      </c>
      <c r="F231" s="843">
        <v>999</v>
      </c>
      <c r="G231" s="843">
        <v>999999</v>
      </c>
      <c r="H231" s="843">
        <v>999</v>
      </c>
      <c r="I231" s="843">
        <v>99</v>
      </c>
      <c r="J231" s="843">
        <v>999</v>
      </c>
      <c r="K231" s="843">
        <v>9</v>
      </c>
      <c r="L231" s="843">
        <v>99</v>
      </c>
      <c r="M231" s="843">
        <v>9</v>
      </c>
      <c r="N231" s="843">
        <v>3</v>
      </c>
      <c r="O231" s="843">
        <v>99999</v>
      </c>
      <c r="P231" s="905">
        <f t="shared" si="7"/>
        <v>0</v>
      </c>
      <c r="Q231" s="232">
        <f>Financeiros!D93</f>
        <v>0</v>
      </c>
    </row>
    <row r="232" spans="1:17" ht="15.75">
      <c r="A232" s="843" t="s">
        <v>696</v>
      </c>
      <c r="B232" s="843" t="s">
        <v>1290</v>
      </c>
      <c r="C232" s="843" t="str">
        <f>Financeiros!C94</f>
        <v>Diferimento da Previsão de Risco Hidrologico - Perda Técnica</v>
      </c>
      <c r="D232" s="843">
        <v>2</v>
      </c>
      <c r="E232" s="843">
        <v>2</v>
      </c>
      <c r="F232" s="843">
        <v>999</v>
      </c>
      <c r="G232" s="843">
        <v>999999</v>
      </c>
      <c r="H232" s="843">
        <v>999</v>
      </c>
      <c r="I232" s="843">
        <v>99</v>
      </c>
      <c r="J232" s="843">
        <v>999</v>
      </c>
      <c r="K232" s="843">
        <v>9</v>
      </c>
      <c r="L232" s="843">
        <v>99</v>
      </c>
      <c r="M232" s="843">
        <v>9</v>
      </c>
      <c r="N232" s="843">
        <v>3</v>
      </c>
      <c r="O232" s="843">
        <v>99999</v>
      </c>
      <c r="P232" s="905">
        <f t="shared" si="7"/>
        <v>0</v>
      </c>
      <c r="Q232" s="232">
        <f>Financeiros!D94</f>
        <v>0</v>
      </c>
    </row>
    <row r="233" spans="1:17" ht="15.75">
      <c r="A233" s="843" t="s">
        <v>696</v>
      </c>
      <c r="B233" s="843" t="s">
        <v>1290</v>
      </c>
      <c r="C233" s="843" t="str">
        <f>Financeiros!C95</f>
        <v>Diferimento da Previsão de Risco Hidrologico - Perda Rede Básica sobre Dist.</v>
      </c>
      <c r="D233" s="843">
        <v>2</v>
      </c>
      <c r="E233" s="843">
        <v>2</v>
      </c>
      <c r="F233" s="843">
        <v>999</v>
      </c>
      <c r="G233" s="843">
        <v>999999</v>
      </c>
      <c r="H233" s="843">
        <v>999</v>
      </c>
      <c r="I233" s="843">
        <v>99</v>
      </c>
      <c r="J233" s="843">
        <v>999</v>
      </c>
      <c r="K233" s="843">
        <v>9</v>
      </c>
      <c r="L233" s="843">
        <v>99</v>
      </c>
      <c r="M233" s="843">
        <v>9</v>
      </c>
      <c r="N233" s="843">
        <v>3</v>
      </c>
      <c r="O233" s="843">
        <v>99999</v>
      </c>
      <c r="P233" s="905">
        <f t="shared" si="7"/>
        <v>0</v>
      </c>
      <c r="Q233" s="232">
        <f>Financeiros!D95</f>
        <v>0</v>
      </c>
    </row>
    <row r="234" spans="1:17" ht="15.75">
      <c r="A234" s="843" t="s">
        <v>696</v>
      </c>
      <c r="B234" s="843" t="s">
        <v>1290</v>
      </c>
      <c r="C234" s="843" t="str">
        <f>Financeiros!C96</f>
        <v>Diferimento da Previsão de Risco Hidrologico - Perda Rede Básica sobre mercado Cat.</v>
      </c>
      <c r="D234" s="843">
        <v>2</v>
      </c>
      <c r="E234" s="843">
        <v>2</v>
      </c>
      <c r="F234" s="843">
        <v>999</v>
      </c>
      <c r="G234" s="843">
        <v>999999</v>
      </c>
      <c r="H234" s="843">
        <v>999</v>
      </c>
      <c r="I234" s="843">
        <v>99</v>
      </c>
      <c r="J234" s="843">
        <v>999</v>
      </c>
      <c r="K234" s="843">
        <v>9</v>
      </c>
      <c r="L234" s="843">
        <v>99</v>
      </c>
      <c r="M234" s="843">
        <v>9</v>
      </c>
      <c r="N234" s="843">
        <v>3</v>
      </c>
      <c r="O234" s="843">
        <v>99999</v>
      </c>
      <c r="P234" s="905">
        <f t="shared" si="7"/>
        <v>0</v>
      </c>
      <c r="Q234" s="232">
        <f>Financeiros!D96</f>
        <v>0</v>
      </c>
    </row>
    <row r="235" spans="1:17" ht="15.75">
      <c r="A235" s="843" t="s">
        <v>696</v>
      </c>
      <c r="B235" s="843" t="s">
        <v>1290</v>
      </c>
      <c r="C235" s="843" t="str">
        <f>Financeiros!C97</f>
        <v>Diferimento CUSD</v>
      </c>
      <c r="D235" s="843">
        <v>2</v>
      </c>
      <c r="E235" s="843">
        <v>2</v>
      </c>
      <c r="F235" s="843">
        <f>Financeiros!H97</f>
        <v>22</v>
      </c>
      <c r="G235" s="843">
        <f>Financeiros!I97</f>
        <v>60</v>
      </c>
      <c r="H235" s="843">
        <f>Financeiros!J97</f>
        <v>999</v>
      </c>
      <c r="I235" s="843">
        <f>Financeiros!K97</f>
        <v>1</v>
      </c>
      <c r="J235" s="843">
        <f>Financeiros!L97</f>
        <v>7</v>
      </c>
      <c r="K235" s="843">
        <f>Financeiros!M97</f>
        <v>9</v>
      </c>
      <c r="L235" s="843">
        <v>99</v>
      </c>
      <c r="M235" s="843">
        <v>9</v>
      </c>
      <c r="N235" s="843">
        <v>3</v>
      </c>
      <c r="O235" s="843">
        <v>99999</v>
      </c>
      <c r="P235" s="905">
        <f t="shared" si="7"/>
        <v>-1200000</v>
      </c>
      <c r="Q235" s="232">
        <f>Financeiros!D97</f>
        <v>-1200000</v>
      </c>
    </row>
    <row r="236" spans="1:17" ht="15.75">
      <c r="A236" s="843" t="s">
        <v>696</v>
      </c>
      <c r="B236" s="843" t="s">
        <v>1290</v>
      </c>
      <c r="C236" s="843">
        <f>Financeiros!C98</f>
        <v>0</v>
      </c>
      <c r="D236" s="843">
        <v>2</v>
      </c>
      <c r="E236" s="843">
        <v>2</v>
      </c>
      <c r="F236" s="843">
        <v>999</v>
      </c>
      <c r="G236" s="843">
        <v>999999</v>
      </c>
      <c r="H236" s="843">
        <v>999</v>
      </c>
      <c r="I236" s="843">
        <v>99</v>
      </c>
      <c r="J236" s="843">
        <v>999</v>
      </c>
      <c r="K236" s="843">
        <v>9</v>
      </c>
      <c r="L236" s="843">
        <v>99</v>
      </c>
      <c r="M236" s="843">
        <v>9</v>
      </c>
      <c r="N236" s="843">
        <v>3</v>
      </c>
      <c r="O236" s="843">
        <v>99999</v>
      </c>
      <c r="P236" s="905">
        <f t="shared" si="7"/>
        <v>0</v>
      </c>
      <c r="Q236" s="232">
        <f>Financeiros!D98</f>
        <v>0</v>
      </c>
    </row>
    <row r="237" spans="1:17" ht="15.75">
      <c r="A237" s="843" t="s">
        <v>696</v>
      </c>
      <c r="B237" s="843" t="s">
        <v>1290</v>
      </c>
      <c r="C237" s="843">
        <f>Financeiros!C99</f>
        <v>0</v>
      </c>
      <c r="D237" s="843">
        <v>2</v>
      </c>
      <c r="E237" s="843">
        <v>2</v>
      </c>
      <c r="F237" s="843">
        <v>999</v>
      </c>
      <c r="G237" s="843">
        <v>999999</v>
      </c>
      <c r="H237" s="843">
        <v>999</v>
      </c>
      <c r="I237" s="843">
        <v>99</v>
      </c>
      <c r="J237" s="843">
        <v>999</v>
      </c>
      <c r="K237" s="843">
        <v>9</v>
      </c>
      <c r="L237" s="843">
        <v>99</v>
      </c>
      <c r="M237" s="843">
        <v>9</v>
      </c>
      <c r="N237" s="843">
        <v>3</v>
      </c>
      <c r="O237" s="843">
        <v>99999</v>
      </c>
      <c r="P237" s="905">
        <f t="shared" si="7"/>
        <v>0</v>
      </c>
      <c r="Q237" s="232">
        <f>Financeiros!D99</f>
        <v>0</v>
      </c>
    </row>
    <row r="238" spans="1:17" ht="15.75">
      <c r="A238" s="843" t="s">
        <v>696</v>
      </c>
      <c r="B238" s="843" t="s">
        <v>1290</v>
      </c>
      <c r="C238" s="843">
        <f>Financeiros!C100</f>
        <v>0</v>
      </c>
      <c r="D238" s="843">
        <v>2</v>
      </c>
      <c r="E238" s="843">
        <v>2</v>
      </c>
      <c r="F238" s="843">
        <v>999</v>
      </c>
      <c r="G238" s="843">
        <v>999999</v>
      </c>
      <c r="H238" s="843">
        <v>999</v>
      </c>
      <c r="I238" s="843">
        <v>99</v>
      </c>
      <c r="J238" s="843">
        <v>999</v>
      </c>
      <c r="K238" s="843">
        <v>9</v>
      </c>
      <c r="L238" s="843">
        <v>99</v>
      </c>
      <c r="M238" s="843">
        <v>9</v>
      </c>
      <c r="N238" s="843">
        <v>3</v>
      </c>
      <c r="O238" s="843">
        <v>99999</v>
      </c>
      <c r="P238" s="905">
        <f t="shared" ref="P238" si="8">IF(ISNUMBER(Q238),Q238,0)</f>
        <v>0</v>
      </c>
      <c r="Q238" s="232">
        <f>Financeiros!D100</f>
        <v>0</v>
      </c>
    </row>
    <row r="239" spans="1:17" ht="15.75">
      <c r="A239" s="1664" t="s">
        <v>1473</v>
      </c>
      <c r="B239" s="1665" t="s">
        <v>1473</v>
      </c>
      <c r="C239" s="1665" t="s">
        <v>1473</v>
      </c>
      <c r="D239" s="1665">
        <v>99</v>
      </c>
      <c r="E239" s="1665">
        <v>99</v>
      </c>
      <c r="F239" s="1665">
        <v>999</v>
      </c>
      <c r="G239" s="1665">
        <v>999999</v>
      </c>
      <c r="H239" s="1665">
        <v>999</v>
      </c>
      <c r="I239" s="1665">
        <v>99</v>
      </c>
      <c r="J239" s="1665">
        <v>999</v>
      </c>
      <c r="K239" s="1665">
        <v>9</v>
      </c>
      <c r="L239" s="1665">
        <v>99</v>
      </c>
      <c r="M239" s="1665">
        <v>9</v>
      </c>
      <c r="N239" s="1665">
        <v>99</v>
      </c>
      <c r="O239" s="1662">
        <v>99999</v>
      </c>
      <c r="P239" s="1666">
        <f>IF(ISNUMBER(Q239),Q239,0)</f>
        <v>0</v>
      </c>
      <c r="Q239" s="1667">
        <v>0</v>
      </c>
    </row>
    <row r="240" spans="1:17" ht="15.75">
      <c r="A240" s="1664" t="s">
        <v>1473</v>
      </c>
      <c r="B240" s="1665" t="s">
        <v>1473</v>
      </c>
      <c r="C240" s="1665" t="s">
        <v>1473</v>
      </c>
      <c r="D240" s="1665">
        <v>99</v>
      </c>
      <c r="E240" s="1665">
        <v>99</v>
      </c>
      <c r="F240" s="1665">
        <v>999</v>
      </c>
      <c r="G240" s="1665">
        <v>999999</v>
      </c>
      <c r="H240" s="1665">
        <v>999</v>
      </c>
      <c r="I240" s="1665">
        <v>99</v>
      </c>
      <c r="J240" s="1665">
        <v>999</v>
      </c>
      <c r="K240" s="1665">
        <v>9</v>
      </c>
      <c r="L240" s="1665">
        <v>99</v>
      </c>
      <c r="M240" s="1665">
        <v>9</v>
      </c>
      <c r="N240" s="1665">
        <v>99</v>
      </c>
      <c r="O240" s="1662">
        <v>99999</v>
      </c>
      <c r="P240" s="1666">
        <f>IF(ISNUMBER(Q240),Q240,0)</f>
        <v>0</v>
      </c>
      <c r="Q240" s="1667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1507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1508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1509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1510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1511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1512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84" t="s">
        <v>1513</v>
      </c>
      <c r="B1" s="493">
        <f>YEAR(SAS_RA0_DataInicio)*100+MONTH(SAS_RA0_DataInicio)</f>
        <v>202109</v>
      </c>
      <c r="D1" s="1384" t="s">
        <v>1514</v>
      </c>
      <c r="E1" s="1384" t="s">
        <v>1515</v>
      </c>
      <c r="F1" s="1384" t="s">
        <v>1516</v>
      </c>
    </row>
    <row r="2" spans="1:138" ht="15.75">
      <c r="A2" s="1384" t="s">
        <v>1517</v>
      </c>
      <c r="B2" s="493">
        <f>YEAR(SAS_RA0_DataFim)*100+MONTH(SAS_RA0_DataFim)</f>
        <v>202208</v>
      </c>
      <c r="D2" s="1385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86" t="s">
        <v>189</v>
      </c>
      <c r="B3" s="495">
        <f>YEAR(SAS_RA0_DataFim)*100+MONTH(SAS_RA0_DataFim)-MAX(C:C)+1</f>
        <v>202209</v>
      </c>
      <c r="D3" s="1385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1518</v>
      </c>
      <c r="B4" s="510" t="s">
        <v>1519</v>
      </c>
    </row>
    <row r="6" spans="1:138" ht="15.75">
      <c r="A6" s="762"/>
      <c r="B6" s="763"/>
      <c r="C6" s="763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87" t="s">
        <v>1520</v>
      </c>
      <c r="B1" s="1388">
        <v>0</v>
      </c>
    </row>
    <row r="2" spans="1:2">
      <c r="A2" s="1387" t="s">
        <v>1521</v>
      </c>
      <c r="B2" s="1388">
        <v>0</v>
      </c>
    </row>
    <row r="3" spans="1:2">
      <c r="A3" s="1387" t="s">
        <v>1522</v>
      </c>
      <c r="B3" s="1388">
        <v>0</v>
      </c>
    </row>
    <row r="4" spans="1:2">
      <c r="A4" s="1387" t="s">
        <v>1523</v>
      </c>
      <c r="B4" s="1388">
        <v>0</v>
      </c>
    </row>
    <row r="5" spans="1:2">
      <c r="A5" s="1387" t="s">
        <v>1524</v>
      </c>
      <c r="B5" s="1388">
        <v>0</v>
      </c>
    </row>
    <row r="6" spans="1:2">
      <c r="A6" s="1387" t="s">
        <v>1525</v>
      </c>
      <c r="B6" s="1388">
        <v>0</v>
      </c>
    </row>
    <row r="7" spans="1:2">
      <c r="A7" s="1387" t="s">
        <v>1526</v>
      </c>
      <c r="B7" s="1388">
        <v>0</v>
      </c>
    </row>
    <row r="8" spans="1:2">
      <c r="A8" s="1387" t="s">
        <v>1527</v>
      </c>
      <c r="B8" s="1388">
        <v>0</v>
      </c>
    </row>
    <row r="9" spans="1:2">
      <c r="A9" s="1387" t="s">
        <v>1528</v>
      </c>
      <c r="B9" s="1388">
        <v>0.45</v>
      </c>
    </row>
    <row r="10" spans="1:2">
      <c r="A10" s="1387" t="s">
        <v>1529</v>
      </c>
      <c r="B10" s="1388">
        <v>0.4</v>
      </c>
    </row>
    <row r="11" spans="1:2">
      <c r="A11" s="1387" t="s">
        <v>1530</v>
      </c>
      <c r="B11" s="1387">
        <v>0.65</v>
      </c>
    </row>
    <row r="12" spans="1:2">
      <c r="A12" s="1387" t="s">
        <v>1531</v>
      </c>
      <c r="B12" s="1387">
        <v>0.4</v>
      </c>
    </row>
    <row r="13" spans="1:2">
      <c r="A13" s="1387" t="s">
        <v>1532</v>
      </c>
      <c r="B13" s="1387">
        <v>0.1</v>
      </c>
    </row>
    <row r="14" spans="1:2">
      <c r="A14" s="1387" t="s">
        <v>1533</v>
      </c>
      <c r="B14" s="1387">
        <v>0</v>
      </c>
    </row>
    <row r="15" spans="1:2">
      <c r="A15" s="1387" t="s">
        <v>1534</v>
      </c>
      <c r="B15" s="1387">
        <v>0.3</v>
      </c>
    </row>
    <row r="16" spans="1:2">
      <c r="A16" s="1387" t="s">
        <v>1535</v>
      </c>
      <c r="B16" s="1387">
        <v>0.3</v>
      </c>
    </row>
    <row r="17" spans="1:13">
      <c r="A17" s="1387" t="s">
        <v>1536</v>
      </c>
      <c r="B17" s="1387">
        <v>0.4</v>
      </c>
    </row>
    <row r="20" spans="1:13" ht="15">
      <c r="D20" s="1389" t="s">
        <v>1375</v>
      </c>
      <c r="E20" s="1389" t="s">
        <v>960</v>
      </c>
      <c r="F20" s="1389" t="s">
        <v>1537</v>
      </c>
      <c r="G20" s="1389" t="s">
        <v>1538</v>
      </c>
      <c r="H20" s="1389" t="s">
        <v>1539</v>
      </c>
      <c r="I20" s="1389" t="s">
        <v>1540</v>
      </c>
      <c r="J20" s="1389" t="s">
        <v>1541</v>
      </c>
      <c r="K20" s="1389" t="s">
        <v>1542</v>
      </c>
      <c r="L20" s="1389" t="s">
        <v>1543</v>
      </c>
      <c r="M20" s="1389" t="s">
        <v>1044</v>
      </c>
    </row>
    <row r="21" spans="1:13" ht="30" hidden="1">
      <c r="D21" s="1390">
        <v>26</v>
      </c>
      <c r="E21" s="1391" t="s">
        <v>1544</v>
      </c>
      <c r="F21" s="1391" t="s">
        <v>113</v>
      </c>
      <c r="G21" s="1392">
        <v>41243</v>
      </c>
      <c r="H21" s="1393">
        <v>41243</v>
      </c>
      <c r="I21" s="1391" t="s">
        <v>963</v>
      </c>
      <c r="J21" s="1391" t="s">
        <v>114</v>
      </c>
      <c r="K21" s="1390">
        <v>1663</v>
      </c>
      <c r="L21" s="1391" t="s">
        <v>1545</v>
      </c>
      <c r="M21" s="1391" t="s">
        <v>1546</v>
      </c>
    </row>
    <row r="22" spans="1:13" ht="30" hidden="1">
      <c r="D22" s="1390">
        <v>28</v>
      </c>
      <c r="E22" s="1391" t="s">
        <v>1547</v>
      </c>
      <c r="F22" s="1391" t="s">
        <v>1548</v>
      </c>
      <c r="G22" s="1392">
        <v>41214</v>
      </c>
      <c r="H22" s="470"/>
      <c r="I22" s="1391" t="s">
        <v>963</v>
      </c>
      <c r="J22" s="1391" t="s">
        <v>114</v>
      </c>
      <c r="K22" s="1390">
        <v>1665</v>
      </c>
      <c r="L22" s="1391" t="s">
        <v>114</v>
      </c>
      <c r="M22" s="1391" t="s">
        <v>1546</v>
      </c>
    </row>
    <row r="23" spans="1:13" ht="30" hidden="1">
      <c r="D23" s="1390">
        <v>31</v>
      </c>
      <c r="E23" s="1391" t="s">
        <v>1549</v>
      </c>
      <c r="F23" s="1391" t="s">
        <v>115</v>
      </c>
      <c r="G23" s="1392">
        <v>41243</v>
      </c>
      <c r="H23" s="470"/>
      <c r="I23" s="1391" t="s">
        <v>963</v>
      </c>
      <c r="J23" s="1391" t="s">
        <v>114</v>
      </c>
      <c r="K23" s="1390">
        <v>1666</v>
      </c>
      <c r="L23" s="1391" t="s">
        <v>114</v>
      </c>
      <c r="M23" s="1391" t="s">
        <v>1546</v>
      </c>
    </row>
    <row r="24" spans="1:13" ht="30" hidden="1">
      <c r="D24" s="1390">
        <v>32</v>
      </c>
      <c r="E24" s="1391" t="s">
        <v>1550</v>
      </c>
      <c r="F24" s="1391" t="s">
        <v>116</v>
      </c>
      <c r="G24" s="1392">
        <v>41094</v>
      </c>
      <c r="H24" s="470"/>
      <c r="I24" s="1391" t="s">
        <v>963</v>
      </c>
      <c r="J24" s="1391" t="s">
        <v>114</v>
      </c>
      <c r="K24" s="1390">
        <v>1668</v>
      </c>
      <c r="L24" s="1391" t="s">
        <v>1551</v>
      </c>
      <c r="M24" s="1391" t="s">
        <v>1546</v>
      </c>
    </row>
    <row r="25" spans="1:13" ht="30" hidden="1">
      <c r="D25" s="1390">
        <v>37</v>
      </c>
      <c r="E25" s="1391" t="s">
        <v>1552</v>
      </c>
      <c r="F25" s="1391" t="s">
        <v>117</v>
      </c>
      <c r="G25" s="1392">
        <v>41149</v>
      </c>
      <c r="H25" s="470"/>
      <c r="I25" s="1391" t="s">
        <v>963</v>
      </c>
      <c r="J25" s="1391" t="s">
        <v>114</v>
      </c>
      <c r="K25" s="1390">
        <v>1669</v>
      </c>
      <c r="L25" s="1391" t="s">
        <v>1553</v>
      </c>
      <c r="M25" s="1391" t="s">
        <v>1546</v>
      </c>
    </row>
    <row r="26" spans="1:13" ht="30" hidden="1">
      <c r="D26" s="1390">
        <v>38</v>
      </c>
      <c r="E26" s="1391" t="s">
        <v>1554</v>
      </c>
      <c r="F26" s="1391" t="s">
        <v>118</v>
      </c>
      <c r="G26" s="1392">
        <v>41180</v>
      </c>
      <c r="H26" s="1393">
        <v>41149</v>
      </c>
      <c r="I26" s="1391" t="s">
        <v>963</v>
      </c>
      <c r="J26" s="1391" t="s">
        <v>114</v>
      </c>
      <c r="K26" s="1390">
        <v>1670</v>
      </c>
      <c r="L26" s="1391" t="s">
        <v>1555</v>
      </c>
      <c r="M26" s="1391" t="s">
        <v>1546</v>
      </c>
    </row>
    <row r="27" spans="1:13" ht="30" hidden="1">
      <c r="D27" s="1390">
        <v>39</v>
      </c>
      <c r="E27" s="1391" t="s">
        <v>1556</v>
      </c>
      <c r="F27" s="1391" t="s">
        <v>1557</v>
      </c>
      <c r="G27" s="1392">
        <v>41021</v>
      </c>
      <c r="H27" s="470"/>
      <c r="I27" s="1391" t="s">
        <v>963</v>
      </c>
      <c r="J27" s="1391" t="s">
        <v>114</v>
      </c>
      <c r="K27" s="1390">
        <v>1671</v>
      </c>
      <c r="L27" s="1391" t="s">
        <v>1558</v>
      </c>
      <c r="M27" s="1391" t="s">
        <v>1546</v>
      </c>
    </row>
    <row r="28" spans="1:13" ht="30" hidden="1">
      <c r="D28" s="1390">
        <v>40</v>
      </c>
      <c r="E28" s="1391" t="s">
        <v>1559</v>
      </c>
      <c r="F28" s="1391" t="s">
        <v>119</v>
      </c>
      <c r="G28" s="1392">
        <v>41021</v>
      </c>
      <c r="H28" s="470"/>
      <c r="I28" s="1391" t="s">
        <v>963</v>
      </c>
      <c r="J28" s="1391" t="s">
        <v>114</v>
      </c>
      <c r="K28" s="1390">
        <v>1672</v>
      </c>
      <c r="L28" s="1391" t="s">
        <v>1560</v>
      </c>
      <c r="M28" s="1391" t="s">
        <v>1546</v>
      </c>
    </row>
    <row r="29" spans="1:13" ht="30" hidden="1">
      <c r="D29" s="1390">
        <v>43</v>
      </c>
      <c r="E29" s="1391" t="s">
        <v>1561</v>
      </c>
      <c r="F29" s="1391" t="s">
        <v>120</v>
      </c>
      <c r="G29" s="1392">
        <v>41028</v>
      </c>
      <c r="H29" s="470"/>
      <c r="I29" s="1391" t="s">
        <v>963</v>
      </c>
      <c r="J29" s="1391" t="s">
        <v>114</v>
      </c>
      <c r="K29" s="1390">
        <v>1674</v>
      </c>
      <c r="L29" s="1391" t="s">
        <v>1562</v>
      </c>
      <c r="M29" s="1391" t="s">
        <v>1546</v>
      </c>
    </row>
    <row r="30" spans="1:13" ht="30" hidden="1">
      <c r="D30" s="1390">
        <v>44</v>
      </c>
      <c r="E30" s="1391" t="s">
        <v>1563</v>
      </c>
      <c r="F30" s="1391" t="s">
        <v>121</v>
      </c>
      <c r="G30" s="1392">
        <v>41180</v>
      </c>
      <c r="H30" s="470"/>
      <c r="I30" s="1391" t="s">
        <v>963</v>
      </c>
      <c r="J30" s="1391" t="s">
        <v>114</v>
      </c>
      <c r="K30" s="1390">
        <v>1675</v>
      </c>
      <c r="L30" s="1391" t="s">
        <v>1564</v>
      </c>
      <c r="M30" s="1391" t="s">
        <v>1546</v>
      </c>
    </row>
    <row r="31" spans="1:13" ht="30" hidden="1">
      <c r="D31" s="1390">
        <v>46</v>
      </c>
      <c r="E31" s="1391" t="s">
        <v>1565</v>
      </c>
      <c r="F31" s="1391" t="s">
        <v>122</v>
      </c>
      <c r="G31" s="1392">
        <v>41051</v>
      </c>
      <c r="H31" s="1393">
        <v>41257</v>
      </c>
      <c r="I31" s="1391" t="s">
        <v>963</v>
      </c>
      <c r="J31" s="1391" t="s">
        <v>1566</v>
      </c>
      <c r="K31" s="1390">
        <v>1676</v>
      </c>
      <c r="L31" s="1391" t="s">
        <v>1567</v>
      </c>
      <c r="M31" s="1391" t="s">
        <v>1546</v>
      </c>
    </row>
    <row r="32" spans="1:13" ht="30" hidden="1">
      <c r="D32" s="1390">
        <v>47</v>
      </c>
      <c r="E32" s="1391" t="s">
        <v>1568</v>
      </c>
      <c r="F32" s="1391" t="s">
        <v>123</v>
      </c>
      <c r="G32" s="1392">
        <v>41021</v>
      </c>
      <c r="H32" s="470"/>
      <c r="I32" s="1391" t="s">
        <v>963</v>
      </c>
      <c r="J32" s="1391" t="s">
        <v>114</v>
      </c>
      <c r="K32" s="1390">
        <v>1677</v>
      </c>
      <c r="L32" s="1391" t="s">
        <v>1569</v>
      </c>
      <c r="M32" s="1391" t="s">
        <v>1546</v>
      </c>
    </row>
    <row r="33" spans="4:13" ht="15" hidden="1">
      <c r="D33" s="1390">
        <v>51</v>
      </c>
      <c r="E33" s="1391" t="s">
        <v>1570</v>
      </c>
      <c r="F33" s="1391" t="s">
        <v>124</v>
      </c>
      <c r="G33" s="1392">
        <v>41235</v>
      </c>
      <c r="H33" s="1393">
        <v>41210</v>
      </c>
      <c r="I33" s="1391" t="s">
        <v>963</v>
      </c>
      <c r="J33" s="1391" t="s">
        <v>1566</v>
      </c>
      <c r="K33" s="1390">
        <v>1682</v>
      </c>
      <c r="L33" s="1391" t="s">
        <v>1571</v>
      </c>
      <c r="M33" s="1391" t="s">
        <v>1546</v>
      </c>
    </row>
    <row r="34" spans="4:13" ht="15" hidden="1">
      <c r="D34" s="1390">
        <v>56</v>
      </c>
      <c r="E34" s="1391" t="s">
        <v>1572</v>
      </c>
      <c r="F34" s="1391" t="s">
        <v>1573</v>
      </c>
      <c r="G34" s="470"/>
      <c r="H34" s="470"/>
      <c r="I34" s="1391" t="s">
        <v>963</v>
      </c>
      <c r="J34" s="1391" t="s">
        <v>114</v>
      </c>
      <c r="K34" s="1390">
        <v>1683</v>
      </c>
      <c r="L34" s="1391" t="s">
        <v>114</v>
      </c>
      <c r="M34" s="1391" t="s">
        <v>1546</v>
      </c>
    </row>
    <row r="35" spans="4:13" ht="30" hidden="1">
      <c r="D35" s="1390">
        <v>63</v>
      </c>
      <c r="E35" s="1391" t="s">
        <v>1574</v>
      </c>
      <c r="F35" s="1391" t="s">
        <v>125</v>
      </c>
      <c r="G35" s="1392">
        <v>41007</v>
      </c>
      <c r="H35" s="470"/>
      <c r="I35" s="1391" t="s">
        <v>963</v>
      </c>
      <c r="J35" s="1391" t="s">
        <v>114</v>
      </c>
      <c r="K35" s="1390">
        <v>1688</v>
      </c>
      <c r="L35" s="1391" t="s">
        <v>1575</v>
      </c>
      <c r="M35" s="1391" t="s">
        <v>1546</v>
      </c>
    </row>
    <row r="36" spans="4:13" ht="30" hidden="1">
      <c r="D36" s="1390">
        <v>69</v>
      </c>
      <c r="E36" s="1391" t="s">
        <v>1576</v>
      </c>
      <c r="F36" s="1391" t="s">
        <v>1577</v>
      </c>
      <c r="G36" s="1392">
        <v>40990</v>
      </c>
      <c r="H36" s="1393">
        <v>42038</v>
      </c>
      <c r="I36" s="1391" t="s">
        <v>963</v>
      </c>
      <c r="J36" s="1391" t="s">
        <v>114</v>
      </c>
      <c r="K36" s="1390">
        <v>1692</v>
      </c>
      <c r="L36" s="1391" t="s">
        <v>1578</v>
      </c>
      <c r="M36" s="1391" t="s">
        <v>1546</v>
      </c>
    </row>
    <row r="37" spans="4:13" ht="30" hidden="1">
      <c r="D37" s="1390">
        <v>70</v>
      </c>
      <c r="E37" s="1391" t="s">
        <v>1579</v>
      </c>
      <c r="F37" s="1391" t="s">
        <v>1580</v>
      </c>
      <c r="G37" s="1392">
        <v>40990</v>
      </c>
      <c r="H37" s="1393">
        <v>42038</v>
      </c>
      <c r="I37" s="1391" t="s">
        <v>963</v>
      </c>
      <c r="J37" s="1391" t="s">
        <v>114</v>
      </c>
      <c r="K37" s="1390">
        <v>1693</v>
      </c>
      <c r="L37" s="1391" t="s">
        <v>1581</v>
      </c>
      <c r="M37" s="1391" t="s">
        <v>1546</v>
      </c>
    </row>
    <row r="38" spans="4:13" ht="30" hidden="1">
      <c r="D38" s="1390">
        <v>71</v>
      </c>
      <c r="E38" s="1391" t="s">
        <v>1582</v>
      </c>
      <c r="F38" s="1391" t="s">
        <v>1583</v>
      </c>
      <c r="G38" s="1392">
        <v>40990</v>
      </c>
      <c r="H38" s="1393">
        <v>42038</v>
      </c>
      <c r="I38" s="1391" t="s">
        <v>963</v>
      </c>
      <c r="J38" s="1391" t="s">
        <v>114</v>
      </c>
      <c r="K38" s="1390">
        <v>1694</v>
      </c>
      <c r="L38" s="1391" t="s">
        <v>1584</v>
      </c>
      <c r="M38" s="1391" t="s">
        <v>1546</v>
      </c>
    </row>
    <row r="39" spans="4:13" ht="30" hidden="1">
      <c r="D39" s="1390">
        <v>72</v>
      </c>
      <c r="E39" s="1391" t="s">
        <v>1585</v>
      </c>
      <c r="F39" s="1391" t="s">
        <v>166</v>
      </c>
      <c r="G39" s="1392">
        <v>40990</v>
      </c>
      <c r="H39" s="1393">
        <v>42038</v>
      </c>
      <c r="I39" s="1391" t="s">
        <v>963</v>
      </c>
      <c r="J39" s="1391" t="s">
        <v>114</v>
      </c>
      <c r="K39" s="1390">
        <v>1695</v>
      </c>
      <c r="L39" s="1391" t="s">
        <v>1586</v>
      </c>
      <c r="M39" s="1391" t="s">
        <v>1546</v>
      </c>
    </row>
    <row r="40" spans="4:13" ht="30" hidden="1">
      <c r="D40" s="1390">
        <v>73</v>
      </c>
      <c r="E40" s="1391" t="s">
        <v>1587</v>
      </c>
      <c r="F40" s="1391" t="s">
        <v>1588</v>
      </c>
      <c r="G40" s="1392">
        <v>40990</v>
      </c>
      <c r="H40" s="1393">
        <v>42038</v>
      </c>
      <c r="I40" s="1391" t="s">
        <v>963</v>
      </c>
      <c r="J40" s="1391" t="s">
        <v>1566</v>
      </c>
      <c r="K40" s="1390">
        <v>1696</v>
      </c>
      <c r="L40" s="1391" t="s">
        <v>1589</v>
      </c>
      <c r="M40" s="1391" t="s">
        <v>1546</v>
      </c>
    </row>
    <row r="41" spans="4:13" ht="30" hidden="1">
      <c r="D41" s="1390">
        <v>75</v>
      </c>
      <c r="E41" s="1391" t="s">
        <v>1590</v>
      </c>
      <c r="F41" s="1391" t="s">
        <v>1591</v>
      </c>
      <c r="G41" s="1392">
        <v>41039</v>
      </c>
      <c r="H41" s="470"/>
      <c r="I41" s="1391" t="s">
        <v>963</v>
      </c>
      <c r="J41" s="1391" t="s">
        <v>114</v>
      </c>
      <c r="K41" s="1390">
        <v>1697</v>
      </c>
      <c r="L41" s="1391" t="s">
        <v>1592</v>
      </c>
      <c r="M41" s="1391" t="s">
        <v>1546</v>
      </c>
    </row>
    <row r="42" spans="4:13" ht="30" hidden="1">
      <c r="D42" s="1390">
        <v>82</v>
      </c>
      <c r="E42" s="1391" t="s">
        <v>1593</v>
      </c>
      <c r="F42" s="1391" t="s">
        <v>126</v>
      </c>
      <c r="G42" s="1392">
        <v>41089</v>
      </c>
      <c r="H42" s="1393">
        <v>41084</v>
      </c>
      <c r="I42" s="1391" t="s">
        <v>963</v>
      </c>
      <c r="J42" s="1391" t="s">
        <v>1566</v>
      </c>
      <c r="K42" s="1390">
        <v>1701</v>
      </c>
      <c r="L42" s="1391" t="s">
        <v>1594</v>
      </c>
      <c r="M42" s="1391" t="s">
        <v>1546</v>
      </c>
    </row>
    <row r="43" spans="4:13" ht="30" hidden="1">
      <c r="D43" s="1390">
        <v>83</v>
      </c>
      <c r="E43" s="1391" t="s">
        <v>1595</v>
      </c>
      <c r="F43" s="1391" t="s">
        <v>168</v>
      </c>
      <c r="G43" s="1392">
        <v>41147</v>
      </c>
      <c r="H43" s="470"/>
      <c r="I43" s="1391" t="s">
        <v>963</v>
      </c>
      <c r="J43" s="1391" t="s">
        <v>1566</v>
      </c>
      <c r="K43" s="1390">
        <v>1702</v>
      </c>
      <c r="L43" s="1391" t="s">
        <v>1596</v>
      </c>
      <c r="M43" s="1391" t="s">
        <v>1546</v>
      </c>
    </row>
    <row r="44" spans="4:13" ht="30" hidden="1">
      <c r="D44" s="1390">
        <v>84</v>
      </c>
      <c r="E44" s="1391" t="s">
        <v>1597</v>
      </c>
      <c r="F44" s="1391" t="s">
        <v>1598</v>
      </c>
      <c r="G44" s="1392">
        <v>41089</v>
      </c>
      <c r="H44" s="470"/>
      <c r="I44" s="1391" t="s">
        <v>963</v>
      </c>
      <c r="J44" s="1391" t="s">
        <v>1566</v>
      </c>
      <c r="K44" s="1390">
        <v>1703</v>
      </c>
      <c r="L44" s="1391" t="s">
        <v>1599</v>
      </c>
      <c r="M44" s="1391" t="s">
        <v>1546</v>
      </c>
    </row>
    <row r="45" spans="4:13" ht="30" hidden="1">
      <c r="D45" s="1390">
        <v>86</v>
      </c>
      <c r="E45" s="1391" t="s">
        <v>1600</v>
      </c>
      <c r="F45" s="1391" t="s">
        <v>127</v>
      </c>
      <c r="G45" s="1392">
        <v>41150</v>
      </c>
      <c r="H45" s="1393">
        <v>41865</v>
      </c>
      <c r="I45" s="1391" t="s">
        <v>963</v>
      </c>
      <c r="J45" s="1391" t="s">
        <v>1566</v>
      </c>
      <c r="K45" s="1390">
        <v>1704</v>
      </c>
      <c r="L45" s="1391" t="s">
        <v>1601</v>
      </c>
      <c r="M45" s="1391" t="s">
        <v>1546</v>
      </c>
    </row>
    <row r="46" spans="4:13" ht="30" hidden="1">
      <c r="D46" s="1390">
        <v>87</v>
      </c>
      <c r="E46" s="1391" t="s">
        <v>1602</v>
      </c>
      <c r="F46" s="1391" t="s">
        <v>128</v>
      </c>
      <c r="G46" s="1392">
        <v>41150</v>
      </c>
      <c r="H46" s="1393">
        <v>41128</v>
      </c>
      <c r="I46" s="1391" t="s">
        <v>963</v>
      </c>
      <c r="J46" s="1391" t="s">
        <v>1566</v>
      </c>
      <c r="K46" s="1390">
        <v>1705</v>
      </c>
      <c r="L46" s="1391" t="s">
        <v>1603</v>
      </c>
      <c r="M46" s="1391" t="s">
        <v>1546</v>
      </c>
    </row>
    <row r="47" spans="4:13" ht="30" hidden="1">
      <c r="D47" s="1390">
        <v>88</v>
      </c>
      <c r="E47" s="1391" t="s">
        <v>1604</v>
      </c>
      <c r="F47" s="1391" t="s">
        <v>1605</v>
      </c>
      <c r="G47" s="1392">
        <v>41150</v>
      </c>
      <c r="H47" s="1393">
        <v>41865</v>
      </c>
      <c r="I47" s="1391" t="s">
        <v>963</v>
      </c>
      <c r="J47" s="1391" t="s">
        <v>1566</v>
      </c>
      <c r="K47" s="1390">
        <v>1706</v>
      </c>
      <c r="L47" s="1391" t="s">
        <v>1606</v>
      </c>
      <c r="M47" s="1391" t="s">
        <v>1546</v>
      </c>
    </row>
    <row r="48" spans="4:13" ht="15" hidden="1">
      <c r="D48" s="1390">
        <v>95</v>
      </c>
      <c r="E48" s="1391" t="s">
        <v>1607</v>
      </c>
      <c r="F48" s="1391" t="s">
        <v>129</v>
      </c>
      <c r="G48" s="1392">
        <v>41112</v>
      </c>
      <c r="H48" s="1393">
        <v>41089</v>
      </c>
      <c r="I48" s="1391" t="s">
        <v>963</v>
      </c>
      <c r="J48" s="1391" t="s">
        <v>1566</v>
      </c>
      <c r="K48" s="1390">
        <v>1708</v>
      </c>
      <c r="L48" s="1391" t="s">
        <v>1608</v>
      </c>
      <c r="M48" s="1391" t="s">
        <v>1546</v>
      </c>
    </row>
    <row r="49" spans="4:13" ht="30" hidden="1">
      <c r="D49" s="1390">
        <v>103</v>
      </c>
      <c r="E49" s="1391" t="s">
        <v>1609</v>
      </c>
      <c r="F49" s="1391" t="s">
        <v>130</v>
      </c>
      <c r="G49" s="1392">
        <v>41235</v>
      </c>
      <c r="H49" s="1393">
        <v>41164</v>
      </c>
      <c r="I49" s="1391" t="s">
        <v>963</v>
      </c>
      <c r="J49" s="1391" t="s">
        <v>1566</v>
      </c>
      <c r="K49" s="1390">
        <v>1710</v>
      </c>
      <c r="L49" s="1391" t="s">
        <v>1610</v>
      </c>
      <c r="M49" s="1391" t="s">
        <v>1546</v>
      </c>
    </row>
    <row r="50" spans="4:13" ht="30">
      <c r="D50" s="1390">
        <v>213</v>
      </c>
      <c r="E50" s="1391" t="s">
        <v>1611</v>
      </c>
      <c r="F50" s="1391" t="s">
        <v>1612</v>
      </c>
      <c r="G50" s="470"/>
      <c r="H50" s="470"/>
      <c r="I50" s="1391" t="s">
        <v>963</v>
      </c>
      <c r="J50" s="1391" t="s">
        <v>114</v>
      </c>
      <c r="K50" s="1390">
        <v>1757</v>
      </c>
      <c r="L50" s="1391" t="s">
        <v>114</v>
      </c>
      <c r="M50" s="1391" t="s">
        <v>1174</v>
      </c>
    </row>
    <row r="51" spans="4:13" ht="30" hidden="1">
      <c r="D51" s="1390">
        <v>369</v>
      </c>
      <c r="E51" s="1391" t="s">
        <v>1613</v>
      </c>
      <c r="F51" s="1391" t="s">
        <v>131</v>
      </c>
      <c r="G51" s="1392">
        <v>41243</v>
      </c>
      <c r="H51" s="1393">
        <v>41243</v>
      </c>
      <c r="I51" s="1391" t="s">
        <v>963</v>
      </c>
      <c r="J51" s="1391" t="s">
        <v>114</v>
      </c>
      <c r="K51" s="1390">
        <v>1770</v>
      </c>
      <c r="L51" s="1391" t="s">
        <v>1614</v>
      </c>
      <c r="M51" s="1391" t="s">
        <v>1546</v>
      </c>
    </row>
    <row r="52" spans="4:13" ht="15" hidden="1">
      <c r="D52" s="1390">
        <v>370</v>
      </c>
      <c r="E52" s="1391" t="s">
        <v>1615</v>
      </c>
      <c r="F52" s="1391" t="s">
        <v>1616</v>
      </c>
      <c r="G52" s="1392">
        <v>41214</v>
      </c>
      <c r="H52" s="1393">
        <v>41214</v>
      </c>
      <c r="I52" s="1391" t="s">
        <v>963</v>
      </c>
      <c r="J52" s="1391" t="s">
        <v>114</v>
      </c>
      <c r="K52" s="1390">
        <v>1771</v>
      </c>
      <c r="L52" s="1391" t="s">
        <v>1617</v>
      </c>
      <c r="M52" s="1391" t="s">
        <v>1546</v>
      </c>
    </row>
    <row r="53" spans="4:13" ht="30" hidden="1">
      <c r="D53" s="1390">
        <v>371</v>
      </c>
      <c r="E53" s="1391" t="s">
        <v>1618</v>
      </c>
      <c r="F53" s="1391" t="s">
        <v>132</v>
      </c>
      <c r="G53" s="1392">
        <v>40762</v>
      </c>
      <c r="H53" s="470"/>
      <c r="I53" s="1391" t="s">
        <v>963</v>
      </c>
      <c r="J53" s="1391" t="s">
        <v>114</v>
      </c>
      <c r="K53" s="1390">
        <v>1772</v>
      </c>
      <c r="L53" s="1391" t="s">
        <v>1619</v>
      </c>
      <c r="M53" s="1391" t="s">
        <v>1546</v>
      </c>
    </row>
    <row r="54" spans="4:13" ht="30" hidden="1">
      <c r="D54" s="1390">
        <v>380</v>
      </c>
      <c r="E54" s="1391" t="s">
        <v>1620</v>
      </c>
      <c r="F54" s="1391" t="s">
        <v>1621</v>
      </c>
      <c r="G54" s="1392">
        <v>41128</v>
      </c>
      <c r="H54" s="470"/>
      <c r="I54" s="1391" t="s">
        <v>963</v>
      </c>
      <c r="J54" s="1391" t="s">
        <v>114</v>
      </c>
      <c r="K54" s="1390">
        <v>1777</v>
      </c>
      <c r="L54" s="1391" t="s">
        <v>1622</v>
      </c>
      <c r="M54" s="1391" t="s">
        <v>1546</v>
      </c>
    </row>
    <row r="55" spans="4:13" ht="30" hidden="1">
      <c r="D55" s="1390">
        <v>381</v>
      </c>
      <c r="E55" s="1391" t="s">
        <v>1623</v>
      </c>
      <c r="F55" s="1391" t="s">
        <v>133</v>
      </c>
      <c r="G55" s="1392">
        <v>41143</v>
      </c>
      <c r="H55" s="1393">
        <v>41136</v>
      </c>
      <c r="I55" s="1391" t="s">
        <v>963</v>
      </c>
      <c r="J55" s="1391" t="s">
        <v>114</v>
      </c>
      <c r="K55" s="1390">
        <v>1778</v>
      </c>
      <c r="L55" s="1391" t="s">
        <v>1624</v>
      </c>
      <c r="M55" s="1391" t="s">
        <v>1546</v>
      </c>
    </row>
    <row r="56" spans="4:13" ht="30" hidden="1">
      <c r="D56" s="1390">
        <v>382</v>
      </c>
      <c r="E56" s="1391" t="s">
        <v>1625</v>
      </c>
      <c r="F56" s="1391" t="s">
        <v>134</v>
      </c>
      <c r="G56" s="1392">
        <v>40983</v>
      </c>
      <c r="H56" s="1393">
        <v>41220</v>
      </c>
      <c r="I56" s="1391" t="s">
        <v>963</v>
      </c>
      <c r="J56" s="1391" t="s">
        <v>114</v>
      </c>
      <c r="K56" s="1390">
        <v>1779</v>
      </c>
      <c r="L56" s="1391" t="s">
        <v>1626</v>
      </c>
      <c r="M56" s="1391" t="s">
        <v>1546</v>
      </c>
    </row>
    <row r="57" spans="4:13" ht="30" hidden="1">
      <c r="D57" s="1390">
        <v>383</v>
      </c>
      <c r="E57" s="1391" t="s">
        <v>1627</v>
      </c>
      <c r="F57" s="1391" t="s">
        <v>429</v>
      </c>
      <c r="G57" s="1392">
        <v>40983</v>
      </c>
      <c r="H57" s="470"/>
      <c r="I57" s="1391" t="s">
        <v>963</v>
      </c>
      <c r="J57" s="1391" t="s">
        <v>114</v>
      </c>
      <c r="K57" s="1390">
        <v>1780</v>
      </c>
      <c r="L57" s="1391" t="s">
        <v>1628</v>
      </c>
      <c r="M57" s="1391" t="s">
        <v>1546</v>
      </c>
    </row>
    <row r="58" spans="4:13" ht="30" hidden="1">
      <c r="D58" s="1390">
        <v>385</v>
      </c>
      <c r="E58" s="1391" t="s">
        <v>1629</v>
      </c>
      <c r="F58" s="1391" t="s">
        <v>136</v>
      </c>
      <c r="G58" s="1392">
        <v>41148</v>
      </c>
      <c r="H58" s="470"/>
      <c r="I58" s="1391" t="s">
        <v>963</v>
      </c>
      <c r="J58" s="1391" t="s">
        <v>114</v>
      </c>
      <c r="K58" s="1390">
        <v>1782</v>
      </c>
      <c r="L58" s="1391" t="s">
        <v>1630</v>
      </c>
      <c r="M58" s="1391" t="s">
        <v>1546</v>
      </c>
    </row>
    <row r="59" spans="4:13" ht="30" hidden="1">
      <c r="D59" s="1390">
        <v>386</v>
      </c>
      <c r="E59" s="1391" t="s">
        <v>1631</v>
      </c>
      <c r="F59" s="1391" t="s">
        <v>1632</v>
      </c>
      <c r="G59" s="1392">
        <v>41039</v>
      </c>
      <c r="H59" s="470"/>
      <c r="I59" s="1391" t="s">
        <v>963</v>
      </c>
      <c r="J59" s="1391" t="s">
        <v>114</v>
      </c>
      <c r="K59" s="1390">
        <v>1783</v>
      </c>
      <c r="L59" s="1391" t="s">
        <v>1633</v>
      </c>
      <c r="M59" s="1391" t="s">
        <v>1546</v>
      </c>
    </row>
    <row r="60" spans="4:13" ht="45" hidden="1">
      <c r="D60" s="1390">
        <v>390</v>
      </c>
      <c r="E60" s="1391" t="s">
        <v>1634</v>
      </c>
      <c r="F60" s="1391" t="s">
        <v>250</v>
      </c>
      <c r="G60" s="1392">
        <v>41094</v>
      </c>
      <c r="H60" s="470"/>
      <c r="I60" s="1391" t="s">
        <v>963</v>
      </c>
      <c r="J60" s="1391" t="s">
        <v>114</v>
      </c>
      <c r="K60" s="1390">
        <v>1787</v>
      </c>
      <c r="L60" s="1391" t="s">
        <v>1635</v>
      </c>
      <c r="M60" s="1391" t="s">
        <v>1546</v>
      </c>
    </row>
    <row r="61" spans="4:13" ht="30" hidden="1">
      <c r="D61" s="1390">
        <v>391</v>
      </c>
      <c r="E61" s="1391" t="s">
        <v>1636</v>
      </c>
      <c r="F61" s="1391" t="s">
        <v>228</v>
      </c>
      <c r="G61" s="1392">
        <v>41205</v>
      </c>
      <c r="H61" s="470"/>
      <c r="I61" s="1391" t="s">
        <v>963</v>
      </c>
      <c r="J61" s="1391" t="s">
        <v>114</v>
      </c>
      <c r="K61" s="1390">
        <v>1788</v>
      </c>
      <c r="L61" s="1391" t="s">
        <v>1637</v>
      </c>
      <c r="M61" s="1391" t="s">
        <v>1546</v>
      </c>
    </row>
    <row r="62" spans="4:13" ht="30" hidden="1">
      <c r="D62" s="1390">
        <v>396</v>
      </c>
      <c r="E62" s="1391" t="s">
        <v>1638</v>
      </c>
      <c r="F62" s="1391" t="s">
        <v>1639</v>
      </c>
      <c r="G62" s="1392">
        <v>41018</v>
      </c>
      <c r="H62" s="470"/>
      <c r="I62" s="1391" t="s">
        <v>963</v>
      </c>
      <c r="J62" s="1391" t="s">
        <v>114</v>
      </c>
      <c r="K62" s="1390">
        <v>1792</v>
      </c>
      <c r="L62" s="1391" t="s">
        <v>1640</v>
      </c>
      <c r="M62" s="1391" t="s">
        <v>1546</v>
      </c>
    </row>
    <row r="63" spans="4:13" ht="15" hidden="1">
      <c r="D63" s="1390">
        <v>397</v>
      </c>
      <c r="E63" s="1391" t="s">
        <v>1641</v>
      </c>
      <c r="F63" s="1391" t="s">
        <v>167</v>
      </c>
      <c r="G63" s="1392">
        <v>41079</v>
      </c>
      <c r="H63" s="1393">
        <v>39922</v>
      </c>
      <c r="I63" s="1391" t="s">
        <v>963</v>
      </c>
      <c r="J63" s="1391" t="s">
        <v>114</v>
      </c>
      <c r="K63" s="1390">
        <v>1793</v>
      </c>
      <c r="L63" s="1391" t="s">
        <v>1642</v>
      </c>
      <c r="M63" s="1391" t="s">
        <v>1546</v>
      </c>
    </row>
    <row r="64" spans="4:13" ht="30" hidden="1">
      <c r="D64" s="1390">
        <v>398</v>
      </c>
      <c r="E64" s="1391" t="s">
        <v>1643</v>
      </c>
      <c r="F64" s="1391" t="s">
        <v>137</v>
      </c>
      <c r="G64" s="1392">
        <v>41112</v>
      </c>
      <c r="H64" s="1393">
        <v>41089</v>
      </c>
      <c r="I64" s="1391" t="s">
        <v>963</v>
      </c>
      <c r="J64" s="1391" t="s">
        <v>1566</v>
      </c>
      <c r="K64" s="1390">
        <v>1794</v>
      </c>
      <c r="L64" s="1391" t="s">
        <v>1644</v>
      </c>
      <c r="M64" s="1391" t="s">
        <v>1546</v>
      </c>
    </row>
    <row r="65" spans="4:13" ht="30" hidden="1">
      <c r="D65" s="1390">
        <v>399</v>
      </c>
      <c r="E65" s="1391" t="s">
        <v>1645</v>
      </c>
      <c r="F65" s="1391" t="s">
        <v>138</v>
      </c>
      <c r="G65" s="1392">
        <v>41112</v>
      </c>
      <c r="H65" s="1393">
        <v>41089</v>
      </c>
      <c r="I65" s="1391" t="s">
        <v>963</v>
      </c>
      <c r="J65" s="1391" t="s">
        <v>1566</v>
      </c>
      <c r="K65" s="1390">
        <v>1795</v>
      </c>
      <c r="L65" s="1391" t="s">
        <v>1646</v>
      </c>
      <c r="M65" s="1391" t="s">
        <v>1546</v>
      </c>
    </row>
    <row r="66" spans="4:13" ht="30" hidden="1">
      <c r="D66" s="1390">
        <v>400</v>
      </c>
      <c r="E66" s="1391" t="s">
        <v>1647</v>
      </c>
      <c r="F66" s="1391" t="s">
        <v>139</v>
      </c>
      <c r="G66" s="1392">
        <v>41051</v>
      </c>
      <c r="H66" s="1393">
        <v>41018</v>
      </c>
      <c r="I66" s="1391" t="s">
        <v>963</v>
      </c>
      <c r="J66" s="1391" t="s">
        <v>1566</v>
      </c>
      <c r="K66" s="1390">
        <v>1796</v>
      </c>
      <c r="L66" s="1391" t="s">
        <v>1648</v>
      </c>
      <c r="M66" s="1391" t="s">
        <v>1546</v>
      </c>
    </row>
    <row r="67" spans="4:13" ht="30" hidden="1">
      <c r="D67" s="1390">
        <v>401</v>
      </c>
      <c r="E67" s="1391" t="s">
        <v>1649</v>
      </c>
      <c r="F67" s="1391" t="s">
        <v>140</v>
      </c>
      <c r="G67" s="1392">
        <v>41112</v>
      </c>
      <c r="H67" s="1393">
        <v>41089</v>
      </c>
      <c r="I67" s="1391" t="s">
        <v>963</v>
      </c>
      <c r="J67" s="1391" t="s">
        <v>1566</v>
      </c>
      <c r="K67" s="1390">
        <v>1797</v>
      </c>
      <c r="L67" s="1391" t="s">
        <v>1650</v>
      </c>
      <c r="M67" s="1391" t="s">
        <v>1546</v>
      </c>
    </row>
    <row r="68" spans="4:13" ht="30" hidden="1">
      <c r="D68" s="1390">
        <v>404</v>
      </c>
      <c r="E68" s="1391" t="s">
        <v>1651</v>
      </c>
      <c r="F68" s="1391" t="s">
        <v>141</v>
      </c>
      <c r="G68" s="1392">
        <v>41007</v>
      </c>
      <c r="H68" s="470"/>
      <c r="I68" s="1391" t="s">
        <v>963</v>
      </c>
      <c r="J68" s="1391" t="s">
        <v>114</v>
      </c>
      <c r="K68" s="1390">
        <v>1800</v>
      </c>
      <c r="L68" s="1391" t="s">
        <v>1652</v>
      </c>
      <c r="M68" s="1391" t="s">
        <v>1546</v>
      </c>
    </row>
    <row r="69" spans="4:13" ht="30" hidden="1">
      <c r="D69" s="1390">
        <v>405</v>
      </c>
      <c r="E69" s="1391" t="s">
        <v>1653</v>
      </c>
      <c r="F69" s="1391" t="s">
        <v>142</v>
      </c>
      <c r="G69" s="1392">
        <v>41007</v>
      </c>
      <c r="H69" s="470"/>
      <c r="I69" s="1391" t="s">
        <v>963</v>
      </c>
      <c r="J69" s="1391" t="s">
        <v>114</v>
      </c>
      <c r="K69" s="1390">
        <v>1802</v>
      </c>
      <c r="L69" s="1391" t="s">
        <v>1654</v>
      </c>
      <c r="M69" s="1391" t="s">
        <v>1546</v>
      </c>
    </row>
    <row r="70" spans="4:13" ht="30">
      <c r="D70" s="1390">
        <v>598</v>
      </c>
      <c r="E70" s="1391" t="s">
        <v>1655</v>
      </c>
      <c r="F70" s="1391" t="s">
        <v>1656</v>
      </c>
      <c r="G70" s="1392">
        <v>41485</v>
      </c>
      <c r="H70" s="470"/>
      <c r="I70" s="1391" t="s">
        <v>963</v>
      </c>
      <c r="J70" s="1391" t="s">
        <v>1566</v>
      </c>
      <c r="K70" s="1390">
        <v>1855</v>
      </c>
      <c r="L70" s="1391" t="s">
        <v>1657</v>
      </c>
      <c r="M70" s="1391" t="s">
        <v>1174</v>
      </c>
    </row>
    <row r="71" spans="4:13" ht="30">
      <c r="D71" s="1390">
        <v>2351</v>
      </c>
      <c r="E71" s="1391" t="s">
        <v>1658</v>
      </c>
      <c r="F71" s="1391" t="s">
        <v>403</v>
      </c>
      <c r="G71" s="1392">
        <v>41485</v>
      </c>
      <c r="H71" s="470"/>
      <c r="I71" s="1391" t="s">
        <v>963</v>
      </c>
      <c r="J71" s="1391" t="s">
        <v>1566</v>
      </c>
      <c r="K71" s="1390">
        <v>2062</v>
      </c>
      <c r="L71" s="1391" t="s">
        <v>1659</v>
      </c>
      <c r="M71" s="1391" t="s">
        <v>1174</v>
      </c>
    </row>
    <row r="72" spans="4:13" ht="45">
      <c r="D72" s="1390">
        <v>2381</v>
      </c>
      <c r="E72" s="1391" t="s">
        <v>1660</v>
      </c>
      <c r="F72" s="1391" t="s">
        <v>375</v>
      </c>
      <c r="G72" s="1392">
        <v>41485</v>
      </c>
      <c r="H72" s="470"/>
      <c r="I72" s="1391" t="s">
        <v>963</v>
      </c>
      <c r="J72" s="1391" t="s">
        <v>1566</v>
      </c>
      <c r="K72" s="1390">
        <v>2066</v>
      </c>
      <c r="L72" s="1391" t="s">
        <v>1661</v>
      </c>
      <c r="M72" s="1391" t="s">
        <v>1174</v>
      </c>
    </row>
    <row r="73" spans="4:13" ht="30" hidden="1">
      <c r="D73" s="1390">
        <v>2513</v>
      </c>
      <c r="E73" s="1391" t="s">
        <v>1662</v>
      </c>
      <c r="F73" s="1391" t="s">
        <v>1663</v>
      </c>
      <c r="G73" s="1392">
        <v>40909</v>
      </c>
      <c r="H73" s="470"/>
      <c r="I73" s="1391" t="s">
        <v>963</v>
      </c>
      <c r="J73" s="1391" t="s">
        <v>114</v>
      </c>
      <c r="K73" s="1390">
        <v>2076</v>
      </c>
      <c r="L73" s="1391" t="s">
        <v>114</v>
      </c>
      <c r="M73" s="1391" t="s">
        <v>114</v>
      </c>
    </row>
    <row r="74" spans="4:13" ht="45">
      <c r="D74" s="1390">
        <v>2763</v>
      </c>
      <c r="E74" s="1391" t="s">
        <v>1664</v>
      </c>
      <c r="F74" s="1391" t="s">
        <v>144</v>
      </c>
      <c r="G74" s="1392">
        <v>41485</v>
      </c>
      <c r="H74" s="470"/>
      <c r="I74" s="1391" t="s">
        <v>963</v>
      </c>
      <c r="J74" s="1391" t="s">
        <v>1566</v>
      </c>
      <c r="K74" s="1390">
        <v>2111</v>
      </c>
      <c r="L74" s="1391" t="s">
        <v>1665</v>
      </c>
      <c r="M74" s="1391" t="s">
        <v>1174</v>
      </c>
    </row>
    <row r="75" spans="4:13" ht="45">
      <c r="D75" s="1390">
        <v>2783</v>
      </c>
      <c r="E75" s="1391" t="s">
        <v>1666</v>
      </c>
      <c r="F75" s="1391" t="s">
        <v>414</v>
      </c>
      <c r="G75" s="1392">
        <v>41485</v>
      </c>
      <c r="H75" s="470"/>
      <c r="I75" s="1391" t="s">
        <v>963</v>
      </c>
      <c r="J75" s="1391" t="s">
        <v>1566</v>
      </c>
      <c r="K75" s="1390">
        <v>2114</v>
      </c>
      <c r="L75" s="1391" t="s">
        <v>1667</v>
      </c>
      <c r="M75" s="1391" t="s">
        <v>1174</v>
      </c>
    </row>
    <row r="76" spans="4:13" ht="15" hidden="1">
      <c r="D76" s="1390">
        <v>2866</v>
      </c>
      <c r="E76" s="1391" t="s">
        <v>1668</v>
      </c>
      <c r="F76" s="1391" t="s">
        <v>145</v>
      </c>
      <c r="G76" s="1392">
        <v>41084</v>
      </c>
      <c r="H76" s="470"/>
      <c r="I76" s="1391" t="s">
        <v>963</v>
      </c>
      <c r="J76" s="1391" t="s">
        <v>114</v>
      </c>
      <c r="K76" s="1390">
        <v>2126</v>
      </c>
      <c r="L76" s="1391" t="s">
        <v>1669</v>
      </c>
      <c r="M76" s="1391" t="s">
        <v>1546</v>
      </c>
    </row>
    <row r="77" spans="4:13" ht="30" hidden="1">
      <c r="D77" s="1390">
        <v>2904</v>
      </c>
      <c r="E77" s="1391" t="s">
        <v>1670</v>
      </c>
      <c r="F77" s="1391" t="s">
        <v>1671</v>
      </c>
      <c r="G77" s="1392">
        <v>41150</v>
      </c>
      <c r="H77" s="1393">
        <v>41135</v>
      </c>
      <c r="I77" s="1391" t="s">
        <v>963</v>
      </c>
      <c r="J77" s="1391" t="s">
        <v>1566</v>
      </c>
      <c r="K77" s="1390">
        <v>2134</v>
      </c>
      <c r="L77" s="1391" t="s">
        <v>1672</v>
      </c>
      <c r="M77" s="1391" t="s">
        <v>1546</v>
      </c>
    </row>
    <row r="78" spans="4:13" ht="30" hidden="1">
      <c r="D78" s="1390">
        <v>2937</v>
      </c>
      <c r="E78" s="1391" t="s">
        <v>1673</v>
      </c>
      <c r="F78" s="1391" t="s">
        <v>146</v>
      </c>
      <c r="G78" s="1392">
        <v>41205</v>
      </c>
      <c r="H78" s="470"/>
      <c r="I78" s="1391" t="s">
        <v>963</v>
      </c>
      <c r="J78" s="1391" t="s">
        <v>114</v>
      </c>
      <c r="K78" s="1390">
        <v>2141</v>
      </c>
      <c r="L78" s="1391" t="s">
        <v>1674</v>
      </c>
      <c r="M78" s="1391" t="s">
        <v>1546</v>
      </c>
    </row>
    <row r="79" spans="4:13" ht="30">
      <c r="D79" s="1390">
        <v>3223</v>
      </c>
      <c r="E79" s="1391" t="s">
        <v>1675</v>
      </c>
      <c r="F79" s="1391" t="s">
        <v>387</v>
      </c>
      <c r="G79" s="1392">
        <v>41423</v>
      </c>
      <c r="H79" s="470"/>
      <c r="I79" s="1391" t="s">
        <v>963</v>
      </c>
      <c r="J79" s="1391" t="s">
        <v>1566</v>
      </c>
      <c r="K79" s="1390">
        <v>2193</v>
      </c>
      <c r="L79" s="1391" t="s">
        <v>1676</v>
      </c>
      <c r="M79" s="1391" t="s">
        <v>1174</v>
      </c>
    </row>
    <row r="80" spans="4:13" ht="45">
      <c r="D80" s="1390">
        <v>3627</v>
      </c>
      <c r="E80" s="1391" t="s">
        <v>1677</v>
      </c>
      <c r="F80" s="1391" t="s">
        <v>398</v>
      </c>
      <c r="G80" s="1392">
        <v>41485</v>
      </c>
      <c r="H80" s="470"/>
      <c r="I80" s="1391" t="s">
        <v>963</v>
      </c>
      <c r="J80" s="1391" t="s">
        <v>1566</v>
      </c>
      <c r="K80" s="1390">
        <v>2215</v>
      </c>
      <c r="L80" s="1391" t="s">
        <v>1678</v>
      </c>
      <c r="M80" s="1391" t="s">
        <v>1174</v>
      </c>
    </row>
    <row r="81" spans="4:13" ht="45">
      <c r="D81" s="1390">
        <v>4248</v>
      </c>
      <c r="E81" s="1391" t="s">
        <v>1679</v>
      </c>
      <c r="F81" s="1391" t="s">
        <v>1680</v>
      </c>
      <c r="G81" s="1392">
        <v>41485</v>
      </c>
      <c r="H81" s="470"/>
      <c r="I81" s="1391" t="s">
        <v>963</v>
      </c>
      <c r="J81" s="1391" t="s">
        <v>1566</v>
      </c>
      <c r="K81" s="1390">
        <v>2245</v>
      </c>
      <c r="L81" s="1391" t="s">
        <v>1681</v>
      </c>
      <c r="M81" s="1391" t="s">
        <v>1174</v>
      </c>
    </row>
    <row r="82" spans="4:13" ht="105" hidden="1">
      <c r="D82" s="1390">
        <v>4950</v>
      </c>
      <c r="E82" s="1391" t="s">
        <v>1682</v>
      </c>
      <c r="F82" s="1391" t="s">
        <v>147</v>
      </c>
      <c r="G82" s="1392">
        <v>41057</v>
      </c>
      <c r="H82" s="1393">
        <v>41007</v>
      </c>
      <c r="I82" s="1391" t="s">
        <v>963</v>
      </c>
      <c r="J82" s="1391" t="s">
        <v>114</v>
      </c>
      <c r="K82" s="1390">
        <v>2285</v>
      </c>
      <c r="L82" s="1391" t="s">
        <v>1683</v>
      </c>
      <c r="M82" s="1391" t="s">
        <v>1546</v>
      </c>
    </row>
    <row r="83" spans="4:13" ht="15" hidden="1">
      <c r="D83" s="1390">
        <v>5160</v>
      </c>
      <c r="E83" s="1391" t="s">
        <v>1684</v>
      </c>
      <c r="F83" s="1391" t="s">
        <v>148</v>
      </c>
      <c r="G83" s="1392">
        <v>41204</v>
      </c>
      <c r="H83" s="1393">
        <v>41147</v>
      </c>
      <c r="I83" s="1391" t="s">
        <v>963</v>
      </c>
      <c r="J83" s="1391" t="s">
        <v>114</v>
      </c>
      <c r="K83" s="1390">
        <v>2313</v>
      </c>
      <c r="L83" s="1391" t="s">
        <v>1685</v>
      </c>
      <c r="M83" s="1391" t="s">
        <v>1546</v>
      </c>
    </row>
    <row r="84" spans="4:13" ht="30" hidden="1">
      <c r="D84" s="1390">
        <v>5216</v>
      </c>
      <c r="E84" s="1391" t="s">
        <v>1686</v>
      </c>
      <c r="F84" s="1391" t="s">
        <v>1687</v>
      </c>
      <c r="G84" s="1392">
        <v>41039</v>
      </c>
      <c r="H84" s="470"/>
      <c r="I84" s="1391" t="s">
        <v>963</v>
      </c>
      <c r="J84" s="1391" t="s">
        <v>114</v>
      </c>
      <c r="K84" s="1390">
        <v>2330</v>
      </c>
      <c r="L84" s="1391" t="s">
        <v>1688</v>
      </c>
      <c r="M84" s="1391" t="s">
        <v>1546</v>
      </c>
    </row>
    <row r="85" spans="4:13" ht="30" hidden="1">
      <c r="D85" s="1390">
        <v>5217</v>
      </c>
      <c r="E85" s="1391" t="s">
        <v>1689</v>
      </c>
      <c r="F85" s="1391" t="s">
        <v>1690</v>
      </c>
      <c r="G85" s="1392">
        <v>41039</v>
      </c>
      <c r="H85" s="470"/>
      <c r="I85" s="1391" t="s">
        <v>963</v>
      </c>
      <c r="J85" s="1391" t="s">
        <v>114</v>
      </c>
      <c r="K85" s="1390">
        <v>2331</v>
      </c>
      <c r="L85" s="1391" t="s">
        <v>1691</v>
      </c>
      <c r="M85" s="1391" t="s">
        <v>1546</v>
      </c>
    </row>
    <row r="86" spans="4:13" ht="45">
      <c r="D86" s="1390">
        <v>5274</v>
      </c>
      <c r="E86" s="1391" t="s">
        <v>1692</v>
      </c>
      <c r="F86" s="1391" t="s">
        <v>149</v>
      </c>
      <c r="G86" s="1392">
        <v>41393</v>
      </c>
      <c r="H86" s="470"/>
      <c r="I86" s="1391" t="s">
        <v>963</v>
      </c>
      <c r="J86" s="1391" t="s">
        <v>1566</v>
      </c>
      <c r="K86" s="1390">
        <v>2339</v>
      </c>
      <c r="L86" s="1391" t="s">
        <v>1693</v>
      </c>
      <c r="M86" s="1391" t="s">
        <v>1174</v>
      </c>
    </row>
    <row r="87" spans="4:13" ht="45">
      <c r="D87" s="1390">
        <v>5351</v>
      </c>
      <c r="E87" s="1391" t="s">
        <v>1694</v>
      </c>
      <c r="F87" s="1391" t="s">
        <v>150</v>
      </c>
      <c r="G87" s="1392">
        <v>41212</v>
      </c>
      <c r="H87" s="470"/>
      <c r="I87" s="1391" t="s">
        <v>963</v>
      </c>
      <c r="J87" s="1391" t="s">
        <v>1566</v>
      </c>
      <c r="K87" s="1390">
        <v>2340</v>
      </c>
      <c r="L87" s="1391" t="s">
        <v>1695</v>
      </c>
      <c r="M87" s="1391" t="s">
        <v>1174</v>
      </c>
    </row>
    <row r="88" spans="4:13" ht="60">
      <c r="D88" s="1390">
        <v>5352</v>
      </c>
      <c r="E88" s="1391" t="s">
        <v>1696</v>
      </c>
      <c r="F88" s="1391" t="s">
        <v>310</v>
      </c>
      <c r="G88" s="1392">
        <v>41182</v>
      </c>
      <c r="H88" s="470"/>
      <c r="I88" s="1391" t="s">
        <v>963</v>
      </c>
      <c r="J88" s="1391" t="s">
        <v>1566</v>
      </c>
      <c r="K88" s="1390">
        <v>2341</v>
      </c>
      <c r="L88" s="1391" t="s">
        <v>1697</v>
      </c>
      <c r="M88" s="1391" t="s">
        <v>1174</v>
      </c>
    </row>
    <row r="89" spans="4:13" ht="45">
      <c r="D89" s="1390">
        <v>5353</v>
      </c>
      <c r="E89" s="1391" t="s">
        <v>1698</v>
      </c>
      <c r="F89" s="1391" t="s">
        <v>151</v>
      </c>
      <c r="G89" s="1392">
        <v>41182</v>
      </c>
      <c r="H89" s="470"/>
      <c r="I89" s="1391" t="s">
        <v>963</v>
      </c>
      <c r="J89" s="1391" t="s">
        <v>1566</v>
      </c>
      <c r="K89" s="1390">
        <v>2342</v>
      </c>
      <c r="L89" s="1391" t="s">
        <v>1699</v>
      </c>
      <c r="M89" s="1391" t="s">
        <v>1174</v>
      </c>
    </row>
    <row r="90" spans="4:13" ht="30">
      <c r="D90" s="1390">
        <v>5355</v>
      </c>
      <c r="E90" s="1391" t="s">
        <v>1700</v>
      </c>
      <c r="F90" s="1391" t="s">
        <v>321</v>
      </c>
      <c r="G90" s="1392">
        <v>41182</v>
      </c>
      <c r="H90" s="470"/>
      <c r="I90" s="1391" t="s">
        <v>963</v>
      </c>
      <c r="J90" s="1391" t="s">
        <v>1566</v>
      </c>
      <c r="K90" s="1390">
        <v>2343</v>
      </c>
      <c r="L90" s="1391" t="s">
        <v>1701</v>
      </c>
      <c r="M90" s="1391" t="s">
        <v>1174</v>
      </c>
    </row>
    <row r="91" spans="4:13" ht="30">
      <c r="D91" s="1390">
        <v>5363</v>
      </c>
      <c r="E91" s="1391" t="s">
        <v>1702</v>
      </c>
      <c r="F91" s="1391" t="s">
        <v>328</v>
      </c>
      <c r="G91" s="1392">
        <v>41182</v>
      </c>
      <c r="H91" s="470"/>
      <c r="I91" s="1391" t="s">
        <v>963</v>
      </c>
      <c r="J91" s="1391" t="s">
        <v>1566</v>
      </c>
      <c r="K91" s="1390">
        <v>2344</v>
      </c>
      <c r="L91" s="1391" t="s">
        <v>1703</v>
      </c>
      <c r="M91" s="1391" t="s">
        <v>1174</v>
      </c>
    </row>
    <row r="92" spans="4:13" ht="30">
      <c r="D92" s="1390">
        <v>5364</v>
      </c>
      <c r="E92" s="1391" t="s">
        <v>1704</v>
      </c>
      <c r="F92" s="1391" t="s">
        <v>333</v>
      </c>
      <c r="G92" s="1392">
        <v>41182</v>
      </c>
      <c r="H92" s="470"/>
      <c r="I92" s="1391" t="s">
        <v>963</v>
      </c>
      <c r="J92" s="1391" t="s">
        <v>1566</v>
      </c>
      <c r="K92" s="1390">
        <v>2345</v>
      </c>
      <c r="L92" s="1391" t="s">
        <v>1705</v>
      </c>
      <c r="M92" s="1391" t="s">
        <v>1174</v>
      </c>
    </row>
    <row r="93" spans="4:13" ht="30">
      <c r="D93" s="1390">
        <v>5365</v>
      </c>
      <c r="E93" s="1391" t="s">
        <v>1706</v>
      </c>
      <c r="F93" s="1391" t="s">
        <v>339</v>
      </c>
      <c r="G93" s="1392">
        <v>41182</v>
      </c>
      <c r="H93" s="470"/>
      <c r="I93" s="1391" t="s">
        <v>963</v>
      </c>
      <c r="J93" s="1391" t="s">
        <v>1566</v>
      </c>
      <c r="K93" s="1390">
        <v>2346</v>
      </c>
      <c r="L93" s="1391" t="s">
        <v>1707</v>
      </c>
      <c r="M93" s="1391" t="s">
        <v>1174</v>
      </c>
    </row>
    <row r="94" spans="4:13" ht="45">
      <c r="D94" s="1390">
        <v>5366</v>
      </c>
      <c r="E94" s="1391" t="s">
        <v>1708</v>
      </c>
      <c r="F94" s="1391" t="s">
        <v>153</v>
      </c>
      <c r="G94" s="1392">
        <v>41182</v>
      </c>
      <c r="H94" s="470"/>
      <c r="I94" s="1391" t="s">
        <v>963</v>
      </c>
      <c r="J94" s="1391" t="s">
        <v>1566</v>
      </c>
      <c r="K94" s="1390">
        <v>2347</v>
      </c>
      <c r="L94" s="1391" t="s">
        <v>1709</v>
      </c>
      <c r="M94" s="1391" t="s">
        <v>1174</v>
      </c>
    </row>
    <row r="95" spans="4:13" ht="30">
      <c r="D95" s="1390">
        <v>5367</v>
      </c>
      <c r="E95" s="1391" t="s">
        <v>1710</v>
      </c>
      <c r="F95" s="1391" t="s">
        <v>9</v>
      </c>
      <c r="G95" s="1392">
        <v>40899</v>
      </c>
      <c r="H95" s="470"/>
      <c r="I95" s="1391" t="s">
        <v>963</v>
      </c>
      <c r="J95" s="1391" t="s">
        <v>1566</v>
      </c>
      <c r="K95" s="1390">
        <v>2348</v>
      </c>
      <c r="L95" s="1391" t="s">
        <v>1711</v>
      </c>
      <c r="M95" s="1391" t="s">
        <v>1174</v>
      </c>
    </row>
    <row r="96" spans="4:13" ht="30">
      <c r="D96" s="1390">
        <v>5368</v>
      </c>
      <c r="E96" s="1391" t="s">
        <v>1712</v>
      </c>
      <c r="F96" s="1391" t="s">
        <v>344</v>
      </c>
      <c r="G96" s="1392">
        <v>41182</v>
      </c>
      <c r="H96" s="470"/>
      <c r="I96" s="1391" t="s">
        <v>963</v>
      </c>
      <c r="J96" s="1391" t="s">
        <v>1566</v>
      </c>
      <c r="K96" s="1390">
        <v>2349</v>
      </c>
      <c r="L96" s="1391" t="s">
        <v>1713</v>
      </c>
      <c r="M96" s="1391" t="s">
        <v>1174</v>
      </c>
    </row>
    <row r="97" spans="4:13" ht="30">
      <c r="D97" s="1390">
        <v>5369</v>
      </c>
      <c r="E97" s="1391" t="s">
        <v>1714</v>
      </c>
      <c r="F97" s="1391" t="s">
        <v>349</v>
      </c>
      <c r="G97" s="1392">
        <v>41182</v>
      </c>
      <c r="H97" s="470"/>
      <c r="I97" s="1391" t="s">
        <v>963</v>
      </c>
      <c r="J97" s="1391" t="s">
        <v>1566</v>
      </c>
      <c r="K97" s="1390">
        <v>2350</v>
      </c>
      <c r="L97" s="1391" t="s">
        <v>1715</v>
      </c>
      <c r="M97" s="1391" t="s">
        <v>1174</v>
      </c>
    </row>
    <row r="98" spans="4:13" ht="30">
      <c r="D98" s="1390">
        <v>5370</v>
      </c>
      <c r="E98" s="1391" t="s">
        <v>1716</v>
      </c>
      <c r="F98" s="1391" t="s">
        <v>154</v>
      </c>
      <c r="G98" s="1392">
        <v>41182</v>
      </c>
      <c r="H98" s="470"/>
      <c r="I98" s="1391" t="s">
        <v>963</v>
      </c>
      <c r="J98" s="1391" t="s">
        <v>1566</v>
      </c>
      <c r="K98" s="1390">
        <v>2351</v>
      </c>
      <c r="L98" s="1391" t="s">
        <v>1717</v>
      </c>
      <c r="M98" s="1391" t="s">
        <v>1174</v>
      </c>
    </row>
    <row r="99" spans="4:13" ht="30">
      <c r="D99" s="1390">
        <v>5371</v>
      </c>
      <c r="E99" s="1391" t="s">
        <v>1718</v>
      </c>
      <c r="F99" s="1391" t="s">
        <v>358</v>
      </c>
      <c r="G99" s="1392">
        <v>41182</v>
      </c>
      <c r="H99" s="470"/>
      <c r="I99" s="1391" t="s">
        <v>963</v>
      </c>
      <c r="J99" s="1391" t="s">
        <v>1566</v>
      </c>
      <c r="K99" s="1390">
        <v>2352</v>
      </c>
      <c r="L99" s="1391" t="s">
        <v>1719</v>
      </c>
      <c r="M99" s="1391" t="s">
        <v>1174</v>
      </c>
    </row>
    <row r="100" spans="4:13" ht="30">
      <c r="D100" s="1390">
        <v>5373</v>
      </c>
      <c r="E100" s="1391" t="s">
        <v>1720</v>
      </c>
      <c r="F100" s="1391" t="s">
        <v>365</v>
      </c>
      <c r="G100" s="1392">
        <v>41182</v>
      </c>
      <c r="H100" s="470"/>
      <c r="I100" s="1391" t="s">
        <v>963</v>
      </c>
      <c r="J100" s="1391" t="s">
        <v>1566</v>
      </c>
      <c r="K100" s="1390">
        <v>2353</v>
      </c>
      <c r="L100" s="1391" t="s">
        <v>1721</v>
      </c>
      <c r="M100" s="1391" t="s">
        <v>1174</v>
      </c>
    </row>
    <row r="101" spans="4:13" ht="45">
      <c r="D101" s="1390">
        <v>5377</v>
      </c>
      <c r="E101" s="1391" t="s">
        <v>1722</v>
      </c>
      <c r="F101" s="1391" t="s">
        <v>309</v>
      </c>
      <c r="G101" s="1392">
        <v>41393</v>
      </c>
      <c r="H101" s="470"/>
      <c r="I101" s="1391" t="s">
        <v>963</v>
      </c>
      <c r="J101" s="1391" t="s">
        <v>1566</v>
      </c>
      <c r="K101" s="1390">
        <v>2355</v>
      </c>
      <c r="L101" s="1391" t="s">
        <v>1723</v>
      </c>
      <c r="M101" s="1391" t="s">
        <v>1174</v>
      </c>
    </row>
    <row r="102" spans="4:13" ht="45">
      <c r="D102" s="1390">
        <v>5378</v>
      </c>
      <c r="E102" s="1391" t="s">
        <v>1724</v>
      </c>
      <c r="F102" s="1391" t="s">
        <v>241</v>
      </c>
      <c r="G102" s="1392">
        <v>41393</v>
      </c>
      <c r="H102" s="470"/>
      <c r="I102" s="1391" t="s">
        <v>963</v>
      </c>
      <c r="J102" s="1391" t="s">
        <v>1566</v>
      </c>
      <c r="K102" s="1390">
        <v>2356</v>
      </c>
      <c r="L102" s="1391" t="s">
        <v>1725</v>
      </c>
      <c r="M102" s="1391" t="s">
        <v>1174</v>
      </c>
    </row>
    <row r="103" spans="4:13" ht="45">
      <c r="D103" s="1390">
        <v>5379</v>
      </c>
      <c r="E103" s="1391" t="s">
        <v>1726</v>
      </c>
      <c r="F103" s="1391" t="s">
        <v>277</v>
      </c>
      <c r="G103" s="1392">
        <v>41212</v>
      </c>
      <c r="H103" s="470"/>
      <c r="I103" s="1391" t="s">
        <v>963</v>
      </c>
      <c r="J103" s="1391" t="s">
        <v>1566</v>
      </c>
      <c r="K103" s="1390">
        <v>2357</v>
      </c>
      <c r="L103" s="1391" t="s">
        <v>1727</v>
      </c>
      <c r="M103" s="1391" t="s">
        <v>1174</v>
      </c>
    </row>
    <row r="104" spans="4:13" ht="45">
      <c r="D104" s="1390">
        <v>5381</v>
      </c>
      <c r="E104" s="1391" t="s">
        <v>1728</v>
      </c>
      <c r="F104" s="1391" t="s">
        <v>220</v>
      </c>
      <c r="G104" s="1392">
        <v>41152</v>
      </c>
      <c r="H104" s="470"/>
      <c r="I104" s="1391" t="s">
        <v>963</v>
      </c>
      <c r="J104" s="1391" t="s">
        <v>1566</v>
      </c>
      <c r="K104" s="1390">
        <v>2358</v>
      </c>
      <c r="L104" s="1391" t="s">
        <v>1729</v>
      </c>
      <c r="M104" s="1391" t="s">
        <v>1174</v>
      </c>
    </row>
    <row r="105" spans="4:13" ht="45">
      <c r="D105" s="1390">
        <v>5382</v>
      </c>
      <c r="E105" s="1391" t="s">
        <v>1730</v>
      </c>
      <c r="F105" s="1391" t="s">
        <v>246</v>
      </c>
      <c r="G105" s="1392">
        <v>41101</v>
      </c>
      <c r="H105" s="470"/>
      <c r="I105" s="1391" t="s">
        <v>963</v>
      </c>
      <c r="J105" s="1391" t="s">
        <v>1566</v>
      </c>
      <c r="K105" s="1390">
        <v>2359</v>
      </c>
      <c r="L105" s="1391" t="s">
        <v>1731</v>
      </c>
      <c r="M105" s="1391" t="s">
        <v>1174</v>
      </c>
    </row>
    <row r="106" spans="4:13" ht="45">
      <c r="D106" s="1390">
        <v>5384</v>
      </c>
      <c r="E106" s="1391" t="s">
        <v>1732</v>
      </c>
      <c r="F106" s="1391" t="s">
        <v>266</v>
      </c>
      <c r="G106" s="1392">
        <v>41423</v>
      </c>
      <c r="H106" s="470"/>
      <c r="I106" s="1391" t="s">
        <v>963</v>
      </c>
      <c r="J106" s="1391" t="s">
        <v>1566</v>
      </c>
      <c r="K106" s="1390">
        <v>2360</v>
      </c>
      <c r="L106" s="1391" t="s">
        <v>1733</v>
      </c>
      <c r="M106" s="1391" t="s">
        <v>1174</v>
      </c>
    </row>
    <row r="107" spans="4:13" ht="45">
      <c r="D107" s="1390">
        <v>5385</v>
      </c>
      <c r="E107" s="1391" t="s">
        <v>1734</v>
      </c>
      <c r="F107" s="1391" t="s">
        <v>271</v>
      </c>
      <c r="G107" s="1392">
        <v>41379</v>
      </c>
      <c r="H107" s="470"/>
      <c r="I107" s="1391" t="s">
        <v>963</v>
      </c>
      <c r="J107" s="1391" t="s">
        <v>1566</v>
      </c>
      <c r="K107" s="1390">
        <v>2361</v>
      </c>
      <c r="L107" s="1391" t="s">
        <v>1735</v>
      </c>
      <c r="M107" s="1391" t="s">
        <v>1174</v>
      </c>
    </row>
    <row r="108" spans="4:13" ht="45">
      <c r="D108" s="1390">
        <v>5386</v>
      </c>
      <c r="E108" s="1391" t="s">
        <v>1736</v>
      </c>
      <c r="F108" s="1391" t="s">
        <v>236</v>
      </c>
      <c r="G108" s="1392">
        <v>41212</v>
      </c>
      <c r="H108" s="470"/>
      <c r="I108" s="1391" t="s">
        <v>963</v>
      </c>
      <c r="J108" s="1391" t="s">
        <v>1566</v>
      </c>
      <c r="K108" s="1390">
        <v>2362</v>
      </c>
      <c r="L108" s="1391" t="s">
        <v>1737</v>
      </c>
      <c r="M108" s="1391" t="s">
        <v>1174</v>
      </c>
    </row>
    <row r="109" spans="4:13" ht="15" hidden="1">
      <c r="D109" s="1390">
        <v>5697</v>
      </c>
      <c r="E109" s="1391" t="s">
        <v>1738</v>
      </c>
      <c r="F109" s="1391" t="s">
        <v>156</v>
      </c>
      <c r="G109" s="1392">
        <v>41143</v>
      </c>
      <c r="H109" s="1393">
        <v>41128</v>
      </c>
      <c r="I109" s="1391" t="s">
        <v>963</v>
      </c>
      <c r="J109" s="1391" t="s">
        <v>114</v>
      </c>
      <c r="K109" s="1390">
        <v>2382</v>
      </c>
      <c r="L109" s="1391" t="s">
        <v>1739</v>
      </c>
      <c r="M109" s="1391" t="s">
        <v>1546</v>
      </c>
    </row>
    <row r="110" spans="4:13" ht="30" hidden="1">
      <c r="D110" s="1390">
        <v>5707</v>
      </c>
      <c r="E110" s="1391" t="s">
        <v>1740</v>
      </c>
      <c r="F110" s="1391" t="s">
        <v>157</v>
      </c>
      <c r="G110" s="1392">
        <v>41235</v>
      </c>
      <c r="H110" s="1393">
        <v>41207</v>
      </c>
      <c r="I110" s="1391" t="s">
        <v>963</v>
      </c>
      <c r="J110" s="1391" t="s">
        <v>114</v>
      </c>
      <c r="K110" s="1390">
        <v>2386</v>
      </c>
      <c r="L110" s="1391" t="s">
        <v>1741</v>
      </c>
      <c r="M110" s="1391" t="s">
        <v>1546</v>
      </c>
    </row>
    <row r="111" spans="4:13" ht="15" hidden="1">
      <c r="D111" s="1390">
        <v>6072</v>
      </c>
      <c r="E111" s="1391" t="s">
        <v>1742</v>
      </c>
      <c r="F111" s="1391" t="s">
        <v>1743</v>
      </c>
      <c r="G111" s="1392">
        <v>41204</v>
      </c>
      <c r="H111" s="1393">
        <v>41164</v>
      </c>
      <c r="I111" s="1391" t="s">
        <v>963</v>
      </c>
      <c r="J111" s="1391" t="s">
        <v>114</v>
      </c>
      <c r="K111" s="1390">
        <v>2407</v>
      </c>
      <c r="L111" s="1391" t="s">
        <v>1744</v>
      </c>
      <c r="M111" s="1391" t="s">
        <v>1546</v>
      </c>
    </row>
    <row r="112" spans="4:13" ht="30" hidden="1">
      <c r="D112" s="1390">
        <v>6585</v>
      </c>
      <c r="E112" s="1391" t="s">
        <v>1745</v>
      </c>
      <c r="F112" s="1391" t="s">
        <v>158</v>
      </c>
      <c r="G112" s="1392">
        <v>41082</v>
      </c>
      <c r="H112" s="1393">
        <v>41078</v>
      </c>
      <c r="I112" s="1391" t="s">
        <v>963</v>
      </c>
      <c r="J112" s="1391" t="s">
        <v>114</v>
      </c>
      <c r="K112" s="1390">
        <v>2444</v>
      </c>
      <c r="L112" s="1391" t="s">
        <v>1746</v>
      </c>
      <c r="M112" s="1391" t="s">
        <v>1546</v>
      </c>
    </row>
    <row r="113" spans="4:13" ht="30" hidden="1">
      <c r="D113" s="1390">
        <v>6587</v>
      </c>
      <c r="E113" s="1391" t="s">
        <v>1747</v>
      </c>
      <c r="F113" s="1391" t="s">
        <v>159</v>
      </c>
      <c r="G113" s="1392">
        <v>41021</v>
      </c>
      <c r="H113" s="470"/>
      <c r="I113" s="1391" t="s">
        <v>963</v>
      </c>
      <c r="J113" s="1391" t="s">
        <v>114</v>
      </c>
      <c r="K113" s="1390">
        <v>2445</v>
      </c>
      <c r="L113" s="1391" t="s">
        <v>1748</v>
      </c>
      <c r="M113" s="1391" t="s">
        <v>1546</v>
      </c>
    </row>
    <row r="114" spans="4:13" ht="30" hidden="1">
      <c r="D114" s="1390">
        <v>6600</v>
      </c>
      <c r="E114" s="1391" t="s">
        <v>1749</v>
      </c>
      <c r="F114" s="1391" t="s">
        <v>160</v>
      </c>
      <c r="G114" s="1392">
        <v>41149</v>
      </c>
      <c r="H114" s="470"/>
      <c r="I114" s="1391" t="s">
        <v>963</v>
      </c>
      <c r="J114" s="1391" t="s">
        <v>114</v>
      </c>
      <c r="K114" s="1390">
        <v>2452</v>
      </c>
      <c r="L114" s="1391" t="s">
        <v>1750</v>
      </c>
      <c r="M114" s="1391" t="s">
        <v>1546</v>
      </c>
    </row>
    <row r="115" spans="4:13" ht="60">
      <c r="D115" s="1390">
        <v>6609</v>
      </c>
      <c r="E115" s="1391" t="s">
        <v>1751</v>
      </c>
      <c r="F115" s="1391" t="s">
        <v>259</v>
      </c>
      <c r="G115" s="1392">
        <v>41411</v>
      </c>
      <c r="H115" s="470"/>
      <c r="I115" s="1391" t="s">
        <v>963</v>
      </c>
      <c r="J115" s="1391" t="s">
        <v>1566</v>
      </c>
      <c r="K115" s="1390">
        <v>2455</v>
      </c>
      <c r="L115" s="1391" t="s">
        <v>1752</v>
      </c>
      <c r="M115" s="1391" t="s">
        <v>1174</v>
      </c>
    </row>
    <row r="116" spans="4:13" ht="45">
      <c r="D116" s="1390">
        <v>6610</v>
      </c>
      <c r="E116" s="1391" t="s">
        <v>1753</v>
      </c>
      <c r="F116" s="1391" t="s">
        <v>253</v>
      </c>
      <c r="G116" s="1392">
        <v>41243</v>
      </c>
      <c r="H116" s="470"/>
      <c r="I116" s="1391" t="s">
        <v>963</v>
      </c>
      <c r="J116" s="1391" t="s">
        <v>1566</v>
      </c>
      <c r="K116" s="1390">
        <v>2456</v>
      </c>
      <c r="L116" s="1391" t="s">
        <v>1754</v>
      </c>
      <c r="M116" s="1391" t="s">
        <v>1174</v>
      </c>
    </row>
    <row r="117" spans="4:13" ht="30" hidden="1">
      <c r="D117" s="1390">
        <v>6611</v>
      </c>
      <c r="E117" s="1391" t="s">
        <v>1755</v>
      </c>
      <c r="F117" s="1391" t="s">
        <v>162</v>
      </c>
      <c r="G117" s="1392">
        <v>40943</v>
      </c>
      <c r="H117" s="470"/>
      <c r="I117" s="1391" t="s">
        <v>963</v>
      </c>
      <c r="J117" s="1391" t="s">
        <v>114</v>
      </c>
      <c r="K117" s="1390">
        <v>2457</v>
      </c>
      <c r="L117" s="1391" t="s">
        <v>1756</v>
      </c>
      <c r="M117" s="1391" t="s">
        <v>1546</v>
      </c>
    </row>
    <row r="118" spans="4:13" ht="30" hidden="1">
      <c r="D118" s="1390">
        <v>6612</v>
      </c>
      <c r="E118" s="1391" t="s">
        <v>1757</v>
      </c>
      <c r="F118" s="1391" t="s">
        <v>163</v>
      </c>
      <c r="G118" s="1392">
        <v>41082</v>
      </c>
      <c r="H118" s="1393">
        <v>41078</v>
      </c>
      <c r="I118" s="1391" t="s">
        <v>963</v>
      </c>
      <c r="J118" s="1391" t="s">
        <v>1566</v>
      </c>
      <c r="K118" s="1390">
        <v>2458</v>
      </c>
      <c r="L118" s="1391" t="s">
        <v>1758</v>
      </c>
      <c r="M118" s="1391" t="s">
        <v>1546</v>
      </c>
    </row>
    <row r="119" spans="4:13" ht="30">
      <c r="D119" s="1390">
        <v>6896</v>
      </c>
      <c r="E119" s="1391" t="s">
        <v>1759</v>
      </c>
      <c r="F119" s="1391" t="s">
        <v>252</v>
      </c>
      <c r="G119" s="1392">
        <v>41182</v>
      </c>
      <c r="H119" s="470"/>
      <c r="I119" s="1391" t="s">
        <v>963</v>
      </c>
      <c r="J119" s="1391" t="s">
        <v>1566</v>
      </c>
      <c r="K119" s="1390">
        <v>2479</v>
      </c>
      <c r="L119" s="1391" t="s">
        <v>1760</v>
      </c>
      <c r="M119" s="1391" t="s">
        <v>1174</v>
      </c>
    </row>
    <row r="120" spans="4:13" ht="45">
      <c r="D120" s="1390">
        <v>6897</v>
      </c>
      <c r="E120" s="1391" t="s">
        <v>1761</v>
      </c>
      <c r="F120" s="1391" t="s">
        <v>1762</v>
      </c>
      <c r="G120" s="1392">
        <v>41182</v>
      </c>
      <c r="H120" s="470"/>
      <c r="I120" s="1391" t="s">
        <v>963</v>
      </c>
      <c r="J120" s="1391" t="s">
        <v>1566</v>
      </c>
      <c r="K120" s="1390">
        <v>2480</v>
      </c>
      <c r="L120" s="1391" t="s">
        <v>1763</v>
      </c>
      <c r="M120" s="1391" t="s">
        <v>1174</v>
      </c>
    </row>
    <row r="121" spans="4:13" ht="30">
      <c r="D121" s="1390">
        <v>6898</v>
      </c>
      <c r="E121" s="1391" t="s">
        <v>1764</v>
      </c>
      <c r="F121" s="1391" t="s">
        <v>299</v>
      </c>
      <c r="G121" s="1392">
        <v>41182</v>
      </c>
      <c r="H121" s="470"/>
      <c r="I121" s="1391" t="s">
        <v>963</v>
      </c>
      <c r="J121" s="1391" t="s">
        <v>1566</v>
      </c>
      <c r="K121" s="1390">
        <v>2481</v>
      </c>
      <c r="L121" s="1391" t="s">
        <v>1765</v>
      </c>
      <c r="M121" s="1391" t="s">
        <v>1174</v>
      </c>
    </row>
    <row r="122" spans="4:13" ht="30">
      <c r="D122" s="1390">
        <v>7016</v>
      </c>
      <c r="E122" s="1391" t="s">
        <v>1766</v>
      </c>
      <c r="F122" s="1391" t="s">
        <v>370</v>
      </c>
      <c r="G122" s="1392">
        <v>41182</v>
      </c>
      <c r="H122" s="470"/>
      <c r="I122" s="1391" t="s">
        <v>963</v>
      </c>
      <c r="J122" s="1391" t="s">
        <v>1566</v>
      </c>
      <c r="K122" s="1390">
        <v>2496</v>
      </c>
      <c r="L122" s="1391" t="s">
        <v>1767</v>
      </c>
      <c r="M122" s="1391" t="s">
        <v>1174</v>
      </c>
    </row>
    <row r="123" spans="4:13" ht="30" hidden="1">
      <c r="D123" s="1390">
        <v>7019</v>
      </c>
      <c r="E123" s="1391" t="s">
        <v>1768</v>
      </c>
      <c r="F123" s="1391" t="s">
        <v>164</v>
      </c>
      <c r="G123" s="1392">
        <v>41214</v>
      </c>
      <c r="H123" s="1393">
        <v>41214</v>
      </c>
      <c r="I123" s="1391" t="s">
        <v>963</v>
      </c>
      <c r="J123" s="1391" t="s">
        <v>114</v>
      </c>
      <c r="K123" s="1390">
        <v>2497</v>
      </c>
      <c r="L123" s="1391" t="s">
        <v>1769</v>
      </c>
      <c r="M123" s="1391" t="s">
        <v>1546</v>
      </c>
    </row>
    <row r="124" spans="4:13" ht="30">
      <c r="D124" s="1390">
        <v>7371</v>
      </c>
      <c r="E124" s="1391" t="s">
        <v>1770</v>
      </c>
      <c r="F124" s="1391" t="s">
        <v>165</v>
      </c>
      <c r="G124" s="1392">
        <v>41485</v>
      </c>
      <c r="H124" s="470"/>
      <c r="I124" s="1391" t="s">
        <v>963</v>
      </c>
      <c r="J124" s="1391" t="s">
        <v>1566</v>
      </c>
      <c r="K124" s="1390">
        <v>2527</v>
      </c>
      <c r="L124" s="1391" t="s">
        <v>1771</v>
      </c>
      <c r="M124" s="1391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1772</v>
      </c>
      <c r="G3" s="424" t="s">
        <v>1773</v>
      </c>
    </row>
    <row r="4" spans="2:7">
      <c r="B4" s="435" t="s">
        <v>1774</v>
      </c>
      <c r="C4" s="435" t="s">
        <v>1775</v>
      </c>
      <c r="D4" s="435" t="s">
        <v>856</v>
      </c>
      <c r="E4" s="424"/>
      <c r="F4" s="1394" t="s">
        <v>1776</v>
      </c>
      <c r="G4" s="1395" t="e">
        <f>(C10*G7)/G5</f>
        <v>#REF!</v>
      </c>
    </row>
    <row r="5" spans="2:7">
      <c r="B5" s="1396" t="s">
        <v>1777</v>
      </c>
      <c r="C5" s="1397"/>
      <c r="D5" s="1398"/>
      <c r="F5" s="1394" t="s">
        <v>1778</v>
      </c>
      <c r="G5" s="1399" t="e">
        <f>(((1+C7)^G6)*C7)/(((1+C7)^G6)-1)</f>
        <v>#REF!</v>
      </c>
    </row>
    <row r="6" spans="2:7">
      <c r="B6" s="1396" t="s">
        <v>1779</v>
      </c>
      <c r="C6" s="1397"/>
      <c r="D6" s="1398"/>
      <c r="F6" s="1394" t="s">
        <v>1780</v>
      </c>
      <c r="G6" s="1400" t="e">
        <f>G7/(C8*C9)</f>
        <v>#REF!</v>
      </c>
    </row>
    <row r="7" spans="2:7">
      <c r="B7" s="1396" t="s">
        <v>1781</v>
      </c>
      <c r="C7" s="1401">
        <f>'BD-NET'!Q114</f>
        <v>8.1942000000000001E-2</v>
      </c>
      <c r="D7" s="1398"/>
      <c r="F7" s="1394" t="s">
        <v>1782</v>
      </c>
      <c r="G7" s="1402">
        <f>12*(20000*C6+10000*C5)</f>
        <v>0</v>
      </c>
    </row>
    <row r="8" spans="2:7">
      <c r="B8" s="1396" t="s">
        <v>1783</v>
      </c>
      <c r="C8" s="1403" t="e">
        <f>C24</f>
        <v>#REF!</v>
      </c>
      <c r="D8" s="1404" t="s">
        <v>1784</v>
      </c>
    </row>
    <row r="9" spans="2:7">
      <c r="B9" s="1396" t="s">
        <v>1785</v>
      </c>
      <c r="C9" s="1405"/>
      <c r="D9" s="1398"/>
    </row>
    <row r="10" spans="2:7">
      <c r="B10" s="1396" t="s">
        <v>1786</v>
      </c>
      <c r="C10" s="1406" t="e">
        <f>F14</f>
        <v>#REF!</v>
      </c>
      <c r="D10" s="1398"/>
    </row>
    <row r="12" spans="2:7">
      <c r="B12" s="435" t="s">
        <v>1787</v>
      </c>
      <c r="C12" s="435" t="s">
        <v>725</v>
      </c>
      <c r="D12" s="435" t="s">
        <v>1788</v>
      </c>
      <c r="E12" s="435" t="s">
        <v>1789</v>
      </c>
      <c r="F12" s="435" t="s">
        <v>1790</v>
      </c>
    </row>
    <row r="13" spans="2:7" ht="13.5" thickBot="1">
      <c r="B13" s="1396" t="s">
        <v>1791</v>
      </c>
      <c r="C13" s="1407" t="e">
        <f>C38</f>
        <v>#REF!</v>
      </c>
      <c r="D13" s="1396"/>
      <c r="E13" s="1396"/>
      <c r="F13" s="1408"/>
    </row>
    <row r="14" spans="2:7" ht="13.5" thickBot="1">
      <c r="B14" s="1396" t="s">
        <v>1792</v>
      </c>
      <c r="C14" s="1407" t="e">
        <f>(C32+E55)*($C$38/$C$35)</f>
        <v>#REF!</v>
      </c>
      <c r="D14" s="1409" t="e">
        <f>$C$17*(C14/($C$14+$C$15+$C$16))</f>
        <v>#REF!</v>
      </c>
      <c r="E14" s="1410" t="e">
        <f>C14-D14</f>
        <v>#REF!</v>
      </c>
      <c r="F14" s="458" t="e">
        <f>E14/$C$13</f>
        <v>#REF!</v>
      </c>
      <c r="G14" s="459" t="s">
        <v>1793</v>
      </c>
    </row>
    <row r="15" spans="2:7">
      <c r="B15" s="1396" t="s">
        <v>1794</v>
      </c>
      <c r="C15" s="1407" t="e">
        <f>C27*($C$38/$C$35)</f>
        <v>#REF!</v>
      </c>
      <c r="D15" s="1409" t="e">
        <f>$C$17*(C15/($C$14+$C$15+$C$16))</f>
        <v>#REF!</v>
      </c>
      <c r="E15" s="1409" t="e">
        <f>C15-D15</f>
        <v>#REF!</v>
      </c>
      <c r="F15" s="1411" t="e">
        <f>E15/$C$13</f>
        <v>#REF!</v>
      </c>
    </row>
    <row r="16" spans="2:7">
      <c r="B16" s="1396" t="s">
        <v>1795</v>
      </c>
      <c r="C16" s="1407" t="e">
        <f>(C33+D54)*($C$38/$C$35)</f>
        <v>#REF!</v>
      </c>
      <c r="D16" s="1409" t="e">
        <f>$C$17*(C16/($C$14+$C$15+$C$16))</f>
        <v>#REF!</v>
      </c>
      <c r="E16" s="1409" t="e">
        <f>C16-D16</f>
        <v>#REF!</v>
      </c>
      <c r="F16" s="1412" t="e">
        <f>E16/$C$13</f>
        <v>#REF!</v>
      </c>
    </row>
    <row r="17" spans="2:6">
      <c r="B17" s="1396" t="s">
        <v>1796</v>
      </c>
      <c r="C17" s="1407" t="e">
        <f>C39</f>
        <v>#REF!</v>
      </c>
      <c r="D17" s="1396"/>
      <c r="E17" s="1396"/>
      <c r="F17" s="1413" t="e">
        <f>C17/C13</f>
        <v>#REF!</v>
      </c>
    </row>
    <row r="18" spans="2:6">
      <c r="D18" s="440" t="e">
        <f>SUM(D14:D17)</f>
        <v>#REF!</v>
      </c>
      <c r="F18" s="1414" t="e">
        <f>SUM(F14:F17)</f>
        <v>#REF!</v>
      </c>
    </row>
    <row r="19" spans="2:6">
      <c r="B19" s="431" t="s">
        <v>1797</v>
      </c>
    </row>
    <row r="20" spans="2:6">
      <c r="B20" s="431"/>
    </row>
    <row r="21" spans="2:6">
      <c r="B21" s="1415" t="s">
        <v>1798</v>
      </c>
      <c r="C21" s="1416" t="e">
        <f>LnkTxtPBCAOMCAA</f>
        <v>#NAME?</v>
      </c>
    </row>
    <row r="22" spans="2:6">
      <c r="B22" s="432" t="s">
        <v>1799</v>
      </c>
      <c r="C22" s="433">
        <v>1.15E-2</v>
      </c>
    </row>
    <row r="23" spans="2:6">
      <c r="B23" s="432" t="s">
        <v>1800</v>
      </c>
      <c r="C23" s="433">
        <v>0</v>
      </c>
    </row>
    <row r="24" spans="2:6">
      <c r="B24" s="1415" t="s">
        <v>1801</v>
      </c>
      <c r="C24" s="1416" t="e">
        <f>#REF!+#REF!</f>
        <v>#REF!</v>
      </c>
    </row>
    <row r="27" spans="2:6">
      <c r="B27" s="1415" t="s">
        <v>1802</v>
      </c>
      <c r="C27" s="1416" t="e">
        <f>#REF!</f>
        <v>#REF!</v>
      </c>
    </row>
    <row r="28" spans="2:6">
      <c r="B28" s="432" t="s">
        <v>1803</v>
      </c>
      <c r="C28" s="438" t="e">
        <f>#REF!</f>
        <v>#REF!</v>
      </c>
    </row>
    <row r="29" spans="2:6">
      <c r="B29" s="432" t="s">
        <v>1804</v>
      </c>
      <c r="C29" s="438"/>
    </row>
    <row r="30" spans="2:6">
      <c r="B30" s="432" t="s">
        <v>1805</v>
      </c>
      <c r="C30" s="438" t="e">
        <f>#REF!</f>
        <v>#REF!</v>
      </c>
    </row>
    <row r="31" spans="2:6">
      <c r="B31" s="1415" t="s">
        <v>1806</v>
      </c>
      <c r="C31" s="1416" t="e">
        <f>#REF!</f>
        <v>#REF!</v>
      </c>
    </row>
    <row r="32" spans="2:6">
      <c r="B32" s="432" t="s">
        <v>1807</v>
      </c>
      <c r="C32" s="438" t="e">
        <f>#REF!</f>
        <v>#REF!</v>
      </c>
    </row>
    <row r="33" spans="2:4">
      <c r="B33" s="432" t="s">
        <v>1808</v>
      </c>
      <c r="C33" s="438" t="e">
        <f>#REF!</f>
        <v>#REF!</v>
      </c>
    </row>
    <row r="34" spans="2:4">
      <c r="B34" s="432" t="s">
        <v>1809</v>
      </c>
      <c r="C34" s="438" t="e">
        <f>#REF!</f>
        <v>#REF!</v>
      </c>
    </row>
    <row r="35" spans="2:4">
      <c r="B35" s="1415" t="s">
        <v>1798</v>
      </c>
      <c r="C35" s="1416" t="e">
        <f>C21</f>
        <v>#NAME?</v>
      </c>
    </row>
    <row r="36" spans="2:4">
      <c r="B36" s="432" t="s">
        <v>1799</v>
      </c>
      <c r="C36" s="433">
        <f>C22</f>
        <v>1.15E-2</v>
      </c>
    </row>
    <row r="37" spans="2:4">
      <c r="B37" s="432" t="s">
        <v>1800</v>
      </c>
      <c r="C37" s="433">
        <f>C23</f>
        <v>0</v>
      </c>
    </row>
    <row r="38" spans="2:4">
      <c r="B38" s="1415" t="s">
        <v>1801</v>
      </c>
      <c r="C38" s="1416" t="e">
        <f>C24</f>
        <v>#REF!</v>
      </c>
    </row>
    <row r="39" spans="2:4">
      <c r="B39" s="432" t="s">
        <v>1810</v>
      </c>
      <c r="C39" s="438" t="e">
        <f>#REF!</f>
        <v>#REF!</v>
      </c>
    </row>
    <row r="40" spans="2:4">
      <c r="B40" s="1417" t="s">
        <v>1811</v>
      </c>
      <c r="C40" s="1418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1812</v>
      </c>
      <c r="C2" s="427"/>
      <c r="H2" s="428" t="s">
        <v>1813</v>
      </c>
    </row>
    <row r="3" spans="2:17">
      <c r="B3" s="1419" t="s">
        <v>1774</v>
      </c>
      <c r="C3" s="1419" t="s">
        <v>1775</v>
      </c>
      <c r="D3" s="1420" t="s">
        <v>856</v>
      </c>
      <c r="E3" s="1420" t="s">
        <v>1814</v>
      </c>
      <c r="F3" s="1420" t="s">
        <v>1815</v>
      </c>
      <c r="H3" s="428" t="s">
        <v>1816</v>
      </c>
      <c r="M3" s="423" t="s">
        <v>1817</v>
      </c>
      <c r="O3" s="423" t="s">
        <v>1817</v>
      </c>
      <c r="P3" s="423" t="s">
        <v>1817</v>
      </c>
    </row>
    <row r="4" spans="2:17">
      <c r="B4" s="1421" t="s">
        <v>1818</v>
      </c>
      <c r="C4" s="1422" t="e">
        <f>12*C5*(1-$E$13)*1/$E$16</f>
        <v>#DIV/0!</v>
      </c>
      <c r="D4" s="1398" t="s">
        <v>1819</v>
      </c>
      <c r="E4" s="1398"/>
      <c r="F4" s="1398"/>
      <c r="H4" s="1419" t="s">
        <v>1820</v>
      </c>
      <c r="I4" s="1419" t="s">
        <v>1821</v>
      </c>
      <c r="J4" s="1419" t="s">
        <v>1822</v>
      </c>
      <c r="K4" s="1419" t="s">
        <v>1823</v>
      </c>
      <c r="L4" s="1419" t="s">
        <v>1824</v>
      </c>
      <c r="M4" s="1419" t="s">
        <v>897</v>
      </c>
      <c r="N4" s="1419" t="s">
        <v>533</v>
      </c>
      <c r="O4" s="1419" t="s">
        <v>537</v>
      </c>
      <c r="P4" s="1419" t="s">
        <v>535</v>
      </c>
      <c r="Q4" s="1419" t="s">
        <v>538</v>
      </c>
    </row>
    <row r="5" spans="2:17">
      <c r="B5" s="1421" t="s">
        <v>1779</v>
      </c>
      <c r="C5" s="1423"/>
      <c r="D5" s="1398"/>
      <c r="E5" s="1398"/>
      <c r="F5" s="1398" t="s">
        <v>1825</v>
      </c>
      <c r="H5" s="1421" t="s">
        <v>1818</v>
      </c>
      <c r="I5" s="1422" t="e">
        <f t="shared" ref="I5:Q5" si="0">12*I6*(1-$E$13)*1/$E$16</f>
        <v>#DIV/0!</v>
      </c>
      <c r="J5" s="1422" t="e">
        <f t="shared" si="0"/>
        <v>#DIV/0!</v>
      </c>
      <c r="K5" s="1422" t="e">
        <f t="shared" si="0"/>
        <v>#DIV/0!</v>
      </c>
      <c r="L5" s="1422" t="e">
        <f t="shared" si="0"/>
        <v>#DIV/0!</v>
      </c>
      <c r="M5" s="1422" t="e">
        <f t="shared" si="0"/>
        <v>#DIV/0!</v>
      </c>
      <c r="N5" s="1422" t="e">
        <f t="shared" si="0"/>
        <v>#DIV/0!</v>
      </c>
      <c r="O5" s="1422" t="e">
        <f t="shared" si="0"/>
        <v>#DIV/0!</v>
      </c>
      <c r="P5" s="1422" t="e">
        <f t="shared" si="0"/>
        <v>#DIV/0!</v>
      </c>
      <c r="Q5" s="1422" t="e">
        <f t="shared" si="0"/>
        <v>#DIV/0!</v>
      </c>
    </row>
    <row r="6" spans="2:17">
      <c r="B6" s="1421" t="s">
        <v>1826</v>
      </c>
      <c r="C6" s="1424"/>
      <c r="D6" s="1398" t="s">
        <v>1827</v>
      </c>
      <c r="E6" s="1398"/>
      <c r="F6" s="1425"/>
      <c r="H6" s="1421" t="s">
        <v>1779</v>
      </c>
      <c r="I6" s="1426"/>
      <c r="J6" s="1426"/>
      <c r="K6" s="1426"/>
      <c r="L6" s="1426"/>
      <c r="M6" s="1397"/>
      <c r="N6" s="1427"/>
      <c r="O6" s="1397"/>
      <c r="P6" s="1397"/>
      <c r="Q6" s="1397"/>
    </row>
    <row r="7" spans="2:17">
      <c r="B7" s="1421" t="s">
        <v>1828</v>
      </c>
      <c r="C7" s="1424"/>
      <c r="D7" s="1398" t="s">
        <v>1829</v>
      </c>
      <c r="E7" s="1398"/>
      <c r="F7" s="1425"/>
      <c r="H7" s="1421" t="s">
        <v>1826</v>
      </c>
      <c r="I7" s="1868">
        <f>C6</f>
        <v>0</v>
      </c>
      <c r="J7" s="1869"/>
      <c r="K7" s="1869"/>
      <c r="L7" s="1869"/>
      <c r="M7" s="1869"/>
      <c r="N7" s="1869"/>
      <c r="O7" s="1869"/>
      <c r="P7" s="1869"/>
      <c r="Q7" s="1870"/>
    </row>
    <row r="8" spans="2:17">
      <c r="B8" s="1421" t="s">
        <v>1830</v>
      </c>
      <c r="C8" s="1428"/>
      <c r="D8" s="1398" t="s">
        <v>1831</v>
      </c>
      <c r="E8" s="1398" t="s">
        <v>1832</v>
      </c>
      <c r="F8" s="1429"/>
      <c r="G8" s="429"/>
      <c r="H8" s="1421" t="s">
        <v>1830</v>
      </c>
      <c r="I8" s="1871">
        <f>C8</f>
        <v>0</v>
      </c>
      <c r="J8" s="1872"/>
      <c r="K8" s="1872"/>
      <c r="L8" s="1872"/>
      <c r="M8" s="1872"/>
      <c r="N8" s="1872"/>
      <c r="O8" s="1872"/>
      <c r="P8" s="1872"/>
      <c r="Q8" s="1873"/>
    </row>
    <row r="9" spans="2:17">
      <c r="B9" s="1421" t="s">
        <v>1833</v>
      </c>
      <c r="C9" s="1424"/>
      <c r="D9" s="1398" t="s">
        <v>1834</v>
      </c>
      <c r="E9" s="1398"/>
      <c r="F9" s="1429"/>
      <c r="H9" s="1421" t="s">
        <v>1833</v>
      </c>
      <c r="I9" s="1868">
        <f>C9</f>
        <v>0</v>
      </c>
      <c r="J9" s="1869"/>
      <c r="K9" s="1869"/>
      <c r="L9" s="1869"/>
      <c r="M9" s="1869"/>
      <c r="N9" s="1869"/>
      <c r="O9" s="1869"/>
      <c r="P9" s="1869"/>
      <c r="Q9" s="1870"/>
    </row>
    <row r="10" spans="2:17">
      <c r="B10" s="1421" t="s">
        <v>1835</v>
      </c>
      <c r="C10" s="1428"/>
      <c r="D10" s="1398" t="s">
        <v>1836</v>
      </c>
      <c r="E10" s="1398" t="s">
        <v>1837</v>
      </c>
      <c r="F10" s="1429"/>
      <c r="G10" s="429"/>
      <c r="H10" s="1421" t="s">
        <v>1835</v>
      </c>
      <c r="I10" s="1874">
        <f>C10</f>
        <v>0</v>
      </c>
      <c r="J10" s="1875"/>
      <c r="K10" s="1875"/>
      <c r="L10" s="1875"/>
      <c r="M10" s="1875"/>
      <c r="N10" s="1875"/>
      <c r="O10" s="1875"/>
      <c r="P10" s="1875"/>
      <c r="Q10" s="1876"/>
    </row>
    <row r="12" spans="2:17">
      <c r="D12" s="426" t="s">
        <v>1838</v>
      </c>
    </row>
    <row r="13" spans="2:17">
      <c r="D13" s="1394" t="s">
        <v>1839</v>
      </c>
      <c r="E13" s="1430" t="e">
        <f>C10/C8</f>
        <v>#DIV/0!</v>
      </c>
      <c r="H13" s="428" t="s">
        <v>1840</v>
      </c>
      <c r="M13" s="430">
        <v>4.2321999999999997</v>
      </c>
    </row>
    <row r="14" spans="2:17">
      <c r="D14" s="1394" t="s">
        <v>1841</v>
      </c>
      <c r="E14" s="1431" t="e">
        <f>1/C9</f>
        <v>#DIV/0!</v>
      </c>
      <c r="H14" s="428" t="s">
        <v>1842</v>
      </c>
      <c r="M14" s="423">
        <v>1.01916916988504</v>
      </c>
    </row>
    <row r="15" spans="2:17">
      <c r="D15" s="1394" t="s">
        <v>1843</v>
      </c>
      <c r="E15" s="1432">
        <f>ROUND(C6/(1-C7),4)</f>
        <v>0</v>
      </c>
      <c r="H15" s="428" t="s">
        <v>1844</v>
      </c>
      <c r="M15" s="423">
        <f>M13*M14</f>
        <v>4.313327760787466</v>
      </c>
    </row>
    <row r="16" spans="2:17">
      <c r="D16" s="1394" t="s">
        <v>1778</v>
      </c>
      <c r="E16" s="1433" t="e">
        <f>(((1+E15)^E14)*E15)/((1+E15)^E14-1)</f>
        <v>#DIV/0!</v>
      </c>
      <c r="H16" s="428" t="s">
        <v>1845</v>
      </c>
      <c r="M16" s="423">
        <v>0.3</v>
      </c>
    </row>
    <row r="17" spans="2:13">
      <c r="H17" s="428" t="s">
        <v>1846</v>
      </c>
      <c r="M17" s="423">
        <v>0.4</v>
      </c>
    </row>
    <row r="18" spans="2:13">
      <c r="H18" s="428" t="s">
        <v>1847</v>
      </c>
      <c r="M18" s="423">
        <v>0</v>
      </c>
    </row>
    <row r="20" spans="2:13">
      <c r="B20" s="1415" t="s">
        <v>1798</v>
      </c>
      <c r="C20" s="1416" t="e">
        <f>'REN 473'!C21</f>
        <v>#NAME?</v>
      </c>
      <c r="E20" s="431" t="s">
        <v>1848</v>
      </c>
      <c r="F20" s="431"/>
    </row>
    <row r="21" spans="2:13">
      <c r="B21" s="432" t="s">
        <v>1799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1800</v>
      </c>
      <c r="C22" s="433">
        <f>'REN 473'!C23</f>
        <v>0</v>
      </c>
      <c r="E22" s="436" t="s">
        <v>1849</v>
      </c>
      <c r="F22" s="437"/>
    </row>
    <row r="23" spans="2:13">
      <c r="B23" s="1415" t="s">
        <v>1801</v>
      </c>
      <c r="C23" s="1416" t="e">
        <f>'REN 473'!C24</f>
        <v>#REF!</v>
      </c>
      <c r="E23" s="436" t="s">
        <v>1850</v>
      </c>
      <c r="F23" s="437"/>
    </row>
    <row r="24" spans="2:13">
      <c r="E24" s="436" t="s">
        <v>1851</v>
      </c>
      <c r="F24" s="437"/>
    </row>
    <row r="25" spans="2:13">
      <c r="B25" s="1415" t="s">
        <v>1802</v>
      </c>
      <c r="C25" s="1434"/>
      <c r="E25" s="436" t="s">
        <v>1852</v>
      </c>
      <c r="F25" s="437"/>
    </row>
    <row r="26" spans="2:13">
      <c r="B26" s="432" t="s">
        <v>1803</v>
      </c>
      <c r="C26" s="460"/>
      <c r="E26" s="1435" t="s">
        <v>1853</v>
      </c>
      <c r="F26" s="1436"/>
    </row>
    <row r="27" spans="2:13">
      <c r="B27" s="432" t="s">
        <v>1804</v>
      </c>
      <c r="C27" s="460"/>
      <c r="E27" s="436" t="s">
        <v>1854</v>
      </c>
      <c r="F27" s="439"/>
    </row>
    <row r="28" spans="2:13">
      <c r="B28" s="1417" t="s">
        <v>1805</v>
      </c>
      <c r="C28" s="1437"/>
      <c r="E28" s="1435" t="s">
        <v>1855</v>
      </c>
      <c r="F28" s="1436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1856</v>
      </c>
      <c r="C2" s="9" t="s">
        <v>37</v>
      </c>
    </row>
    <row r="3" spans="2:3">
      <c r="B3" s="64" t="s">
        <v>1857</v>
      </c>
      <c r="C3" t="e">
        <f t="shared" ref="C3:C66" ca="1" si="0">INDIRECT(B3)</f>
        <v>#REF!</v>
      </c>
    </row>
    <row r="4" spans="2:3">
      <c r="B4" s="64" t="s">
        <v>1858</v>
      </c>
      <c r="C4" t="e">
        <f t="shared" ca="1" si="0"/>
        <v>#REF!</v>
      </c>
    </row>
    <row r="5" spans="2:3">
      <c r="B5" s="64" t="s">
        <v>1859</v>
      </c>
      <c r="C5" t="e">
        <f t="shared" ca="1" si="0"/>
        <v>#REF!</v>
      </c>
    </row>
    <row r="6" spans="2:3">
      <c r="B6" s="64" t="s">
        <v>1860</v>
      </c>
      <c r="C6" t="e">
        <f t="shared" ca="1" si="0"/>
        <v>#REF!</v>
      </c>
    </row>
    <row r="7" spans="2:3">
      <c r="B7" s="64" t="s">
        <v>1861</v>
      </c>
      <c r="C7" t="e">
        <f t="shared" ca="1" si="0"/>
        <v>#REF!</v>
      </c>
    </row>
    <row r="8" spans="2:3">
      <c r="B8" s="64" t="s">
        <v>1862</v>
      </c>
      <c r="C8" t="e">
        <f t="shared" ca="1" si="0"/>
        <v>#REF!</v>
      </c>
    </row>
    <row r="9" spans="2:3">
      <c r="B9" s="64" t="s">
        <v>1863</v>
      </c>
      <c r="C9" t="e">
        <f t="shared" ca="1" si="0"/>
        <v>#REF!</v>
      </c>
    </row>
    <row r="10" spans="2:3">
      <c r="B10" s="64" t="s">
        <v>1864</v>
      </c>
      <c r="C10" t="e">
        <f t="shared" ca="1" si="0"/>
        <v>#REF!</v>
      </c>
    </row>
    <row r="11" spans="2:3">
      <c r="B11" s="64" t="s">
        <v>1865</v>
      </c>
      <c r="C11" t="e">
        <f t="shared" ca="1" si="0"/>
        <v>#REF!</v>
      </c>
    </row>
    <row r="12" spans="2:3">
      <c r="B12" s="63" t="s">
        <v>1866</v>
      </c>
      <c r="C12" t="e">
        <f t="shared" ca="1" si="0"/>
        <v>#REF!</v>
      </c>
    </row>
    <row r="13" spans="2:3">
      <c r="B13" s="63" t="s">
        <v>1867</v>
      </c>
      <c r="C13" t="e">
        <f t="shared" ca="1" si="0"/>
        <v>#REF!</v>
      </c>
    </row>
    <row r="14" spans="2:3">
      <c r="B14" s="63" t="s">
        <v>1868</v>
      </c>
      <c r="C14">
        <f t="shared" ca="1" si="0"/>
        <v>2022</v>
      </c>
    </row>
    <row r="15" spans="2:3">
      <c r="B15" s="63" t="s">
        <v>1869</v>
      </c>
      <c r="C15">
        <f t="shared" ca="1" si="0"/>
        <v>2022</v>
      </c>
    </row>
    <row r="16" spans="2:3">
      <c r="B16" s="63" t="s">
        <v>1870</v>
      </c>
      <c r="C16">
        <f t="shared" ca="1" si="0"/>
        <v>44834</v>
      </c>
    </row>
    <row r="17" spans="2:3">
      <c r="B17" s="63" t="s">
        <v>1871</v>
      </c>
      <c r="C17">
        <f t="shared" ca="1" si="0"/>
        <v>51699.664999999972</v>
      </c>
    </row>
    <row r="18" spans="2:3">
      <c r="B18" s="63" t="s">
        <v>1872</v>
      </c>
      <c r="C18">
        <f t="shared" ca="1" si="0"/>
        <v>0</v>
      </c>
    </row>
    <row r="19" spans="2:3">
      <c r="B19" s="63" t="s">
        <v>1873</v>
      </c>
      <c r="C19">
        <f t="shared" ca="1" si="0"/>
        <v>42661.357999999971</v>
      </c>
    </row>
    <row r="20" spans="2:3">
      <c r="B20" s="63" t="s">
        <v>1874</v>
      </c>
      <c r="C20" t="e">
        <f t="shared" ca="1" si="0"/>
        <v>#VALUE!</v>
      </c>
    </row>
    <row r="21" spans="2:3">
      <c r="B21" s="63" t="s">
        <v>1875</v>
      </c>
      <c r="C21">
        <f t="shared" ca="1" si="0"/>
        <v>5352</v>
      </c>
    </row>
    <row r="22" spans="2:3">
      <c r="B22" s="63" t="s">
        <v>1066</v>
      </c>
      <c r="C22">
        <f t="shared" ca="1" si="0"/>
        <v>221</v>
      </c>
    </row>
    <row r="23" spans="2:3">
      <c r="B23" s="63" t="s">
        <v>1876</v>
      </c>
      <c r="C23">
        <f t="shared" ca="1" si="0"/>
        <v>0.13904635417038499</v>
      </c>
    </row>
    <row r="24" spans="2:3">
      <c r="B24" s="63" t="s">
        <v>1877</v>
      </c>
      <c r="C24" t="e">
        <f t="shared" ca="1" si="0"/>
        <v>#REF!</v>
      </c>
    </row>
    <row r="25" spans="2:3">
      <c r="B25" s="63" t="s">
        <v>1878</v>
      </c>
      <c r="C25">
        <f t="shared" ca="1" si="0"/>
        <v>0</v>
      </c>
    </row>
    <row r="26" spans="2:3">
      <c r="B26" s="63" t="s">
        <v>1879</v>
      </c>
      <c r="C26">
        <f t="shared" ca="1" si="0"/>
        <v>0</v>
      </c>
    </row>
    <row r="27" spans="2:3">
      <c r="B27" s="63" t="s">
        <v>1880</v>
      </c>
      <c r="C27" t="e">
        <f t="shared" ca="1" si="0"/>
        <v>#REF!</v>
      </c>
    </row>
    <row r="28" spans="2:3">
      <c r="B28" s="63" t="s">
        <v>1881</v>
      </c>
      <c r="C28" t="e">
        <f t="shared" ca="1" si="0"/>
        <v>#REF!</v>
      </c>
    </row>
    <row r="29" spans="2:3">
      <c r="B29" s="63" t="s">
        <v>1882</v>
      </c>
      <c r="C29">
        <f t="shared" ca="1" si="0"/>
        <v>0</v>
      </c>
    </row>
    <row r="30" spans="2:3">
      <c r="B30" s="63" t="s">
        <v>1883</v>
      </c>
      <c r="C30">
        <f t="shared" ca="1" si="0"/>
        <v>15038</v>
      </c>
    </row>
    <row r="31" spans="2:3">
      <c r="B31" s="63" t="s">
        <v>1884</v>
      </c>
      <c r="C31">
        <f t="shared" ca="1" si="0"/>
        <v>44834</v>
      </c>
    </row>
    <row r="32" spans="2:3">
      <c r="B32" s="63" t="s">
        <v>1885</v>
      </c>
      <c r="C32" t="e">
        <f t="shared" ca="1" si="0"/>
        <v>#REF!</v>
      </c>
    </row>
    <row r="33" spans="2:3">
      <c r="B33" s="63" t="s">
        <v>1886</v>
      </c>
      <c r="C33">
        <f t="shared" ca="1" si="0"/>
        <v>0.21909448814944427</v>
      </c>
    </row>
    <row r="34" spans="2:3">
      <c r="B34" s="63" t="s">
        <v>1887</v>
      </c>
      <c r="C34" t="e">
        <f t="shared" ca="1" si="0"/>
        <v>#REF!</v>
      </c>
    </row>
    <row r="35" spans="2:3">
      <c r="B35" s="63" t="s">
        <v>1888</v>
      </c>
      <c r="C35">
        <f t="shared" ca="1" si="0"/>
        <v>0</v>
      </c>
    </row>
    <row r="36" spans="2:3">
      <c r="B36" s="63" t="s">
        <v>1889</v>
      </c>
      <c r="C36" t="e">
        <f t="shared" ca="1" si="0"/>
        <v>#REF!</v>
      </c>
    </row>
    <row r="37" spans="2:3">
      <c r="B37" s="63" t="s">
        <v>1890</v>
      </c>
      <c r="C37" t="e">
        <f t="shared" ca="1" si="0"/>
        <v>#REF!</v>
      </c>
    </row>
    <row r="38" spans="2:3">
      <c r="B38" s="64" t="s">
        <v>1891</v>
      </c>
      <c r="C38" t="e">
        <f t="shared" ca="1" si="0"/>
        <v>#REF!</v>
      </c>
    </row>
    <row r="39" spans="2:3">
      <c r="B39" s="63" t="s">
        <v>1892</v>
      </c>
      <c r="C39" t="e">
        <f t="shared" ca="1" si="0"/>
        <v>#REF!</v>
      </c>
    </row>
    <row r="40" spans="2:3">
      <c r="B40" s="63" t="s">
        <v>1893</v>
      </c>
      <c r="C40" t="e">
        <f t="shared" ca="1" si="0"/>
        <v>#REF!</v>
      </c>
    </row>
    <row r="41" spans="2:3">
      <c r="B41" s="63" t="s">
        <v>1894</v>
      </c>
      <c r="C41">
        <f t="shared" ca="1" si="0"/>
        <v>0.11655023070304948</v>
      </c>
    </row>
    <row r="42" spans="2:3">
      <c r="B42" s="63" t="s">
        <v>1895</v>
      </c>
      <c r="C42">
        <f t="shared" ca="1" si="0"/>
        <v>7.1861843218078647E-2</v>
      </c>
    </row>
    <row r="43" spans="2:3">
      <c r="B43" s="63" t="s">
        <v>1896</v>
      </c>
      <c r="C43">
        <f t="shared" ca="1" si="0"/>
        <v>0.12382029470366795</v>
      </c>
    </row>
    <row r="44" spans="2:3">
      <c r="B44" s="63" t="s">
        <v>1897</v>
      </c>
      <c r="C44" t="e">
        <f t="shared" ca="1" si="0"/>
        <v>#REF!</v>
      </c>
    </row>
    <row r="45" spans="2:3">
      <c r="B45" s="63" t="s">
        <v>1898</v>
      </c>
      <c r="C45" t="e">
        <f t="shared" ca="1" si="0"/>
        <v>#REF!</v>
      </c>
    </row>
    <row r="46" spans="2:3">
      <c r="B46" s="63" t="s">
        <v>1899</v>
      </c>
      <c r="C46" t="e">
        <f t="shared" ca="1" si="0"/>
        <v>#REF!</v>
      </c>
    </row>
    <row r="47" spans="2:3">
      <c r="B47" s="63" t="s">
        <v>1900</v>
      </c>
      <c r="C47">
        <f t="shared" ca="1" si="0"/>
        <v>0.11655023070304948</v>
      </c>
    </row>
    <row r="48" spans="2:3">
      <c r="B48" s="63" t="s">
        <v>1901</v>
      </c>
      <c r="C48">
        <f t="shared" ca="1" si="0"/>
        <v>0</v>
      </c>
    </row>
    <row r="49" spans="2:3">
      <c r="B49" s="63" t="s">
        <v>1902</v>
      </c>
      <c r="C49">
        <f t="shared" ca="1" si="0"/>
        <v>59969.45249970998</v>
      </c>
    </row>
    <row r="50" spans="2:3">
      <c r="B50" s="63" t="s">
        <v>1903</v>
      </c>
      <c r="C50">
        <f t="shared" ca="1" si="0"/>
        <v>0.42830000000000001</v>
      </c>
    </row>
    <row r="51" spans="2:3">
      <c r="B51" s="63" t="s">
        <v>1904</v>
      </c>
      <c r="C51">
        <f t="shared" ca="1" si="0"/>
        <v>51699.664999999972</v>
      </c>
    </row>
    <row r="52" spans="2:3">
      <c r="B52" s="63" t="s">
        <v>1905</v>
      </c>
      <c r="C52">
        <f t="shared" ca="1" si="0"/>
        <v>51699.664999999972</v>
      </c>
    </row>
    <row r="53" spans="2:3">
      <c r="B53" s="63" t="s">
        <v>1906</v>
      </c>
      <c r="C53">
        <f t="shared" ca="1" si="0"/>
        <v>0</v>
      </c>
    </row>
    <row r="54" spans="2:3">
      <c r="B54" s="63" t="s">
        <v>1907</v>
      </c>
      <c r="C54">
        <f t="shared" ca="1" si="0"/>
        <v>0.28056465836723798</v>
      </c>
    </row>
    <row r="55" spans="2:3">
      <c r="B55" s="63" t="s">
        <v>1908</v>
      </c>
      <c r="C55">
        <f t="shared" ca="1" si="0"/>
        <v>0</v>
      </c>
    </row>
    <row r="56" spans="2:3">
      <c r="B56" s="63" t="s">
        <v>1909</v>
      </c>
      <c r="C56">
        <f t="shared" ca="1" si="0"/>
        <v>0</v>
      </c>
    </row>
    <row r="57" spans="2:3">
      <c r="B57" s="63" t="s">
        <v>1910</v>
      </c>
      <c r="C57">
        <f t="shared" ca="1" si="0"/>
        <v>0.21625368655874957</v>
      </c>
    </row>
    <row r="58" spans="2:3">
      <c r="B58" s="63" t="s">
        <v>1911</v>
      </c>
      <c r="C58">
        <f t="shared" ca="1" si="0"/>
        <v>8.727291292620043E-2</v>
      </c>
    </row>
    <row r="59" spans="2:3">
      <c r="B59" s="63" t="s">
        <v>1912</v>
      </c>
      <c r="C59">
        <f t="shared" ca="1" si="0"/>
        <v>0</v>
      </c>
    </row>
    <row r="60" spans="2:3">
      <c r="B60" s="63" t="s">
        <v>1913</v>
      </c>
      <c r="C60" t="e">
        <f t="shared" ca="1" si="0"/>
        <v>#REF!</v>
      </c>
    </row>
    <row r="61" spans="2:3">
      <c r="B61" s="63" t="s">
        <v>1914</v>
      </c>
      <c r="C61">
        <f t="shared" ca="1" si="0"/>
        <v>-2.03686905717816E-2</v>
      </c>
    </row>
    <row r="62" spans="2:3">
      <c r="B62" s="63" t="s">
        <v>1915</v>
      </c>
      <c r="C62">
        <f t="shared" ca="1" si="0"/>
        <v>0.1018</v>
      </c>
    </row>
    <row r="63" spans="2:3">
      <c r="B63" s="63" t="s">
        <v>1916</v>
      </c>
      <c r="C63">
        <f t="shared" ca="1" si="0"/>
        <v>3.6193583871430221E-2</v>
      </c>
    </row>
    <row r="64" spans="2:3">
      <c r="B64" s="63" t="s">
        <v>1917</v>
      </c>
      <c r="C64" t="e">
        <f t="shared" ca="1" si="0"/>
        <v>#REF!</v>
      </c>
    </row>
    <row r="65" spans="2:3">
      <c r="B65" s="63" t="s">
        <v>1918</v>
      </c>
      <c r="C65">
        <f t="shared" ca="1" si="0"/>
        <v>4.0176765936639894E-2</v>
      </c>
    </row>
    <row r="66" spans="2:3">
      <c r="B66" s="63" t="s">
        <v>1919</v>
      </c>
      <c r="C66">
        <f t="shared" ca="1" si="0"/>
        <v>6.1574893315559605E-2</v>
      </c>
    </row>
    <row r="67" spans="2:3">
      <c r="B67" s="63" t="s">
        <v>1920</v>
      </c>
      <c r="C67">
        <f t="shared" ref="C67:C130" ca="1" si="1">INDIRECT(B67)</f>
        <v>2.4351872636991376E-2</v>
      </c>
    </row>
    <row r="68" spans="2:3">
      <c r="B68" s="63" t="s">
        <v>1921</v>
      </c>
      <c r="C68">
        <f t="shared" ca="1" si="1"/>
        <v>-0.31169999999999998</v>
      </c>
    </row>
    <row r="69" spans="2:3">
      <c r="B69" s="63" t="s">
        <v>1922</v>
      </c>
      <c r="C69">
        <f t="shared" ca="1" si="1"/>
        <v>-46691.575068666127</v>
      </c>
    </row>
    <row r="70" spans="2:3">
      <c r="B70" s="63" t="s">
        <v>1923</v>
      </c>
      <c r="C70" t="str">
        <f t="shared" ca="1" si="1"/>
        <v>Cooperativa de Prestação de Serviços Públicos de Distribuição de Energia Elétrica Senador Esteves Júnior</v>
      </c>
    </row>
    <row r="71" spans="2:3">
      <c r="B71" s="63" t="s">
        <v>1924</v>
      </c>
      <c r="C71" t="e">
        <f t="shared" ca="1" si="1"/>
        <v>#REF!</v>
      </c>
    </row>
    <row r="72" spans="2:3">
      <c r="B72" s="63" t="s">
        <v>1925</v>
      </c>
      <c r="C72" t="str">
        <f t="shared" ca="1" si="1"/>
        <v>28/2008</v>
      </c>
    </row>
    <row r="73" spans="2:3">
      <c r="B73" s="63" t="s">
        <v>1926</v>
      </c>
      <c r="C73">
        <f t="shared" ca="1" si="1"/>
        <v>0</v>
      </c>
    </row>
    <row r="74" spans="2:3">
      <c r="B74" s="63" t="s">
        <v>1927</v>
      </c>
      <c r="C74">
        <f t="shared" ca="1" si="1"/>
        <v>0.43341732064067912</v>
      </c>
    </row>
    <row r="75" spans="2:3">
      <c r="B75" s="63" t="s">
        <v>1928</v>
      </c>
      <c r="C75">
        <f t="shared" ca="1" si="1"/>
        <v>0.56658267935932094</v>
      </c>
    </row>
    <row r="76" spans="2:3">
      <c r="B76" s="63" t="s">
        <v>1929</v>
      </c>
      <c r="C76">
        <f t="shared" ca="1" si="1"/>
        <v>0.13789999999999999</v>
      </c>
    </row>
    <row r="77" spans="2:3">
      <c r="B77" s="63" t="s">
        <v>1930</v>
      </c>
      <c r="C77">
        <f t="shared" ca="1" si="1"/>
        <v>2.8408015906946941E-3</v>
      </c>
    </row>
    <row r="78" spans="2:3">
      <c r="B78" s="63" t="s">
        <v>1931</v>
      </c>
      <c r="C78">
        <f t="shared" ca="1" si="1"/>
        <v>8269.7874997100062</v>
      </c>
    </row>
    <row r="79" spans="2:3">
      <c r="B79" s="63" t="s">
        <v>1932</v>
      </c>
      <c r="C79">
        <f t="shared" ca="1" si="1"/>
        <v>0</v>
      </c>
    </row>
    <row r="80" spans="2:3">
      <c r="B80" s="63" t="s">
        <v>1933</v>
      </c>
      <c r="C80">
        <f t="shared" ca="1" si="1"/>
        <v>611490.42636098247</v>
      </c>
    </row>
    <row r="81" spans="2:3">
      <c r="B81" s="63" t="s">
        <v>1934</v>
      </c>
      <c r="C81" t="e">
        <f t="shared" ca="1" si="1"/>
        <v>#REF!</v>
      </c>
    </row>
    <row r="82" spans="2:3">
      <c r="B82" s="64" t="s">
        <v>1935</v>
      </c>
      <c r="C82">
        <f t="shared" ca="1" si="1"/>
        <v>875.47703243856063</v>
      </c>
    </row>
    <row r="83" spans="2:3">
      <c r="B83" s="63" t="s">
        <v>1936</v>
      </c>
      <c r="C83">
        <f t="shared" ca="1" si="1"/>
        <v>46817003.733180009</v>
      </c>
    </row>
    <row r="84" spans="2:3">
      <c r="B84" s="63" t="s">
        <v>1937</v>
      </c>
      <c r="C84">
        <f t="shared" ca="1" si="1"/>
        <v>0</v>
      </c>
    </row>
    <row r="85" spans="2:3">
      <c r="B85" s="63" t="s">
        <v>1938</v>
      </c>
      <c r="C85">
        <f t="shared" ca="1" si="1"/>
        <v>0</v>
      </c>
    </row>
    <row r="86" spans="2:3">
      <c r="B86" s="63" t="s">
        <v>1939</v>
      </c>
      <c r="C86" t="str">
        <f t="shared" ca="1" si="1"/>
        <v>setembro de 2021 a agosto de 2022</v>
      </c>
    </row>
    <row r="87" spans="2:3">
      <c r="B87" s="63" t="s">
        <v>1940</v>
      </c>
      <c r="C87">
        <f t="shared" ca="1" si="1"/>
        <v>0</v>
      </c>
    </row>
    <row r="88" spans="2:3">
      <c r="B88" s="63" t="s">
        <v>1941</v>
      </c>
      <c r="C88" t="str">
        <f t="shared" ca="1" si="1"/>
        <v>Cerej</v>
      </c>
    </row>
    <row r="89" spans="2:3">
      <c r="B89" s="63" t="s">
        <v>1942</v>
      </c>
      <c r="C89">
        <f t="shared" ca="1" si="1"/>
        <v>0</v>
      </c>
    </row>
    <row r="90" spans="2:3">
      <c r="B90" s="63" t="s">
        <v>1943</v>
      </c>
      <c r="C90" t="e">
        <f t="shared" ca="1" si="1"/>
        <v>#REF!</v>
      </c>
    </row>
    <row r="91" spans="2:3">
      <c r="B91" s="64" t="s">
        <v>1944</v>
      </c>
      <c r="C91">
        <f t="shared" ca="1" si="1"/>
        <v>7250869.556640001</v>
      </c>
    </row>
    <row r="92" spans="2:3">
      <c r="B92" s="64" t="s">
        <v>1945</v>
      </c>
      <c r="C92">
        <f t="shared" ca="1" si="1"/>
        <v>-8.8499999999999995E-2</v>
      </c>
    </row>
    <row r="93" spans="2:3">
      <c r="B93" s="64" t="s">
        <v>1946</v>
      </c>
      <c r="C93">
        <f t="shared" ca="1" si="1"/>
        <v>0.47170000000000001</v>
      </c>
    </row>
    <row r="94" spans="2:3">
      <c r="B94" s="64" t="s">
        <v>1947</v>
      </c>
      <c r="C94">
        <f t="shared" ca="1" si="1"/>
        <v>0.18659999999999999</v>
      </c>
    </row>
    <row r="95" spans="2:3">
      <c r="B95" s="64" t="s">
        <v>1948</v>
      </c>
      <c r="C95" t="e">
        <f t="shared" ca="1" si="1"/>
        <v>#VALUE!</v>
      </c>
    </row>
    <row r="96" spans="2:3">
      <c r="B96" s="64" t="s">
        <v>1949</v>
      </c>
      <c r="C96" t="e">
        <f t="shared" ca="1" si="1"/>
        <v>#VALUE!</v>
      </c>
    </row>
    <row r="97" spans="2:3">
      <c r="B97" s="64" t="s">
        <v>1950</v>
      </c>
      <c r="C97" t="e">
        <f t="shared" ca="1" si="1"/>
        <v>#VALUE!</v>
      </c>
    </row>
    <row r="98" spans="2:3">
      <c r="B98" s="64" t="s">
        <v>1951</v>
      </c>
      <c r="C98" t="e">
        <f t="shared" ca="1" si="1"/>
        <v>#VALUE!</v>
      </c>
    </row>
    <row r="99" spans="2:3">
      <c r="B99" s="63" t="s">
        <v>1952</v>
      </c>
      <c r="C99" t="e">
        <f t="shared" ca="1" si="1"/>
        <v>#VALUE!</v>
      </c>
    </row>
    <row r="100" spans="2:3">
      <c r="B100" s="64" t="s">
        <v>1953</v>
      </c>
      <c r="C100" t="e">
        <f t="shared" ca="1" si="1"/>
        <v>#VALUE!</v>
      </c>
    </row>
    <row r="101" spans="2:3">
      <c r="B101" s="63" t="s">
        <v>1954</v>
      </c>
      <c r="C101" t="e">
        <f t="shared" ca="1" si="1"/>
        <v>#VALUE!</v>
      </c>
    </row>
    <row r="102" spans="2:3">
      <c r="B102" s="63" t="s">
        <v>1955</v>
      </c>
      <c r="C102" t="e">
        <f t="shared" ca="1" si="1"/>
        <v>#VALUE!</v>
      </c>
    </row>
    <row r="103" spans="2:3">
      <c r="B103" s="63" t="s">
        <v>1956</v>
      </c>
      <c r="C103" t="e">
        <f t="shared" ca="1" si="1"/>
        <v>#VALUE!</v>
      </c>
    </row>
    <row r="104" spans="2:3">
      <c r="B104" s="63" t="s">
        <v>1957</v>
      </c>
      <c r="C104" t="e">
        <f t="shared" ca="1" si="1"/>
        <v>#VALUE!</v>
      </c>
    </row>
    <row r="105" spans="2:3">
      <c r="B105" s="63" t="s">
        <v>1958</v>
      </c>
      <c r="C105" t="e">
        <f t="shared" ca="1" si="1"/>
        <v>#VALUE!</v>
      </c>
    </row>
    <row r="106" spans="2:3">
      <c r="B106" s="63" t="s">
        <v>1959</v>
      </c>
      <c r="C106" t="e">
        <f t="shared" ca="1" si="1"/>
        <v>#VALUE!</v>
      </c>
    </row>
    <row r="107" spans="2:3">
      <c r="B107" s="63" t="s">
        <v>1960</v>
      </c>
      <c r="C107" t="e">
        <f t="shared" ca="1" si="1"/>
        <v>#VALUE!</v>
      </c>
    </row>
    <row r="108" spans="2:3">
      <c r="B108" s="63" t="s">
        <v>1961</v>
      </c>
      <c r="C108" t="e">
        <f t="shared" ca="1" si="1"/>
        <v>#REF!</v>
      </c>
    </row>
    <row r="109" spans="2:3">
      <c r="B109" s="63" t="s">
        <v>1962</v>
      </c>
      <c r="C109" t="e">
        <f t="shared" ca="1" si="1"/>
        <v>#REF!</v>
      </c>
    </row>
    <row r="110" spans="2:3">
      <c r="B110" s="63" t="s">
        <v>1963</v>
      </c>
      <c r="C110" t="e">
        <f t="shared" ca="1" si="1"/>
        <v>#REF!</v>
      </c>
    </row>
    <row r="111" spans="2:3">
      <c r="B111" s="63" t="s">
        <v>1964</v>
      </c>
      <c r="C111" t="e">
        <f t="shared" ca="1" si="1"/>
        <v>#REF!</v>
      </c>
    </row>
    <row r="112" spans="2:3">
      <c r="B112" s="63" t="s">
        <v>1965</v>
      </c>
      <c r="C112" t="e">
        <f t="shared" ca="1" si="1"/>
        <v>#REF!</v>
      </c>
    </row>
    <row r="113" spans="2:3">
      <c r="B113" s="63" t="s">
        <v>1966</v>
      </c>
      <c r="C113" t="e">
        <f t="shared" ca="1" si="1"/>
        <v>#REF!</v>
      </c>
    </row>
    <row r="114" spans="2:3">
      <c r="B114" s="63" t="s">
        <v>1967</v>
      </c>
      <c r="C114" t="e">
        <f t="shared" ca="1" si="1"/>
        <v>#REF!</v>
      </c>
    </row>
    <row r="115" spans="2:3">
      <c r="B115" s="63" t="s">
        <v>1968</v>
      </c>
      <c r="C115">
        <f t="shared" ca="1" si="1"/>
        <v>0</v>
      </c>
    </row>
    <row r="116" spans="2:3">
      <c r="B116" s="64" t="s">
        <v>1969</v>
      </c>
      <c r="C116">
        <f t="shared" ca="1" si="1"/>
        <v>3009438.0217945594</v>
      </c>
    </row>
    <row r="117" spans="2:3">
      <c r="B117" s="63" t="s">
        <v>1970</v>
      </c>
      <c r="C117">
        <f t="shared" ca="1" si="1"/>
        <v>0</v>
      </c>
    </row>
    <row r="118" spans="2:3">
      <c r="B118" s="63" t="s">
        <v>1971</v>
      </c>
      <c r="C118">
        <f t="shared" ca="1" si="1"/>
        <v>0</v>
      </c>
    </row>
    <row r="119" spans="2:3">
      <c r="B119" s="64" t="s">
        <v>1972</v>
      </c>
      <c r="C119">
        <f t="shared" ca="1" si="1"/>
        <v>0</v>
      </c>
    </row>
    <row r="120" spans="2:3">
      <c r="B120" s="63" t="s">
        <v>1973</v>
      </c>
      <c r="C120">
        <f t="shared" ca="1" si="1"/>
        <v>0</v>
      </c>
    </row>
    <row r="121" spans="2:3">
      <c r="B121" s="63" t="s">
        <v>1974</v>
      </c>
      <c r="C121">
        <f t="shared" ca="1" si="1"/>
        <v>0</v>
      </c>
    </row>
    <row r="122" spans="2:3">
      <c r="B122" s="64" t="s">
        <v>1975</v>
      </c>
      <c r="C122">
        <f t="shared" ca="1" si="1"/>
        <v>0</v>
      </c>
    </row>
    <row r="123" spans="2:3">
      <c r="B123" s="63" t="s">
        <v>1976</v>
      </c>
      <c r="C123">
        <f t="shared" ca="1" si="1"/>
        <v>0</v>
      </c>
    </row>
    <row r="124" spans="2:3">
      <c r="B124" s="63" t="s">
        <v>1977</v>
      </c>
      <c r="C124">
        <f t="shared" ca="1" si="1"/>
        <v>0</v>
      </c>
    </row>
    <row r="125" spans="2:3">
      <c r="B125" s="64" t="s">
        <v>1978</v>
      </c>
      <c r="C125">
        <f t="shared" ca="1" si="1"/>
        <v>0</v>
      </c>
    </row>
    <row r="126" spans="2:3">
      <c r="B126" s="63" t="s">
        <v>1979</v>
      </c>
      <c r="C126">
        <f t="shared" ca="1" si="1"/>
        <v>476417.68021061312</v>
      </c>
    </row>
    <row r="127" spans="2:3">
      <c r="B127" s="63" t="s">
        <v>1980</v>
      </c>
      <c r="C127">
        <f t="shared" ca="1" si="1"/>
        <v>0</v>
      </c>
    </row>
    <row r="128" spans="2:3">
      <c r="B128" s="64" t="s">
        <v>1981</v>
      </c>
      <c r="C128">
        <f t="shared" ca="1" si="1"/>
        <v>106358.40848890002</v>
      </c>
    </row>
    <row r="129" spans="2:3">
      <c r="B129" s="63" t="s">
        <v>1982</v>
      </c>
      <c r="C129">
        <f t="shared" ca="1" si="1"/>
        <v>51699.664999999972</v>
      </c>
    </row>
    <row r="130" spans="2:3">
      <c r="B130" s="63" t="s">
        <v>1983</v>
      </c>
      <c r="C130">
        <f t="shared" ca="1" si="1"/>
        <v>46817003.733180009</v>
      </c>
    </row>
    <row r="131" spans="2:3">
      <c r="B131" s="64" t="s">
        <v>1984</v>
      </c>
      <c r="C131" t="str">
        <f t="shared" ref="C131:C194" ca="1" si="2">INDIRECT(B131)</f>
        <v>Convencional</v>
      </c>
    </row>
    <row r="132" spans="2:3">
      <c r="B132" s="63" t="s">
        <v>1985</v>
      </c>
      <c r="C132" t="e">
        <f t="shared" ca="1" si="2"/>
        <v>#VALUE!</v>
      </c>
    </row>
    <row r="133" spans="2:3">
      <c r="B133" s="64" t="s">
        <v>1986</v>
      </c>
      <c r="C133" t="e">
        <f t="shared" ca="1" si="2"/>
        <v>#REF!</v>
      </c>
    </row>
    <row r="134" spans="2:3">
      <c r="B134" s="63" t="s">
        <v>1987</v>
      </c>
      <c r="C134" t="e">
        <f t="shared" ca="1" si="2"/>
        <v>#REF!</v>
      </c>
    </row>
    <row r="135" spans="2:3">
      <c r="B135" s="63" t="s">
        <v>1988</v>
      </c>
      <c r="C135">
        <f t="shared" ca="1" si="2"/>
        <v>44774</v>
      </c>
    </row>
    <row r="136" spans="2:3">
      <c r="B136" s="63" t="s">
        <v>1989</v>
      </c>
      <c r="C136">
        <f t="shared" ca="1" si="2"/>
        <v>44440</v>
      </c>
    </row>
    <row r="137" spans="2:3">
      <c r="B137" s="63" t="s">
        <v>1990</v>
      </c>
      <c r="C137" t="e">
        <f t="shared" ca="1" si="2"/>
        <v>#REF!</v>
      </c>
    </row>
    <row r="138" spans="2:3">
      <c r="B138" s="63" t="s">
        <v>1991</v>
      </c>
      <c r="C138" t="e">
        <f t="shared" ca="1" si="2"/>
        <v>#REF!</v>
      </c>
    </row>
    <row r="139" spans="2:3">
      <c r="B139" s="63" t="s">
        <v>1992</v>
      </c>
      <c r="C139" t="e">
        <f t="shared" ca="1" si="2"/>
        <v>#REF!</v>
      </c>
    </row>
    <row r="140" spans="2:3">
      <c r="B140" s="63" t="s">
        <v>1993</v>
      </c>
      <c r="C140">
        <f t="shared" ca="1" si="2"/>
        <v>0</v>
      </c>
    </row>
    <row r="141" spans="2:3">
      <c r="B141" s="63" t="s">
        <v>1994</v>
      </c>
      <c r="C141" t="e">
        <f t="shared" ca="1" si="2"/>
        <v>#VALUE!</v>
      </c>
    </row>
    <row r="142" spans="2:3">
      <c r="B142" s="63" t="s">
        <v>1995</v>
      </c>
      <c r="C142" t="e">
        <f t="shared" ca="1" si="2"/>
        <v>#VALUE!</v>
      </c>
    </row>
    <row r="143" spans="2:3">
      <c r="B143" s="63" t="s">
        <v>1996</v>
      </c>
      <c r="C143" t="e">
        <f t="shared" ca="1" si="2"/>
        <v>#VALUE!</v>
      </c>
    </row>
    <row r="144" spans="2:3">
      <c r="B144" s="63" t="s">
        <v>1997</v>
      </c>
      <c r="C144" t="e">
        <f t="shared" ca="1" si="2"/>
        <v>#VALUE!</v>
      </c>
    </row>
    <row r="145" spans="2:3">
      <c r="B145" s="63" t="s">
        <v>1998</v>
      </c>
      <c r="C145" t="e">
        <f t="shared" ca="1" si="2"/>
        <v>#VALUE!</v>
      </c>
    </row>
    <row r="146" spans="2:3">
      <c r="B146" s="64" t="s">
        <v>1999</v>
      </c>
      <c r="C146" t="e">
        <f t="shared" ca="1" si="2"/>
        <v>#REF!</v>
      </c>
    </row>
    <row r="147" spans="2:3">
      <c r="B147" s="64" t="s">
        <v>2000</v>
      </c>
      <c r="C147" t="e">
        <f t="shared" ca="1" si="2"/>
        <v>#REF!</v>
      </c>
    </row>
    <row r="148" spans="2:3">
      <c r="B148" s="64" t="s">
        <v>2001</v>
      </c>
      <c r="C148" t="e">
        <f t="shared" ca="1" si="2"/>
        <v>#REF!</v>
      </c>
    </row>
    <row r="149" spans="2:3">
      <c r="B149" s="64" t="s">
        <v>2002</v>
      </c>
      <c r="C149" t="e">
        <f t="shared" ca="1" si="2"/>
        <v>#REF!</v>
      </c>
    </row>
    <row r="150" spans="2:3">
      <c r="B150" s="64" t="s">
        <v>2003</v>
      </c>
      <c r="C150" t="e">
        <f t="shared" ca="1" si="2"/>
        <v>#REF!</v>
      </c>
    </row>
    <row r="151" spans="2:3">
      <c r="B151" s="64" t="s">
        <v>2004</v>
      </c>
      <c r="C151" t="e">
        <f t="shared" ca="1" si="2"/>
        <v>#REF!</v>
      </c>
    </row>
    <row r="152" spans="2:3">
      <c r="B152" s="64" t="s">
        <v>2005</v>
      </c>
      <c r="C152" t="e">
        <f t="shared" ca="1" si="2"/>
        <v>#REF!</v>
      </c>
    </row>
    <row r="153" spans="2:3">
      <c r="B153" s="64" t="s">
        <v>2006</v>
      </c>
      <c r="C153" t="e">
        <f t="shared" ca="1" si="2"/>
        <v>#REF!</v>
      </c>
    </row>
    <row r="154" spans="2:3">
      <c r="B154" s="63" t="s">
        <v>2007</v>
      </c>
      <c r="C154" t="e">
        <f t="shared" ca="1" si="2"/>
        <v>#VALUE!</v>
      </c>
    </row>
    <row r="155" spans="2:3">
      <c r="B155" s="63" t="s">
        <v>2008</v>
      </c>
      <c r="C155" t="e">
        <f t="shared" ca="1" si="2"/>
        <v>#VALUE!</v>
      </c>
    </row>
    <row r="156" spans="2:3">
      <c r="B156" s="63" t="s">
        <v>2009</v>
      </c>
      <c r="C156" t="e">
        <f t="shared" ca="1" si="2"/>
        <v>#VALUE!</v>
      </c>
    </row>
    <row r="157" spans="2:3">
      <c r="B157" s="63" t="s">
        <v>2010</v>
      </c>
      <c r="C157" t="e">
        <f t="shared" ca="1" si="2"/>
        <v>#VALUE!</v>
      </c>
    </row>
    <row r="158" spans="2:3">
      <c r="B158" s="63" t="s">
        <v>2011</v>
      </c>
      <c r="C158" t="e">
        <f t="shared" ca="1" si="2"/>
        <v>#REF!</v>
      </c>
    </row>
    <row r="159" spans="2:3">
      <c r="B159" s="63" t="s">
        <v>2012</v>
      </c>
      <c r="C159" t="e">
        <f t="shared" ca="1" si="2"/>
        <v>#VALUE!</v>
      </c>
    </row>
    <row r="160" spans="2:3">
      <c r="B160" s="63" t="s">
        <v>2013</v>
      </c>
      <c r="C160" t="e">
        <f t="shared" ca="1" si="2"/>
        <v>#VALUE!</v>
      </c>
    </row>
    <row r="161" spans="2:3">
      <c r="B161" s="63" t="s">
        <v>2014</v>
      </c>
      <c r="C161" t="e">
        <f t="shared" ca="1" si="2"/>
        <v>#VALUE!</v>
      </c>
    </row>
    <row r="162" spans="2:3">
      <c r="B162" s="63" t="s">
        <v>2015</v>
      </c>
      <c r="C162" t="e">
        <f t="shared" ca="1" si="2"/>
        <v>#VALUE!</v>
      </c>
    </row>
    <row r="163" spans="2:3">
      <c r="B163" s="63" t="s">
        <v>2016</v>
      </c>
      <c r="C163" t="e">
        <f t="shared" ca="1" si="2"/>
        <v>#VALUE!</v>
      </c>
    </row>
    <row r="164" spans="2:3">
      <c r="B164" s="63" t="s">
        <v>2017</v>
      </c>
      <c r="C164" t="e">
        <f t="shared" ca="1" si="2"/>
        <v>#VALUE!</v>
      </c>
    </row>
    <row r="165" spans="2:3">
      <c r="B165" s="63" t="s">
        <v>2018</v>
      </c>
      <c r="C165" t="e">
        <f t="shared" ca="1" si="2"/>
        <v>#VALUE!</v>
      </c>
    </row>
    <row r="166" spans="2:3">
      <c r="B166" s="63" t="s">
        <v>2019</v>
      </c>
      <c r="C166" t="e">
        <f t="shared" ca="1" si="2"/>
        <v>#VALUE!</v>
      </c>
    </row>
    <row r="167" spans="2:3">
      <c r="B167" s="63" t="s">
        <v>2020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192</vt:i4>
      </vt:variant>
    </vt:vector>
  </HeadingPairs>
  <TitlesOfParts>
    <vt:vector size="227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CUSD</vt:lpstr>
      <vt:lpstr>Rede Básica + Ajuste</vt:lpstr>
      <vt:lpstr>Conexão 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lnktxtpartCDEuso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